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nrwa-my.sharepoint.com/personal/rmazarei_irwaonline_org/Documents/Desktop/Department - Accounting/Controller - Accounting/Budget/Budget 2026 - 27/Drafts/"/>
    </mc:Choice>
  </mc:AlternateContent>
  <xr:revisionPtr revIDLastSave="5" documentId="8_{B32FE6D4-143D-44FF-9A88-C126212C001C}" xr6:coauthVersionLast="47" xr6:coauthVersionMax="47" xr10:uidLastSave="{90A6990A-4B64-40ED-8A9F-B1DA7975651B}"/>
  <bookViews>
    <workbookView xWindow="-110" yWindow="-110" windowWidth="38620" windowHeight="21100" tabRatio="859" firstSheet="7" activeTab="10" xr2:uid="{03EA55A7-61C3-43CE-899D-FE43391AF1F5}"/>
  </bookViews>
  <sheets>
    <sheet name="1st Draft" sheetId="1" r:id="rId1"/>
    <sheet name="2nd Draft" sheetId="2" r:id="rId2"/>
    <sheet name="3rd Draft" sheetId="5" r:id="rId3"/>
    <sheet name="4th Draft" sheetId="6" r:id="rId4"/>
    <sheet name="5th Draft" sheetId="8" r:id="rId5"/>
    <sheet name="6th Draft" sheetId="9" r:id="rId6"/>
    <sheet name="7th Draft" sheetId="10" r:id="rId7"/>
    <sheet name="8th Draft" sheetId="11" r:id="rId8"/>
    <sheet name="9th Draft" sheetId="12" r:id="rId9"/>
    <sheet name="10 Draft" sheetId="13" r:id="rId10"/>
    <sheet name="11th Draft" sheetId="15" r:id="rId11"/>
    <sheet name="Foundation Asks" sheetId="14" r:id="rId12"/>
    <sheet name="Travel" sheetId="3" r:id="rId13"/>
    <sheet name="CFO Notes" sheetId="7" r:id="rId14"/>
    <sheet name="Committees Asks" sheetId="4" r:id="rId15"/>
  </sheets>
  <definedNames>
    <definedName name="_xlnm.Print_Titles" localSheetId="0">'1st Draft'!$A:$G,'1st Draft'!$3:$4</definedName>
    <definedName name="_xlnm.Print_Titles" localSheetId="5">'6th Draft'!$1:$3</definedName>
    <definedName name="QB_COLUMN_290" localSheetId="0" hidden="1">'1st Draft'!#REF!</definedName>
    <definedName name="QB_COLUMN_59201" localSheetId="0" hidden="1">'1st Draft'!$H$4</definedName>
    <definedName name="QB_COLUMN_59202" localSheetId="0" hidden="1">'1st Draft'!$J$4</definedName>
    <definedName name="QB_COLUMN_59203" localSheetId="0" hidden="1">'1st Draft'!$L$4</definedName>
    <definedName name="QB_COLUMN_59300" localSheetId="0" hidden="1">'1st Draft'!$N$4</definedName>
    <definedName name="QB_COLUMN_63620" localSheetId="0" hidden="1">'1st Draft'!#REF!</definedName>
    <definedName name="QB_COLUMN_63621" localSheetId="0" hidden="1">'1st Draft'!#REF!</definedName>
    <definedName name="QB_COLUMN_63622" localSheetId="0" hidden="1">'1st Draft'!#REF!</definedName>
    <definedName name="QB_COLUMN_63623" localSheetId="0" hidden="1">'1st Draft'!#REF!</definedName>
    <definedName name="QB_COLUMN_64430" localSheetId="0" hidden="1">'1st Draft'!#REF!</definedName>
    <definedName name="QB_COLUMN_64431" localSheetId="0" hidden="1">'1st Draft'!#REF!</definedName>
    <definedName name="QB_COLUMN_64432" localSheetId="0" hidden="1">'1st Draft'!#REF!</definedName>
    <definedName name="QB_COLUMN_64433" localSheetId="0" hidden="1">'1st Draft'!#REF!</definedName>
    <definedName name="QB_COLUMN_76211" localSheetId="0" hidden="1">'1st Draft'!$I$4</definedName>
    <definedName name="QB_COLUMN_76212" localSheetId="0" hidden="1">'1st Draft'!$K$4</definedName>
    <definedName name="QB_COLUMN_76213" localSheetId="0" hidden="1">'1st Draft'!$M$4</definedName>
    <definedName name="QB_COLUMN_76310" localSheetId="0" hidden="1">'1st Draft'!$O$4</definedName>
    <definedName name="QB_DATA_0" localSheetId="0" hidden="1">'1st Draft'!$10:$10,'1st Draft'!$11:$11,'1st Draft'!$12:$12,'1st Draft'!$13:$13,'1st Draft'!$14:$14,'1st Draft'!$17:$17,'1st Draft'!$18:$18,'1st Draft'!$19:$19,'1st Draft'!$20:$20,'1st Draft'!$21:$21,'1st Draft'!$22:$22,'1st Draft'!$23:$23,'1st Draft'!$24:$24,'1st Draft'!$25:$25,'1st Draft'!$26:$26,'1st Draft'!$27:$27</definedName>
    <definedName name="QB_DATA_1" localSheetId="0" hidden="1">'1st Draft'!$28:$28,'1st Draft'!$29:$29,'1st Draft'!$30:$30,'1st Draft'!$31:$31,'1st Draft'!$32:$32,'1st Draft'!$33:$33,'1st Draft'!$34:$34,'1st Draft'!$35:$35,'1st Draft'!$36:$36,'1st Draft'!$37:$37,'1st Draft'!$38:$38,'1st Draft'!$41:$41,'1st Draft'!$42:$42,'1st Draft'!$43:$43,'1st Draft'!$44:$44,'1st Draft'!$47:$47</definedName>
    <definedName name="QB_DATA_10" localSheetId="0" hidden="1">'1st Draft'!$230:$230,'1st Draft'!$231:$231,'1st Draft'!$232:$232,'1st Draft'!$235:$235,'1st Draft'!$236:$236,'1st Draft'!$237:$237,'1st Draft'!$238:$238,'1st Draft'!$239:$239,'1st Draft'!$240:$240,'1st Draft'!$241:$241,'1st Draft'!$242:$242,'1st Draft'!$243:$243,'1st Draft'!$244:$244,'1st Draft'!$245:$245,'1st Draft'!$246:$246,'1st Draft'!$247:$247</definedName>
    <definedName name="QB_DATA_11" localSheetId="0" hidden="1">'1st Draft'!$248:$248,'1st Draft'!$249:$249,'1st Draft'!$250:$250,'1st Draft'!$251:$251,'1st Draft'!$252:$252,'1st Draft'!$253:$253,'1st Draft'!$254:$254,'1st Draft'!$255:$255,'1st Draft'!$258:$258,'1st Draft'!$259:$259,'1st Draft'!$260:$260,'1st Draft'!$261:$261,'1st Draft'!$264:$264,'1st Draft'!$265:$265,'1st Draft'!$266:$266,'1st Draft'!$267:$267</definedName>
    <definedName name="QB_DATA_12" localSheetId="0" hidden="1">'1st Draft'!$268:$268,'1st Draft'!$269:$269,'1st Draft'!$270:$270,'1st Draft'!$271:$271,'1st Draft'!$272:$272,'1st Draft'!$273:$273,'1st Draft'!$274:$274,'1st Draft'!$275:$275,'1st Draft'!$276:$276,'1st Draft'!$277:$277,'1st Draft'!$278:$278,'1st Draft'!$281:$281,'1st Draft'!$282:$282,'1st Draft'!$283:$283,'1st Draft'!$284:$284,'1st Draft'!$285:$285</definedName>
    <definedName name="QB_DATA_13" localSheetId="0" hidden="1">'1st Draft'!$286:$286,'1st Draft'!$289:$289,'1st Draft'!$290:$290,'1st Draft'!$291:$291,'1st Draft'!$292:$292,'1st Draft'!$293:$293,'1st Draft'!$294:$294,'1st Draft'!$295:$295,'1st Draft'!$296:$296,'1st Draft'!$297:$297,'1st Draft'!$298:$298,'1st Draft'!$299:$299,'1st Draft'!$302:$302,'1st Draft'!$303:$303,'1st Draft'!$304:$304,'1st Draft'!$305:$305</definedName>
    <definedName name="QB_DATA_14" localSheetId="0" hidden="1">'1st Draft'!$308:$308,'1st Draft'!$309:$309,'1st Draft'!$310:$310,'1st Draft'!$311:$311,'1st Draft'!$312:$312,'1st Draft'!$313:$313,'1st Draft'!$314:$314,'1st Draft'!$315:$315,'1st Draft'!$316:$316,'1st Draft'!$317:$317,'1st Draft'!$320:$320,'1st Draft'!$321:$321,'1st Draft'!$322:$322,'1st Draft'!$323:$323,'1st Draft'!$324:$324,'1st Draft'!$325:$325</definedName>
    <definedName name="QB_DATA_15" localSheetId="0" hidden="1">'1st Draft'!$328:$328,'1st Draft'!$330:$330,'1st Draft'!$334:$334,'1st Draft'!$335:$335,'1st Draft'!$336:$336,'1st Draft'!$337:$337,'1st Draft'!$338:$338,'1st Draft'!$341:$341,'1st Draft'!$342:$342,'1st Draft'!$343:$343,'1st Draft'!$344:$344,'1st Draft'!$345:$345,'1st Draft'!$346:$346,'1st Draft'!$347:$347,'1st Draft'!$348:$348,'1st Draft'!$349:$349</definedName>
    <definedName name="QB_DATA_16" localSheetId="0" hidden="1">'1st Draft'!$350:$350,'1st Draft'!$351:$351,'1st Draft'!$352:$352,'1st Draft'!$353:$353,'1st Draft'!$354:$354,'1st Draft'!$355:$355,'1st Draft'!$357:$357,'1st Draft'!$358:$358,'1st Draft'!$360:$360,'1st Draft'!$361:$361,'1st Draft'!$364:$364,'1st Draft'!$365:$365,'1st Draft'!$366:$366,'1st Draft'!$367:$367,'1st Draft'!$368:$368,'1st Draft'!#REF!</definedName>
    <definedName name="QB_DATA_17" localSheetId="0" hidden="1">'1st Draft'!$371:$371,'1st Draft'!$372:$372,'1st Draft'!$373:$373,'1st Draft'!#REF!,'1st Draft'!$377:$377,'1st Draft'!$378:$378,'1st Draft'!$379:$379,'1st Draft'!$380:$380,'1st Draft'!$381:$381,'1st Draft'!$382:$382,'1st Draft'!$383:$383,'1st Draft'!$384:$384,'1st Draft'!$385:$385,'1st Draft'!$387:$387,'1st Draft'!$388:$388,'1st Draft'!$389:$389</definedName>
    <definedName name="QB_DATA_18" localSheetId="0" hidden="1">'1st Draft'!$390:$390,'1st Draft'!$391:$391,'1st Draft'!$392:$392,'1st Draft'!$393:$393,'1st Draft'!$394:$394,'1st Draft'!$395:$395,'1st Draft'!$396:$396,'1st Draft'!$397:$397,'1st Draft'!$398:$398,'1st Draft'!$399:$399,'1st Draft'!$400:$400,'1st Draft'!$402:$402,'1st Draft'!$404:$404,'1st Draft'!$405:$405,'1st Draft'!$406:$406,'1st Draft'!$407:$407</definedName>
    <definedName name="QB_DATA_19" localSheetId="0" hidden="1">'1st Draft'!$408:$408,'1st Draft'!$409:$409,'1st Draft'!$410:$410,'1st Draft'!$411:$411,'1st Draft'!$412:$412,'1st Draft'!$413:$413,'1st Draft'!$414:$414,'1st Draft'!$415:$415,'1st Draft'!$416:$416,'1st Draft'!$417:$417,'1st Draft'!$418:$418,'1st Draft'!$419:$419,'1st Draft'!$420:$420,'1st Draft'!$421:$421,'1st Draft'!$423:$423,'1st Draft'!$424:$424</definedName>
    <definedName name="QB_DATA_2" localSheetId="0" hidden="1">'1st Draft'!$48:$48,'1st Draft'!$49:$49,'1st Draft'!$50:$50,'1st Draft'!$51:$51,'1st Draft'!$52:$52,'1st Draft'!$53:$53,'1st Draft'!$54:$54,'1st Draft'!$55:$55,'1st Draft'!$56:$56,'1st Draft'!$57:$57,'1st Draft'!$58:$58,'1st Draft'!$59:$59,'1st Draft'!$60:$60,'1st Draft'!$61:$61,'1st Draft'!$63:$63,'1st Draft'!$65:$65</definedName>
    <definedName name="QB_DATA_20" localSheetId="0" hidden="1">'1st Draft'!$429:$429,'1st Draft'!$430:$430,'1st Draft'!$431:$431,'1st Draft'!$432:$432,'1st Draft'!$433:$433,'1st Draft'!$434:$434,'1st Draft'!$435:$435,'1st Draft'!$436:$436,'1st Draft'!$437:$437,'1st Draft'!$438:$438,'1st Draft'!$442:$442,'1st Draft'!$443:$443,'1st Draft'!$444:$444,'1st Draft'!$445:$445,'1st Draft'!$446:$446,'1st Draft'!$447:$447</definedName>
    <definedName name="QB_DATA_21" localSheetId="0" hidden="1">'1st Draft'!$448:$448,'1st Draft'!$449:$449,'1st Draft'!$450:$450,'1st Draft'!$451:$451,'1st Draft'!#REF!,'1st Draft'!$455:$455,'1st Draft'!$456:$456,'1st Draft'!$457:$457,'1st Draft'!$458:$458,'1st Draft'!$459:$459,'1st Draft'!$460:$460,'1st Draft'!$461:$461,'1st Draft'!#REF!,'1st Draft'!$464:$464,'1st Draft'!$465:$465,'1st Draft'!$466:$466</definedName>
    <definedName name="QB_DATA_22" localSheetId="0" hidden="1">'1st Draft'!$469:$469,'1st Draft'!$470:$470,'1st Draft'!$471:$471,'1st Draft'!$472:$472,'1st Draft'!$473:$473,'1st Draft'!$474:$474,'1st Draft'!$475:$475,'1st Draft'!$476:$476,'1st Draft'!$477:$477,'1st Draft'!$480:$480,'1st Draft'!$481:$481,'1st Draft'!$482:$482,'1st Draft'!$483:$483,'1st Draft'!$484:$484,'1st Draft'!$485:$485,'1st Draft'!$486:$486</definedName>
    <definedName name="QB_DATA_23" localSheetId="0" hidden="1">'1st Draft'!$487:$487,'1st Draft'!#REF!,'1st Draft'!$491:$491,'1st Draft'!$492:$492,'1st Draft'!$493:$493,'1st Draft'!$494:$494,'1st Draft'!$495:$495,'1st Draft'!$496:$496,'1st Draft'!$497:$497,'1st Draft'!$498:$498,'1st Draft'!$499:$499,'1st Draft'!$500:$500,'1st Draft'!$501:$501,'1st Draft'!$502:$502,'1st Draft'!$503:$503,'1st Draft'!$504:$504</definedName>
    <definedName name="QB_DATA_24" localSheetId="0" hidden="1">'1st Draft'!$505:$505,'1st Draft'!$506:$506,'1st Draft'!#REF!,'1st Draft'!$507:$507,'1st Draft'!$508:$508,'1st Draft'!$509:$509,'1st Draft'!$510:$510,'1st Draft'!$511:$511,'1st Draft'!$512:$512,'1st Draft'!$513:$513,'1st Draft'!$515:$515,'1st Draft'!$516:$516,'1st Draft'!$517:$517,'1st Draft'!$519:$519,'1st Draft'!$520:$520,'1st Draft'!$521:$521</definedName>
    <definedName name="QB_DATA_25" localSheetId="0" hidden="1">'1st Draft'!$522:$522,'1st Draft'!$523:$523,'1st Draft'!$524:$524,'1st Draft'!$525:$525,'1st Draft'!$526:$526,'1st Draft'!$527:$527,'1st Draft'!$528:$528,'1st Draft'!$529:$529,'1st Draft'!$530:$530,'1st Draft'!$531:$531,'1st Draft'!$532:$532,'1st Draft'!$533:$533,'1st Draft'!$534:$534,'1st Draft'!$535:$535,'1st Draft'!$536:$536,'1st Draft'!$537:$537</definedName>
    <definedName name="QB_DATA_26" localSheetId="0" hidden="1">'1st Draft'!$538:$538,'1st Draft'!$539:$539,'1st Draft'!$540:$540,'1st Draft'!$541:$541,'1st Draft'!$542:$542,'1st Draft'!$544:$544,'1st Draft'!$545:$545,'1st Draft'!$546:$546,'1st Draft'!#REF!,'1st Draft'!$550:$550,'1st Draft'!$556:$556,'1st Draft'!$558:$558,'1st Draft'!$559:$559,'1st Draft'!$560:$560,'1st Draft'!$561:$561,'1st Draft'!$562:$562</definedName>
    <definedName name="QB_DATA_27" localSheetId="0" hidden="1">'1st Draft'!$565:$565,'1st Draft'!$566:$566,'1st Draft'!$567:$567,'1st Draft'!$572:$572,'1st Draft'!$573:$573,'1st Draft'!$574:$574,'1st Draft'!$575:$575,'1st Draft'!$577:$577</definedName>
    <definedName name="QB_DATA_3" localSheetId="0" hidden="1">'1st Draft'!$66:$66,'1st Draft'!$67:$67,'1st Draft'!$68:$68,'1st Draft'!$69:$69,'1st Draft'!$70:$70,'1st Draft'!$73:$73,'1st Draft'!$74:$74,'1st Draft'!$75:$75,'1st Draft'!$76:$76,'1st Draft'!$77:$77,'1st Draft'!$78:$78,'1st Draft'!$79:$79,'1st Draft'!$80:$80,'1st Draft'!$81:$81,'1st Draft'!$82:$82,'1st Draft'!$85:$85</definedName>
    <definedName name="QB_DATA_4" localSheetId="0" hidden="1">'1st Draft'!$86:$86,'1st Draft'!$87:$87,'1st Draft'!$88:$88,'1st Draft'!$91:$91,'1st Draft'!$92:$92,'1st Draft'!$93:$93,'1st Draft'!$94:$94,'1st Draft'!$95:$95,'1st Draft'!$96:$96,'1st Draft'!$97:$97,'1st Draft'!$98:$98,'1st Draft'!$99:$99,'1st Draft'!$102:$102,'1st Draft'!$103:$103,'1st Draft'!$104:$104,'1st Draft'!$105:$105</definedName>
    <definedName name="QB_DATA_5" localSheetId="0" hidden="1">'1st Draft'!$106:$106,'1st Draft'!$107:$107,'1st Draft'!$108:$108,'1st Draft'!$109:$109,'1st Draft'!$111:$111,'1st Draft'!$112:$112,'1st Draft'!$114:$114,'1st Draft'!$118:$118,'1st Draft'!$119:$119,'1st Draft'!$120:$120,'1st Draft'!$121:$121,'1st Draft'!$122:$122,'1st Draft'!$123:$123,'1st Draft'!$125:$125,'1st Draft'!$126:$126,'1st Draft'!$127:$127</definedName>
    <definedName name="QB_DATA_6" localSheetId="0" hidden="1">'1st Draft'!$128:$128,'1st Draft'!$131:$131,'1st Draft'!$132:$132,'1st Draft'!$133:$133,'1st Draft'!$136:$136,'1st Draft'!$137:$137,'1st Draft'!$138:$138,'1st Draft'!$139:$139,'1st Draft'!$142:$142,'1st Draft'!$145:$145,'1st Draft'!$146:$146,'1st Draft'!$147:$147,'1st Draft'!$148:$148,'1st Draft'!$149:$149,'1st Draft'!$152:$152,'1st Draft'!$153:$153</definedName>
    <definedName name="QB_DATA_7" localSheetId="0" hidden="1">'1st Draft'!$154:$154,'1st Draft'!$157:$157,'1st Draft'!$160:$160,'1st Draft'!$161:$161,'1st Draft'!$162:$162,'1st Draft'!$165:$165,'1st Draft'!$166:$166,'1st Draft'!$168:$168,'1st Draft'!$171:$171,'1st Draft'!$172:$172,'1st Draft'!$173:$173,'1st Draft'!$174:$174,'1st Draft'!$175:$175,'1st Draft'!$176:$176,'1st Draft'!$177:$177,'1st Draft'!$178:$178</definedName>
    <definedName name="QB_DATA_8" localSheetId="0" hidden="1">'1st Draft'!$179:$179,'1st Draft'!$180:$180,'1st Draft'!$181:$181,'1st Draft'!$184:$184,'1st Draft'!$185:$185,'1st Draft'!$186:$186,'1st Draft'!$187:$187,'1st Draft'!$189:$189,'1st Draft'!$192:$192,'1st Draft'!$193:$193,'1st Draft'!$194:$194,'1st Draft'!$195:$195,'1st Draft'!$196:$196,'1st Draft'!$197:$197,'1st Draft'!$199:$199,'1st Draft'!$202:$202</definedName>
    <definedName name="QB_DATA_9" localSheetId="0" hidden="1">'1st Draft'!$203:$203,'1st Draft'!$204:$204,'1st Draft'!$205:$205,'1st Draft'!$206:$206,'1st Draft'!$209:$209,'1st Draft'!$210:$210,'1st Draft'!$211:$211,'1st Draft'!$212:$212,'1st Draft'!$213:$213,'1st Draft'!$214:$214,'1st Draft'!$216:$216,'1st Draft'!$222:$222,'1st Draft'!$223:$223,'1st Draft'!$224:$224,'1st Draft'!$227:$227,'1st Draft'!$229:$229</definedName>
    <definedName name="QB_FORMULA_0" localSheetId="0" hidden="1">'1st Draft'!#REF!,'1st Draft'!#REF!,'1st Draft'!#REF!,'1st Draft'!#REF!,'1st Draft'!#REF!,'1st Draft'!#REF!,'1st Draft'!$N$10,'1st Draft'!$O$10,'1st Draft'!#REF!,'1st Draft'!#REF!,'1st Draft'!#REF!,'1st Draft'!#REF!,'1st Draft'!#REF!,'1st Draft'!#REF!,'1st Draft'!#REF!,'1st Draft'!#REF!</definedName>
    <definedName name="QB_FORMULA_1" localSheetId="0" hidden="1">'1st Draft'!$N$11,'1st Draft'!$O$11,'1st Draft'!#REF!,'1st Draft'!#REF!,'1st Draft'!#REF!,'1st Draft'!#REF!,'1st Draft'!#REF!,'1st Draft'!#REF!,'1st Draft'!$N$12,'1st Draft'!$O$12,'1st Draft'!#REF!,'1st Draft'!#REF!,'1st Draft'!#REF!,'1st Draft'!#REF!,'1st Draft'!#REF!,'1st Draft'!#REF!</definedName>
    <definedName name="QB_FORMULA_10" localSheetId="0" hidden="1">'1st Draft'!#REF!,'1st Draft'!#REF!,'1st Draft'!#REF!,'1st Draft'!#REF!,'1st Draft'!$N$29,'1st Draft'!$O$29,'1st Draft'!#REF!,'1st Draft'!#REF!,'1st Draft'!#REF!,'1st Draft'!#REF!,'1st Draft'!#REF!,'1st Draft'!#REF!,'1st Draft'!#REF!,'1st Draft'!#REF!,'1st Draft'!$N$30,'1st Draft'!$O$30</definedName>
    <definedName name="QB_FORMULA_100" localSheetId="0" hidden="1">'1st Draft'!#REF!,'1st Draft'!$N$186,'1st Draft'!$O$186,'1st Draft'!#REF!,'1st Draft'!#REF!,'1st Draft'!#REF!,'1st Draft'!#REF!,'1st Draft'!#REF!,'1st Draft'!#REF!,'1st Draft'!#REF!,'1st Draft'!#REF!,'1st Draft'!$N$187,'1st Draft'!$O$187,'1st Draft'!#REF!,'1st Draft'!#REF!,'1st Draft'!#REF!</definedName>
    <definedName name="QB_FORMULA_101" localSheetId="0" hidden="1">'1st Draft'!#REF!,'1st Draft'!#REF!,'1st Draft'!#REF!,'1st Draft'!#REF!,'1st Draft'!#REF!,'1st Draft'!$H$188,'1st Draft'!$I$188,'1st Draft'!#REF!,'1st Draft'!#REF!,'1st Draft'!$J$188,'1st Draft'!$K$188,'1st Draft'!#REF!,'1st Draft'!#REF!,'1st Draft'!$L$188,'1st Draft'!$M$188,'1st Draft'!#REF!</definedName>
    <definedName name="QB_FORMULA_102" localSheetId="0" hidden="1">'1st Draft'!#REF!,'1st Draft'!$N$188,'1st Draft'!$O$188,'1st Draft'!#REF!,'1st Draft'!#REF!,'1st Draft'!#REF!,'1st Draft'!#REF!,'1st Draft'!#REF!,'1st Draft'!#REF!,'1st Draft'!#REF!,'1st Draft'!#REF!,'1st Draft'!$N$190,'1st Draft'!$O$190,'1st Draft'!#REF!,'1st Draft'!#REF!,'1st Draft'!$H$191</definedName>
    <definedName name="QB_FORMULA_103" localSheetId="0" hidden="1">'1st Draft'!$I$191,'1st Draft'!#REF!,'1st Draft'!#REF!,'1st Draft'!$J$191,'1st Draft'!$K$191,'1st Draft'!#REF!,'1st Draft'!#REF!,'1st Draft'!$L$191,'1st Draft'!$M$191,'1st Draft'!#REF!,'1st Draft'!#REF!,'1st Draft'!$N$191,'1st Draft'!$O$191,'1st Draft'!#REF!,'1st Draft'!#REF!,'1st Draft'!#REF!</definedName>
    <definedName name="QB_FORMULA_104" localSheetId="0" hidden="1">'1st Draft'!#REF!,'1st Draft'!#REF!,'1st Draft'!#REF!,'1st Draft'!#REF!,'1st Draft'!#REF!,'1st Draft'!$N$193,'1st Draft'!$O$193,'1st Draft'!#REF!,'1st Draft'!#REF!,'1st Draft'!#REF!,'1st Draft'!#REF!,'1st Draft'!#REF!,'1st Draft'!#REF!,'1st Draft'!#REF!,'1st Draft'!#REF!,'1st Draft'!$N$194</definedName>
    <definedName name="QB_FORMULA_105" localSheetId="0" hidden="1">'1st Draft'!$O$194,'1st Draft'!#REF!,'1st Draft'!#REF!,'1st Draft'!#REF!,'1st Draft'!#REF!,'1st Draft'!#REF!,'1st Draft'!#REF!,'1st Draft'!#REF!,'1st Draft'!#REF!,'1st Draft'!$N$195,'1st Draft'!$O$195,'1st Draft'!#REF!,'1st Draft'!#REF!,'1st Draft'!#REF!,'1st Draft'!#REF!,'1st Draft'!#REF!</definedName>
    <definedName name="QB_FORMULA_106" localSheetId="0" hidden="1">'1st Draft'!#REF!,'1st Draft'!#REF!,'1st Draft'!#REF!,'1st Draft'!$N$196,'1st Draft'!$O$196,'1st Draft'!#REF!,'1st Draft'!#REF!,'1st Draft'!#REF!,'1st Draft'!#REF!,'1st Draft'!#REF!,'1st Draft'!#REF!,'1st Draft'!#REF!,'1st Draft'!#REF!,'1st Draft'!$N$197,'1st Draft'!$O$197,'1st Draft'!#REF!</definedName>
    <definedName name="QB_FORMULA_107" localSheetId="0" hidden="1">'1st Draft'!#REF!,'1st Draft'!#REF!,'1st Draft'!#REF!,'1st Draft'!#REF!,'1st Draft'!#REF!,'1st Draft'!#REF!,'1st Draft'!#REF!,'1st Draft'!$H$198,'1st Draft'!$I$198,'1st Draft'!#REF!,'1st Draft'!#REF!,'1st Draft'!$J$198,'1st Draft'!$K$198,'1st Draft'!#REF!,'1st Draft'!#REF!,'1st Draft'!$L$198</definedName>
    <definedName name="QB_FORMULA_108" localSheetId="0" hidden="1">'1st Draft'!$M$198,'1st Draft'!#REF!,'1st Draft'!#REF!,'1st Draft'!$N$198,'1st Draft'!$O$198,'1st Draft'!#REF!,'1st Draft'!#REF!,'1st Draft'!#REF!,'1st Draft'!#REF!,'1st Draft'!#REF!,'1st Draft'!#REF!,'1st Draft'!#REF!,'1st Draft'!#REF!,'1st Draft'!$N$200,'1st Draft'!$O$200,'1st Draft'!#REF!</definedName>
    <definedName name="QB_FORMULA_109" localSheetId="0" hidden="1">'1st Draft'!#REF!,'1st Draft'!$H$201,'1st Draft'!$I$201,'1st Draft'!#REF!,'1st Draft'!#REF!,'1st Draft'!$J$201,'1st Draft'!$K$201,'1st Draft'!#REF!,'1st Draft'!#REF!,'1st Draft'!$L$201,'1st Draft'!$M$201,'1st Draft'!#REF!,'1st Draft'!#REF!,'1st Draft'!$N$201,'1st Draft'!$O$201,'1st Draft'!#REF!</definedName>
    <definedName name="QB_FORMULA_11" localSheetId="0" hidden="1">'1st Draft'!#REF!,'1st Draft'!#REF!,'1st Draft'!#REF!,'1st Draft'!#REF!,'1st Draft'!#REF!,'1st Draft'!#REF!,'1st Draft'!#REF!,'1st Draft'!#REF!,'1st Draft'!$N$31,'1st Draft'!$O$31,'1st Draft'!#REF!,'1st Draft'!#REF!,'1st Draft'!$N$32,'1st Draft'!#REF!,'1st Draft'!#REF!,'1st Draft'!#REF!</definedName>
    <definedName name="QB_FORMULA_110" localSheetId="0" hidden="1">'1st Draft'!#REF!,'1st Draft'!#REF!,'1st Draft'!#REF!,'1st Draft'!#REF!,'1st Draft'!#REF!,'1st Draft'!#REF!,'1st Draft'!#REF!,'1st Draft'!$N$203,'1st Draft'!$O$203,'1st Draft'!#REF!,'1st Draft'!#REF!,'1st Draft'!$N$204,'1st Draft'!#REF!,'1st Draft'!#REF!,'1st Draft'!#REF!,'1st Draft'!#REF!</definedName>
    <definedName name="QB_FORMULA_111" localSheetId="0" hidden="1">'1st Draft'!#REF!,'1st Draft'!#REF!,'1st Draft'!$N$205,'1st Draft'!$O$205,'1st Draft'!#REF!,'1st Draft'!#REF!,'1st Draft'!#REF!,'1st Draft'!#REF!,'1st Draft'!#REF!,'1st Draft'!#REF!,'1st Draft'!#REF!,'1st Draft'!#REF!,'1st Draft'!$N$206,'1st Draft'!$O$206,'1st Draft'!#REF!,'1st Draft'!#REF!</definedName>
    <definedName name="QB_FORMULA_112" localSheetId="0" hidden="1">'1st Draft'!#REF!,'1st Draft'!#REF!,'1st Draft'!#REF!,'1st Draft'!#REF!,'1st Draft'!#REF!,'1st Draft'!#REF!,'1st Draft'!$H$207,'1st Draft'!$I$207,'1st Draft'!#REF!,'1st Draft'!#REF!,'1st Draft'!$J$207,'1st Draft'!$K$207,'1st Draft'!#REF!,'1st Draft'!#REF!,'1st Draft'!$L$207,'1st Draft'!$M$207</definedName>
    <definedName name="QB_FORMULA_113" localSheetId="0" hidden="1">'1st Draft'!#REF!,'1st Draft'!#REF!,'1st Draft'!$N$207,'1st Draft'!$O$207,'1st Draft'!#REF!,'1st Draft'!#REF!,'1st Draft'!#REF!,'1st Draft'!#REF!,'1st Draft'!#REF!,'1st Draft'!#REF!,'1st Draft'!#REF!,'1st Draft'!#REF!,'1st Draft'!$N$210,'1st Draft'!$O$210,'1st Draft'!#REF!,'1st Draft'!#REF!</definedName>
    <definedName name="QB_FORMULA_114" localSheetId="0" hidden="1">'1st Draft'!#REF!,'1st Draft'!#REF!,'1st Draft'!#REF!,'1st Draft'!#REF!,'1st Draft'!#REF!,'1st Draft'!#REF!,'1st Draft'!$N$211,'1st Draft'!$O$211,'1st Draft'!#REF!,'1st Draft'!#REF!,'1st Draft'!$N$212,'1st Draft'!#REF!,'1st Draft'!#REF!,'1st Draft'!#REF!,'1st Draft'!#REF!,'1st Draft'!#REF!</definedName>
    <definedName name="QB_FORMULA_115" localSheetId="0" hidden="1">'1st Draft'!#REF!,'1st Draft'!$N$213,'1st Draft'!$O$213,'1st Draft'!#REF!,'1st Draft'!#REF!,'1st Draft'!#REF!,'1st Draft'!#REF!,'1st Draft'!#REF!,'1st Draft'!#REF!,'1st Draft'!#REF!,'1st Draft'!#REF!,'1st Draft'!$N$214,'1st Draft'!$O$214,'1st Draft'!#REF!,'1st Draft'!#REF!,'1st Draft'!#REF!</definedName>
    <definedName name="QB_FORMULA_116" localSheetId="0" hidden="1">'1st Draft'!#REF!,'1st Draft'!#REF!,'1st Draft'!#REF!,'1st Draft'!#REF!,'1st Draft'!#REF!,'1st Draft'!$H$215,'1st Draft'!$I$215,'1st Draft'!#REF!,'1st Draft'!#REF!,'1st Draft'!$J$215,'1st Draft'!$K$215,'1st Draft'!#REF!,'1st Draft'!#REF!,'1st Draft'!$L$215,'1st Draft'!$M$215,'1st Draft'!#REF!</definedName>
    <definedName name="QB_FORMULA_117" localSheetId="0" hidden="1">'1st Draft'!#REF!,'1st Draft'!$N$215,'1st Draft'!$O$215,'1st Draft'!#REF!,'1st Draft'!#REF!,'1st Draft'!$N$217,'1st Draft'!$H$218,'1st Draft'!$J$218,'1st Draft'!$L$218,'1st Draft'!$N$218,'1st Draft'!$H$219,'1st Draft'!$I$219,'1st Draft'!#REF!,'1st Draft'!#REF!,'1st Draft'!$J$219,'1st Draft'!$K$219</definedName>
    <definedName name="QB_FORMULA_118" localSheetId="0" hidden="1">'1st Draft'!#REF!,'1st Draft'!#REF!,'1st Draft'!$L$219,'1st Draft'!$M$219,'1st Draft'!#REF!,'1st Draft'!#REF!,'1st Draft'!$N$219,'1st Draft'!$O$219,'1st Draft'!#REF!,'1st Draft'!#REF!,'1st Draft'!$H$220,'1st Draft'!$I$220,'1st Draft'!#REF!,'1st Draft'!#REF!,'1st Draft'!$J$220,'1st Draft'!$K$220</definedName>
    <definedName name="QB_FORMULA_119" localSheetId="0" hidden="1">'1st Draft'!#REF!,'1st Draft'!#REF!,'1st Draft'!$L$220,'1st Draft'!$M$220,'1st Draft'!#REF!,'1st Draft'!#REF!,'1st Draft'!$N$220,'1st Draft'!$O$220,'1st Draft'!#REF!,'1st Draft'!#REF!,'1st Draft'!#REF!,'1st Draft'!#REF!,'1st Draft'!#REF!,'1st Draft'!#REF!,'1st Draft'!#REF!,'1st Draft'!#REF!</definedName>
    <definedName name="QB_FORMULA_12" localSheetId="0" hidden="1">'1st Draft'!#REF!,'1st Draft'!#REF!,'1st Draft'!#REF!,'1st Draft'!$N$33,'1st Draft'!$O$33,'1st Draft'!#REF!,'1st Draft'!#REF!,'1st Draft'!#REF!,'1st Draft'!#REF!,'1st Draft'!#REF!,'1st Draft'!#REF!,'1st Draft'!#REF!,'1st Draft'!#REF!,'1st Draft'!$N$34,'1st Draft'!$O$34,'1st Draft'!#REF!</definedName>
    <definedName name="QB_FORMULA_120" localSheetId="0" hidden="1">'1st Draft'!$N$223,'1st Draft'!$O$223,'1st Draft'!#REF!,'1st Draft'!#REF!,'1st Draft'!#REF!,'1st Draft'!#REF!,'1st Draft'!#REF!,'1st Draft'!#REF!,'1st Draft'!#REF!,'1st Draft'!#REF!,'1st Draft'!$N$224,'1st Draft'!$O$224,'1st Draft'!#REF!,'1st Draft'!#REF!,'1st Draft'!#REF!,'1st Draft'!#REF!</definedName>
    <definedName name="QB_FORMULA_121" localSheetId="0" hidden="1">'1st Draft'!#REF!,'1st Draft'!#REF!,'1st Draft'!#REF!,'1st Draft'!#REF!,'1st Draft'!$H$225,'1st Draft'!$I$225,'1st Draft'!#REF!,'1st Draft'!#REF!,'1st Draft'!$J$225,'1st Draft'!$K$225,'1st Draft'!#REF!,'1st Draft'!#REF!,'1st Draft'!$L$225,'1st Draft'!$M$225,'1st Draft'!#REF!,'1st Draft'!#REF!</definedName>
    <definedName name="QB_FORMULA_122" localSheetId="0" hidden="1">'1st Draft'!$N$225,'1st Draft'!$O$225,'1st Draft'!#REF!,'1st Draft'!#REF!,'1st Draft'!#REF!,'1st Draft'!#REF!,'1st Draft'!#REF!,'1st Draft'!#REF!,'1st Draft'!#REF!,'1st Draft'!#REF!,'1st Draft'!$N$228,'1st Draft'!$O$228,'1st Draft'!#REF!,'1st Draft'!#REF!,'1st Draft'!#REF!,'1st Draft'!#REF!</definedName>
    <definedName name="QB_FORMULA_123" localSheetId="0" hidden="1">'1st Draft'!#REF!,'1st Draft'!#REF!,'1st Draft'!#REF!,'1st Draft'!#REF!,'1st Draft'!$N$230,'1st Draft'!$O$230,'1st Draft'!#REF!,'1st Draft'!#REF!,'1st Draft'!#REF!,'1st Draft'!#REF!,'1st Draft'!#REF!,'1st Draft'!#REF!,'1st Draft'!#REF!,'1st Draft'!#REF!,'1st Draft'!$N$231,'1st Draft'!$O$231</definedName>
    <definedName name="QB_FORMULA_124" localSheetId="0" hidden="1">'1st Draft'!#REF!,'1st Draft'!#REF!,'1st Draft'!#REF!,'1st Draft'!#REF!,'1st Draft'!#REF!,'1st Draft'!#REF!,'1st Draft'!#REF!,'1st Draft'!#REF!,'1st Draft'!$N$232,'1st Draft'!$O$232,'1st Draft'!#REF!,'1st Draft'!#REF!,'1st Draft'!#REF!,'1st Draft'!#REF!,'1st Draft'!$N$233,'1st Draft'!$O$233</definedName>
    <definedName name="QB_FORMULA_125" localSheetId="0" hidden="1">'1st Draft'!#REF!,'1st Draft'!#REF!,'1st Draft'!$H$234,'1st Draft'!$I$234,'1st Draft'!#REF!,'1st Draft'!#REF!,'1st Draft'!$J$234,'1st Draft'!$K$234,'1st Draft'!#REF!,'1st Draft'!#REF!,'1st Draft'!$L$234,'1st Draft'!$M$234,'1st Draft'!#REF!,'1st Draft'!#REF!,'1st Draft'!$N$234,'1st Draft'!$O$234</definedName>
    <definedName name="QB_FORMULA_126" localSheetId="0" hidden="1">'1st Draft'!#REF!,'1st Draft'!#REF!,'1st Draft'!#REF!,'1st Draft'!#REF!,'1st Draft'!#REF!,'1st Draft'!#REF!,'1st Draft'!#REF!,'1st Draft'!#REF!,'1st Draft'!$N$236,'1st Draft'!$O$236,'1st Draft'!#REF!,'1st Draft'!#REF!,'1st Draft'!#REF!,'1st Draft'!#REF!,'1st Draft'!#REF!,'1st Draft'!#REF!</definedName>
    <definedName name="QB_FORMULA_127" localSheetId="0" hidden="1">'1st Draft'!#REF!,'1st Draft'!#REF!,'1st Draft'!$N$237,'1st Draft'!$O$237,'1st Draft'!#REF!,'1st Draft'!#REF!,'1st Draft'!#REF!,'1st Draft'!#REF!,'1st Draft'!#REF!,'1st Draft'!#REF!,'1st Draft'!#REF!,'1st Draft'!#REF!,'1st Draft'!$N$238,'1st Draft'!$O$238,'1st Draft'!#REF!,'1st Draft'!#REF!</definedName>
    <definedName name="QB_FORMULA_128" localSheetId="0" hidden="1">'1st Draft'!#REF!,'1st Draft'!#REF!,'1st Draft'!#REF!,'1st Draft'!#REF!,'1st Draft'!#REF!,'1st Draft'!#REF!,'1st Draft'!$N$239,'1st Draft'!$O$239,'1st Draft'!#REF!,'1st Draft'!#REF!,'1st Draft'!#REF!,'1st Draft'!#REF!,'1st Draft'!$N$240,'1st Draft'!$O$240,'1st Draft'!#REF!,'1st Draft'!#REF!</definedName>
    <definedName name="QB_FORMULA_129" localSheetId="0" hidden="1">'1st Draft'!#REF!,'1st Draft'!#REF!,'1st Draft'!#REF!,'1st Draft'!#REF!,'1st Draft'!#REF!,'1st Draft'!#REF!,'1st Draft'!$N$241,'1st Draft'!$O$241,'1st Draft'!#REF!,'1st Draft'!#REF!,'1st Draft'!#REF!,'1st Draft'!#REF!,'1st Draft'!#REF!,'1st Draft'!#REF!,'1st Draft'!#REF!,'1st Draft'!#REF!</definedName>
    <definedName name="QB_FORMULA_13" localSheetId="0" hidden="1">'1st Draft'!#REF!,'1st Draft'!#REF!,'1st Draft'!#REF!,'1st Draft'!#REF!,'1st Draft'!#REF!,'1st Draft'!#REF!,'1st Draft'!#REF!,'1st Draft'!$N$35,'1st Draft'!$O$35,'1st Draft'!#REF!,'1st Draft'!#REF!,'1st Draft'!$N$36,'1st Draft'!#REF!,'1st Draft'!#REF!,'1st Draft'!$N$37,'1st Draft'!$O$37</definedName>
    <definedName name="QB_FORMULA_130" localSheetId="0" hidden="1">'1st Draft'!$N$242,'1st Draft'!$O$242,'1st Draft'!#REF!,'1st Draft'!#REF!,'1st Draft'!#REF!,'1st Draft'!#REF!,'1st Draft'!#REF!,'1st Draft'!#REF!,'1st Draft'!#REF!,'1st Draft'!#REF!,'1st Draft'!$N$243,'1st Draft'!$O$243,'1st Draft'!#REF!,'1st Draft'!#REF!,'1st Draft'!$N$244,'1st Draft'!#REF!</definedName>
    <definedName name="QB_FORMULA_131" localSheetId="0" hidden="1">'1st Draft'!#REF!,'1st Draft'!#REF!,'1st Draft'!#REF!,'1st Draft'!#REF!,'1st Draft'!#REF!,'1st Draft'!$N$245,'1st Draft'!$O$245,'1st Draft'!#REF!,'1st Draft'!#REF!,'1st Draft'!#REF!,'1st Draft'!#REF!,'1st Draft'!$N$246,'1st Draft'!$O$246,'1st Draft'!#REF!,'1st Draft'!#REF!,'1st Draft'!#REF!</definedName>
    <definedName name="QB_FORMULA_132" localSheetId="0" hidden="1">'1st Draft'!#REF!,'1st Draft'!#REF!,'1st Draft'!#REF!,'1st Draft'!#REF!,'1st Draft'!#REF!,'1st Draft'!$N$247,'1st Draft'!$O$247,'1st Draft'!#REF!,'1st Draft'!#REF!,'1st Draft'!#REF!,'1st Draft'!#REF!,'1st Draft'!#REF!,'1st Draft'!#REF!,'1st Draft'!#REF!,'1st Draft'!#REF!,'1st Draft'!$N$248</definedName>
    <definedName name="QB_FORMULA_133" localSheetId="0" hidden="1">'1st Draft'!$O$248,'1st Draft'!#REF!,'1st Draft'!#REF!,'1st Draft'!#REF!,'1st Draft'!#REF!,'1st Draft'!#REF!,'1st Draft'!#REF!,'1st Draft'!#REF!,'1st Draft'!#REF!,'1st Draft'!$N$249,'1st Draft'!$O$249,'1st Draft'!#REF!,'1st Draft'!#REF!,'1st Draft'!$N$250,'1st Draft'!#REF!,'1st Draft'!#REF!</definedName>
    <definedName name="QB_FORMULA_134" localSheetId="0" hidden="1">'1st Draft'!#REF!,'1st Draft'!#REF!,'1st Draft'!#REF!,'1st Draft'!#REF!,'1st Draft'!$N$251,'1st Draft'!$O$251,'1st Draft'!#REF!,'1st Draft'!#REF!,'1st Draft'!#REF!,'1st Draft'!#REF!,'1st Draft'!#REF!,'1st Draft'!#REF!,'1st Draft'!#REF!,'1st Draft'!#REF!,'1st Draft'!$N$252,'1st Draft'!$O$252</definedName>
    <definedName name="QB_FORMULA_135" localSheetId="0" hidden="1">'1st Draft'!#REF!,'1st Draft'!#REF!,'1st Draft'!#REF!,'1st Draft'!#REF!,'1st Draft'!#REF!,'1st Draft'!#REF!,'1st Draft'!#REF!,'1st Draft'!#REF!,'1st Draft'!$N$253,'1st Draft'!$O$253,'1st Draft'!#REF!,'1st Draft'!#REF!,'1st Draft'!$N$254,'1st Draft'!#REF!,'1st Draft'!#REF!,'1st Draft'!$N$255</definedName>
    <definedName name="QB_FORMULA_136" localSheetId="0" hidden="1">'1st Draft'!$O$255,'1st Draft'!#REF!,'1st Draft'!#REF!,'1st Draft'!#REF!,'1st Draft'!#REF!,'1st Draft'!$N$256,'1st Draft'!$O$256,'1st Draft'!#REF!,'1st Draft'!#REF!,'1st Draft'!$H$257,'1st Draft'!$I$257,'1st Draft'!#REF!,'1st Draft'!#REF!,'1st Draft'!$J$257,'1st Draft'!$K$257,'1st Draft'!#REF!</definedName>
    <definedName name="QB_FORMULA_137" localSheetId="0" hidden="1">'1st Draft'!#REF!,'1st Draft'!$L$257,'1st Draft'!$M$257,'1st Draft'!#REF!,'1st Draft'!#REF!,'1st Draft'!$N$257,'1st Draft'!$O$257,'1st Draft'!#REF!,'1st Draft'!#REF!,'1st Draft'!#REF!,'1st Draft'!#REF!,'1st Draft'!#REF!,'1st Draft'!#REF!,'1st Draft'!#REF!,'1st Draft'!#REF!,'1st Draft'!$N$259</definedName>
    <definedName name="QB_FORMULA_138" localSheetId="0" hidden="1">'1st Draft'!$O$259,'1st Draft'!#REF!,'1st Draft'!#REF!,'1st Draft'!#REF!,'1st Draft'!#REF!,'1st Draft'!$N$260,'1st Draft'!$O$260,'1st Draft'!#REF!,'1st Draft'!#REF!,'1st Draft'!#REF!,'1st Draft'!#REF!,'1st Draft'!#REF!,'1st Draft'!#REF!,'1st Draft'!#REF!,'1st Draft'!#REF!,'1st Draft'!$N$261</definedName>
    <definedName name="QB_FORMULA_139" localSheetId="0" hidden="1">'1st Draft'!$O$261,'1st Draft'!#REF!,'1st Draft'!#REF!,'1st Draft'!#REF!,'1st Draft'!#REF!,'1st Draft'!$N$262,'1st Draft'!$O$262,'1st Draft'!#REF!,'1st Draft'!#REF!,'1st Draft'!$H$263,'1st Draft'!$I$263,'1st Draft'!#REF!,'1st Draft'!#REF!,'1st Draft'!$J$263,'1st Draft'!$K$263,'1st Draft'!#REF!</definedName>
    <definedName name="QB_FORMULA_14" localSheetId="0" hidden="1">'1st Draft'!#REF!,'1st Draft'!#REF!,'1st Draft'!#REF!,'1st Draft'!#REF!,'1st Draft'!$N$38,'1st Draft'!$O$38,'1st Draft'!#REF!,'1st Draft'!#REF!,'1st Draft'!$H$39,'1st Draft'!$I$39,'1st Draft'!#REF!,'1st Draft'!#REF!,'1st Draft'!$J$39,'1st Draft'!$K$39,'1st Draft'!#REF!,'1st Draft'!#REF!</definedName>
    <definedName name="QB_FORMULA_140" localSheetId="0" hidden="1">'1st Draft'!#REF!,'1st Draft'!$L$263,'1st Draft'!$M$263,'1st Draft'!#REF!,'1st Draft'!#REF!,'1st Draft'!$N$263,'1st Draft'!$O$263,'1st Draft'!#REF!,'1st Draft'!#REF!,'1st Draft'!#REF!,'1st Draft'!#REF!,'1st Draft'!#REF!,'1st Draft'!#REF!,'1st Draft'!#REF!,'1st Draft'!#REF!,'1st Draft'!$N$265</definedName>
    <definedName name="QB_FORMULA_141" localSheetId="0" hidden="1">'1st Draft'!$O$265,'1st Draft'!#REF!,'1st Draft'!#REF!,'1st Draft'!#REF!,'1st Draft'!#REF!,'1st Draft'!#REF!,'1st Draft'!#REF!,'1st Draft'!#REF!,'1st Draft'!#REF!,'1st Draft'!$N$266,'1st Draft'!$O$266,'1st Draft'!#REF!,'1st Draft'!#REF!,'1st Draft'!#REF!,'1st Draft'!#REF!,'1st Draft'!#REF!</definedName>
    <definedName name="QB_FORMULA_142" localSheetId="0" hidden="1">'1st Draft'!#REF!,'1st Draft'!#REF!,'1st Draft'!#REF!,'1st Draft'!$N$267,'1st Draft'!$O$267,'1st Draft'!#REF!,'1st Draft'!#REF!,'1st Draft'!#REF!,'1st Draft'!#REF!,'1st Draft'!#REF!,'1st Draft'!#REF!,'1st Draft'!#REF!,'1st Draft'!#REF!,'1st Draft'!$N$268,'1st Draft'!$O$268,'1st Draft'!#REF!</definedName>
    <definedName name="QB_FORMULA_143" localSheetId="0" hidden="1">'1st Draft'!#REF!,'1st Draft'!#REF!,'1st Draft'!#REF!,'1st Draft'!$N$269,'1st Draft'!$O$269,'1st Draft'!#REF!,'1st Draft'!#REF!,'1st Draft'!#REF!,'1st Draft'!#REF!,'1st Draft'!#REF!,'1st Draft'!#REF!,'1st Draft'!#REF!,'1st Draft'!#REF!,'1st Draft'!$N$270,'1st Draft'!$O$270,'1st Draft'!#REF!</definedName>
    <definedName name="QB_FORMULA_144" localSheetId="0" hidden="1">'1st Draft'!#REF!,'1st Draft'!#REF!,'1st Draft'!#REF!,'1st Draft'!#REF!,'1st Draft'!#REF!,'1st Draft'!#REF!,'1st Draft'!#REF!,'1st Draft'!$N$271,'1st Draft'!$O$271,'1st Draft'!#REF!,'1st Draft'!#REF!,'1st Draft'!#REF!,'1st Draft'!#REF!,'1st Draft'!#REF!,'1st Draft'!#REF!,'1st Draft'!#REF!</definedName>
    <definedName name="QB_FORMULA_145" localSheetId="0" hidden="1">'1st Draft'!#REF!,'1st Draft'!$N$272,'1st Draft'!$O$272,'1st Draft'!#REF!,'1st Draft'!#REF!,'1st Draft'!#REF!,'1st Draft'!#REF!,'1st Draft'!#REF!,'1st Draft'!#REF!,'1st Draft'!#REF!,'1st Draft'!#REF!,'1st Draft'!$N$273,'1st Draft'!$O$273,'1st Draft'!#REF!,'1st Draft'!#REF!,'1st Draft'!#REF!</definedName>
    <definedName name="QB_FORMULA_146" localSheetId="0" hidden="1">'1st Draft'!#REF!,'1st Draft'!#REF!,'1st Draft'!#REF!,'1st Draft'!#REF!,'1st Draft'!#REF!,'1st Draft'!$N$274,'1st Draft'!$O$274,'1st Draft'!#REF!,'1st Draft'!#REF!,'1st Draft'!#REF!,'1st Draft'!#REF!,'1st Draft'!#REF!,'1st Draft'!#REF!,'1st Draft'!#REF!,'1st Draft'!#REF!,'1st Draft'!$N$275</definedName>
    <definedName name="QB_FORMULA_147" localSheetId="0" hidden="1">'1st Draft'!$O$275,'1st Draft'!#REF!,'1st Draft'!#REF!,'1st Draft'!#REF!,'1st Draft'!#REF!,'1st Draft'!#REF!,'1st Draft'!#REF!,'1st Draft'!#REF!,'1st Draft'!#REF!,'1st Draft'!$N$276,'1st Draft'!$O$276,'1st Draft'!#REF!,'1st Draft'!#REF!,'1st Draft'!#REF!,'1st Draft'!#REF!,'1st Draft'!#REF!</definedName>
    <definedName name="QB_FORMULA_148" localSheetId="0" hidden="1">'1st Draft'!#REF!,'1st Draft'!#REF!,'1st Draft'!#REF!,'1st Draft'!$N$277,'1st Draft'!$O$277,'1st Draft'!#REF!,'1st Draft'!#REF!,'1st Draft'!#REF!,'1st Draft'!#REF!,'1st Draft'!#REF!,'1st Draft'!#REF!,'1st Draft'!#REF!,'1st Draft'!#REF!,'1st Draft'!$N$278,'1st Draft'!$O$278,'1st Draft'!#REF!</definedName>
    <definedName name="QB_FORMULA_149" localSheetId="0" hidden="1">'1st Draft'!#REF!,'1st Draft'!#REF!,'1st Draft'!#REF!,'1st Draft'!$N$279,'1st Draft'!$O$279,'1st Draft'!#REF!,'1st Draft'!#REF!,'1st Draft'!$H$280,'1st Draft'!$I$280,'1st Draft'!#REF!,'1st Draft'!#REF!,'1st Draft'!$J$280,'1st Draft'!$K$280,'1st Draft'!#REF!,'1st Draft'!#REF!,'1st Draft'!$L$280</definedName>
    <definedName name="QB_FORMULA_15" localSheetId="0" hidden="1">'1st Draft'!$L$39,'1st Draft'!$M$39,'1st Draft'!#REF!,'1st Draft'!#REF!,'1st Draft'!$N$39,'1st Draft'!$O$39,'1st Draft'!#REF!,'1st Draft'!#REF!,'1st Draft'!#REF!,'1st Draft'!#REF!,'1st Draft'!#REF!,'1st Draft'!#REF!,'1st Draft'!#REF!,'1st Draft'!#REF!,'1st Draft'!$N$41,'1st Draft'!$O$41</definedName>
    <definedName name="QB_FORMULA_150" localSheetId="0" hidden="1">'1st Draft'!$M$280,'1st Draft'!#REF!,'1st Draft'!#REF!,'1st Draft'!$N$280,'1st Draft'!$O$280,'1st Draft'!#REF!,'1st Draft'!#REF!,'1st Draft'!#REF!,'1st Draft'!#REF!,'1st Draft'!#REF!,'1st Draft'!#REF!,'1st Draft'!#REF!,'1st Draft'!#REF!,'1st Draft'!$N$282,'1st Draft'!$O$282,'1st Draft'!#REF!</definedName>
    <definedName name="QB_FORMULA_151" localSheetId="0" hidden="1">'1st Draft'!#REF!,'1st Draft'!#REF!,'1st Draft'!#REF!,'1st Draft'!#REF!,'1st Draft'!#REF!,'1st Draft'!#REF!,'1st Draft'!#REF!,'1st Draft'!$N$283,'1st Draft'!$O$283,'1st Draft'!#REF!,'1st Draft'!#REF!,'1st Draft'!#REF!,'1st Draft'!#REF!,'1st Draft'!#REF!,'1st Draft'!#REF!,'1st Draft'!#REF!</definedName>
    <definedName name="QB_FORMULA_152" localSheetId="0" hidden="1">'1st Draft'!#REF!,'1st Draft'!$N$284,'1st Draft'!$O$284,'1st Draft'!#REF!,'1st Draft'!#REF!,'1st Draft'!#REF!,'1st Draft'!#REF!,'1st Draft'!#REF!,'1st Draft'!#REF!,'1st Draft'!#REF!,'1st Draft'!#REF!,'1st Draft'!$N$285,'1st Draft'!$O$285,'1st Draft'!#REF!,'1st Draft'!#REF!,'1st Draft'!#REF!</definedName>
    <definedName name="QB_FORMULA_153" localSheetId="0" hidden="1">'1st Draft'!#REF!,'1st Draft'!#REF!,'1st Draft'!#REF!,'1st Draft'!#REF!,'1st Draft'!#REF!,'1st Draft'!$N$286,'1st Draft'!$O$286,'1st Draft'!#REF!,'1st Draft'!#REF!,'1st Draft'!#REF!,'1st Draft'!#REF!,'1st Draft'!#REF!,'1st Draft'!#REF!,'1st Draft'!#REF!,'1st Draft'!#REF!,'1st Draft'!$N$287</definedName>
    <definedName name="QB_FORMULA_154" localSheetId="0" hidden="1">'1st Draft'!$O$287,'1st Draft'!#REF!,'1st Draft'!#REF!,'1st Draft'!$H$288,'1st Draft'!$I$288,'1st Draft'!#REF!,'1st Draft'!#REF!,'1st Draft'!$J$288,'1st Draft'!$K$288,'1st Draft'!#REF!,'1st Draft'!#REF!,'1st Draft'!$L$288,'1st Draft'!$M$288,'1st Draft'!#REF!,'1st Draft'!#REF!,'1st Draft'!$N$288</definedName>
    <definedName name="QB_FORMULA_155" localSheetId="0" hidden="1">'1st Draft'!$O$288,'1st Draft'!#REF!,'1st Draft'!#REF!,'1st Draft'!#REF!,'1st Draft'!#REF!,'1st Draft'!#REF!,'1st Draft'!#REF!,'1st Draft'!#REF!,'1st Draft'!#REF!,'1st Draft'!$N$290,'1st Draft'!$O$290,'1st Draft'!#REF!,'1st Draft'!#REF!,'1st Draft'!#REF!,'1st Draft'!#REF!,'1st Draft'!#REF!</definedName>
    <definedName name="QB_FORMULA_156" localSheetId="0" hidden="1">'1st Draft'!#REF!,'1st Draft'!#REF!,'1st Draft'!#REF!,'1st Draft'!$N$291,'1st Draft'!$O$291,'1st Draft'!#REF!,'1st Draft'!#REF!,'1st Draft'!#REF!,'1st Draft'!#REF!,'1st Draft'!#REF!,'1st Draft'!#REF!,'1st Draft'!#REF!,'1st Draft'!#REF!,'1st Draft'!$N$292,'1st Draft'!$O$292,'1st Draft'!#REF!</definedName>
    <definedName name="QB_FORMULA_157" localSheetId="0" hidden="1">'1st Draft'!#REF!,'1st Draft'!#REF!,'1st Draft'!#REF!,'1st Draft'!#REF!,'1st Draft'!#REF!,'1st Draft'!#REF!,'1st Draft'!#REF!,'1st Draft'!$N$293,'1st Draft'!$O$293,'1st Draft'!#REF!,'1st Draft'!#REF!,'1st Draft'!#REF!,'1st Draft'!#REF!,'1st Draft'!#REF!,'1st Draft'!#REF!,'1st Draft'!#REF!</definedName>
    <definedName name="QB_FORMULA_158" localSheetId="0" hidden="1">'1st Draft'!#REF!,'1st Draft'!$N$294,'1st Draft'!$O$294,'1st Draft'!#REF!,'1st Draft'!#REF!,'1st Draft'!#REF!,'1st Draft'!#REF!,'1st Draft'!#REF!,'1st Draft'!#REF!,'1st Draft'!#REF!,'1st Draft'!#REF!,'1st Draft'!$N$295,'1st Draft'!$O$295,'1st Draft'!#REF!,'1st Draft'!#REF!,'1st Draft'!#REF!</definedName>
    <definedName name="QB_FORMULA_159" localSheetId="0" hidden="1">'1st Draft'!#REF!,'1st Draft'!#REF!,'1st Draft'!#REF!,'1st Draft'!#REF!,'1st Draft'!#REF!,'1st Draft'!$N$296,'1st Draft'!$O$296,'1st Draft'!#REF!,'1st Draft'!#REF!,'1st Draft'!#REF!,'1st Draft'!#REF!,'1st Draft'!#REF!,'1st Draft'!#REF!,'1st Draft'!#REF!,'1st Draft'!#REF!,'1st Draft'!$N$297</definedName>
    <definedName name="QB_FORMULA_16" localSheetId="0" hidden="1">'1st Draft'!#REF!,'1st Draft'!#REF!,'1st Draft'!#REF!,'1st Draft'!#REF!,'1st Draft'!$N$42,'1st Draft'!$O$42,'1st Draft'!#REF!,'1st Draft'!#REF!,'1st Draft'!#REF!,'1st Draft'!#REF!,'1st Draft'!#REF!,'1st Draft'!#REF!,'1st Draft'!#REF!,'1st Draft'!#REF!,'1st Draft'!$N$43,'1st Draft'!$O$43</definedName>
    <definedName name="QB_FORMULA_160" localSheetId="0" hidden="1">'1st Draft'!$O$297,'1st Draft'!#REF!,'1st Draft'!#REF!,'1st Draft'!$N$298,'1st Draft'!#REF!,'1st Draft'!#REF!,'1st Draft'!$N$299,'1st Draft'!$O$299,'1st Draft'!#REF!,'1st Draft'!#REF!,'1st Draft'!#REF!,'1st Draft'!#REF!,'1st Draft'!$N$300,'1st Draft'!$O$300,'1st Draft'!#REF!,'1st Draft'!#REF!</definedName>
    <definedName name="QB_FORMULA_161" localSheetId="0" hidden="1">'1st Draft'!$H$301,'1st Draft'!$I$301,'1st Draft'!#REF!,'1st Draft'!#REF!,'1st Draft'!$J$301,'1st Draft'!$K$301,'1st Draft'!#REF!,'1st Draft'!#REF!,'1st Draft'!$L$301,'1st Draft'!$M$301,'1st Draft'!#REF!,'1st Draft'!#REF!,'1st Draft'!$N$301,'1st Draft'!$O$301,'1st Draft'!#REF!,'1st Draft'!#REF!</definedName>
    <definedName name="QB_FORMULA_162" localSheetId="0" hidden="1">'1st Draft'!#REF!,'1st Draft'!#REF!,'1st Draft'!#REF!,'1st Draft'!#REF!,'1st Draft'!#REF!,'1st Draft'!#REF!,'1st Draft'!$N$303,'1st Draft'!$O$303,'1st Draft'!#REF!,'1st Draft'!#REF!,'1st Draft'!#REF!,'1st Draft'!#REF!,'1st Draft'!#REF!,'1st Draft'!#REF!,'1st Draft'!#REF!,'1st Draft'!#REF!</definedName>
    <definedName name="QB_FORMULA_163" localSheetId="0" hidden="1">'1st Draft'!$N$304,'1st Draft'!$O$304,'1st Draft'!#REF!,'1st Draft'!#REF!,'1st Draft'!#REF!,'1st Draft'!#REF!,'1st Draft'!#REF!,'1st Draft'!#REF!,'1st Draft'!#REF!,'1st Draft'!#REF!,'1st Draft'!$N$305,'1st Draft'!$O$305,'1st Draft'!#REF!,'1st Draft'!#REF!,'1st Draft'!#REF!,'1st Draft'!#REF!</definedName>
    <definedName name="QB_FORMULA_164" localSheetId="0" hidden="1">'1st Draft'!#REF!,'1st Draft'!#REF!,'1st Draft'!#REF!,'1st Draft'!#REF!,'1st Draft'!$N$306,'1st Draft'!$O$306,'1st Draft'!#REF!,'1st Draft'!#REF!,'1st Draft'!$H$307,'1st Draft'!$I$307,'1st Draft'!#REF!,'1st Draft'!#REF!,'1st Draft'!$J$307,'1st Draft'!$K$307,'1st Draft'!#REF!,'1st Draft'!#REF!</definedName>
    <definedName name="QB_FORMULA_165" localSheetId="0" hidden="1">'1st Draft'!$L$307,'1st Draft'!$M$307,'1st Draft'!#REF!,'1st Draft'!#REF!,'1st Draft'!$N$307,'1st Draft'!$O$307,'1st Draft'!#REF!,'1st Draft'!#REF!,'1st Draft'!#REF!,'1st Draft'!#REF!,'1st Draft'!#REF!,'1st Draft'!#REF!,'1st Draft'!#REF!,'1st Draft'!#REF!,'1st Draft'!$N$309,'1st Draft'!$O$309</definedName>
    <definedName name="QB_FORMULA_166" localSheetId="0" hidden="1">'1st Draft'!#REF!,'1st Draft'!#REF!,'1st Draft'!#REF!,'1st Draft'!#REF!,'1st Draft'!#REF!,'1st Draft'!#REF!,'1st Draft'!#REF!,'1st Draft'!#REF!,'1st Draft'!$N$310,'1st Draft'!$O$310,'1st Draft'!#REF!,'1st Draft'!#REF!,'1st Draft'!#REF!,'1st Draft'!#REF!,'1st Draft'!#REF!,'1st Draft'!#REF!</definedName>
    <definedName name="QB_FORMULA_167" localSheetId="0" hidden="1">'1st Draft'!#REF!,'1st Draft'!#REF!,'1st Draft'!$N$311,'1st Draft'!$O$311,'1st Draft'!#REF!,'1st Draft'!#REF!,'1st Draft'!#REF!,'1st Draft'!#REF!,'1st Draft'!#REF!,'1st Draft'!#REF!,'1st Draft'!#REF!,'1st Draft'!#REF!,'1st Draft'!$N$312,'1st Draft'!$O$312,'1st Draft'!#REF!,'1st Draft'!#REF!</definedName>
    <definedName name="QB_FORMULA_168" localSheetId="0" hidden="1">'1st Draft'!#REF!,'1st Draft'!#REF!,'1st Draft'!#REF!,'1st Draft'!#REF!,'1st Draft'!#REF!,'1st Draft'!#REF!,'1st Draft'!$N$313,'1st Draft'!$O$313,'1st Draft'!#REF!,'1st Draft'!#REF!,'1st Draft'!#REF!,'1st Draft'!#REF!,'1st Draft'!#REF!,'1st Draft'!#REF!,'1st Draft'!#REF!,'1st Draft'!#REF!</definedName>
    <definedName name="QB_FORMULA_169" localSheetId="0" hidden="1">'1st Draft'!$N$314,'1st Draft'!$O$314,'1st Draft'!#REF!,'1st Draft'!#REF!,'1st Draft'!#REF!,'1st Draft'!#REF!,'1st Draft'!#REF!,'1st Draft'!#REF!,'1st Draft'!#REF!,'1st Draft'!#REF!,'1st Draft'!$N$315,'1st Draft'!$O$315,'1st Draft'!#REF!,'1st Draft'!#REF!,'1st Draft'!#REF!,'1st Draft'!#REF!</definedName>
    <definedName name="QB_FORMULA_17" localSheetId="0" hidden="1">'1st Draft'!#REF!,'1st Draft'!#REF!,'1st Draft'!#REF!,'1st Draft'!#REF!,'1st Draft'!$N$44,'1st Draft'!$O$44,'1st Draft'!#REF!,'1st Draft'!#REF!,'1st Draft'!$H$45,'1st Draft'!$I$45,'1st Draft'!#REF!,'1st Draft'!#REF!,'1st Draft'!$J$45,'1st Draft'!$K$45,'1st Draft'!#REF!,'1st Draft'!#REF!</definedName>
    <definedName name="QB_FORMULA_170" localSheetId="0" hidden="1">'1st Draft'!#REF!,'1st Draft'!#REF!,'1st Draft'!#REF!,'1st Draft'!#REF!,'1st Draft'!$N$316,'1st Draft'!$O$316,'1st Draft'!#REF!,'1st Draft'!#REF!,'1st Draft'!#REF!,'1st Draft'!#REF!,'1st Draft'!#REF!,'1st Draft'!#REF!,'1st Draft'!#REF!,'1st Draft'!#REF!,'1st Draft'!$N$317,'1st Draft'!$O$317</definedName>
    <definedName name="QB_FORMULA_171" localSheetId="0" hidden="1">'1st Draft'!#REF!,'1st Draft'!#REF!,'1st Draft'!$N$318,'1st Draft'!$H$319,'1st Draft'!$I$319,'1st Draft'!#REF!,'1st Draft'!#REF!,'1st Draft'!$J$319,'1st Draft'!$K$319,'1st Draft'!#REF!,'1st Draft'!#REF!,'1st Draft'!$L$319,'1st Draft'!$M$319,'1st Draft'!#REF!,'1st Draft'!#REF!,'1st Draft'!$N$319</definedName>
    <definedName name="QB_FORMULA_172" localSheetId="0" hidden="1">'1st Draft'!$O$319,'1st Draft'!#REF!,'1st Draft'!#REF!,'1st Draft'!#REF!,'1st Draft'!#REF!,'1st Draft'!#REF!,'1st Draft'!#REF!,'1st Draft'!#REF!,'1st Draft'!#REF!,'1st Draft'!$N$321,'1st Draft'!$O$321,'1st Draft'!#REF!,'1st Draft'!#REF!,'1st Draft'!#REF!,'1st Draft'!#REF!,'1st Draft'!#REF!</definedName>
    <definedName name="QB_FORMULA_173" localSheetId="0" hidden="1">'1st Draft'!#REF!,'1st Draft'!#REF!,'1st Draft'!#REF!,'1st Draft'!$N$322,'1st Draft'!$O$322,'1st Draft'!#REF!,'1st Draft'!#REF!,'1st Draft'!#REF!,'1st Draft'!#REF!,'1st Draft'!#REF!,'1st Draft'!#REF!,'1st Draft'!#REF!,'1st Draft'!#REF!,'1st Draft'!$N$323,'1st Draft'!$O$323,'1st Draft'!#REF!</definedName>
    <definedName name="QB_FORMULA_174" localSheetId="0" hidden="1">'1st Draft'!#REF!,'1st Draft'!#REF!,'1st Draft'!#REF!,'1st Draft'!#REF!,'1st Draft'!#REF!,'1st Draft'!#REF!,'1st Draft'!#REF!,'1st Draft'!$N$324,'1st Draft'!$O$324,'1st Draft'!#REF!,'1st Draft'!#REF!,'1st Draft'!#REF!,'1st Draft'!#REF!,'1st Draft'!#REF!,'1st Draft'!#REF!,'1st Draft'!#REF!</definedName>
    <definedName name="QB_FORMULA_175" localSheetId="0" hidden="1">'1st Draft'!#REF!,'1st Draft'!$N$325,'1st Draft'!$O$325,'1st Draft'!#REF!,'1st Draft'!#REF!,'1st Draft'!$N$326,'1st Draft'!$H$328,'1st Draft'!$I$328,'1st Draft'!#REF!,'1st Draft'!#REF!,'1st Draft'!$J$328,'1st Draft'!$K$328,'1st Draft'!#REF!,'1st Draft'!#REF!,'1st Draft'!$L$328,'1st Draft'!$M$328</definedName>
    <definedName name="QB_FORMULA_176" localSheetId="0" hidden="1">'1st Draft'!#REF!,'1st Draft'!#REF!,'1st Draft'!$N$328,'1st Draft'!$O$328,'1st Draft'!#REF!,'1st Draft'!#REF!,'1st Draft'!#REF!,'1st Draft'!#REF!,'1st Draft'!#REF!,'1st Draft'!#REF!,'1st Draft'!#REF!,'1st Draft'!#REF!,'1st Draft'!$N$330,'1st Draft'!$O$330,'1st Draft'!#REF!,'1st Draft'!#REF!</definedName>
    <definedName name="QB_FORMULA_177" localSheetId="0" hidden="1">'1st Draft'!$H$331,'1st Draft'!$I$331,'1st Draft'!#REF!,'1st Draft'!#REF!,'1st Draft'!$J$331,'1st Draft'!$K$331,'1st Draft'!#REF!,'1st Draft'!#REF!,'1st Draft'!$L$331,'1st Draft'!$M$331,'1st Draft'!#REF!,'1st Draft'!#REF!,'1st Draft'!$N$331,'1st Draft'!$O$331,'1st Draft'!#REF!,'1st Draft'!#REF!</definedName>
    <definedName name="QB_FORMULA_178" localSheetId="0" hidden="1">'1st Draft'!#REF!,'1st Draft'!#REF!,'1st Draft'!#REF!,'1st Draft'!#REF!,'1st Draft'!#REF!,'1st Draft'!#REF!,'1st Draft'!$N$332,'1st Draft'!$O$332,'1st Draft'!#REF!,'1st Draft'!#REF!,'1st Draft'!$H$333,'1st Draft'!$I$333,'1st Draft'!#REF!,'1st Draft'!#REF!,'1st Draft'!$J$333,'1st Draft'!$K$333</definedName>
    <definedName name="QB_FORMULA_179" localSheetId="0" hidden="1">'1st Draft'!#REF!,'1st Draft'!#REF!,'1st Draft'!$L$333,'1st Draft'!$M$333,'1st Draft'!#REF!,'1st Draft'!#REF!,'1st Draft'!$N$333,'1st Draft'!$O$333,'1st Draft'!#REF!,'1st Draft'!#REF!,'1st Draft'!$N$336,'1st Draft'!#REF!,'1st Draft'!#REF!,'1st Draft'!#REF!,'1st Draft'!#REF!,'1st Draft'!$N$337</definedName>
    <definedName name="QB_FORMULA_18" localSheetId="0" hidden="1">'1st Draft'!$L$45,'1st Draft'!$M$45,'1st Draft'!#REF!,'1st Draft'!#REF!,'1st Draft'!$N$45,'1st Draft'!$O$45,'1st Draft'!#REF!,'1st Draft'!#REF!,'1st Draft'!#REF!,'1st Draft'!#REF!,'1st Draft'!#REF!,'1st Draft'!#REF!,'1st Draft'!#REF!,'1st Draft'!#REF!,'1st Draft'!$N$47,'1st Draft'!$O$47</definedName>
    <definedName name="QB_FORMULA_180" localSheetId="0" hidden="1">'1st Draft'!$O$337,'1st Draft'!#REF!,'1st Draft'!#REF!,'1st Draft'!$N$338,'1st Draft'!#REF!,'1st Draft'!#REF!,'1st Draft'!$N$339,'1st Draft'!$O$339,'1st Draft'!#REF!,'1st Draft'!#REF!,'1st Draft'!#REF!,'1st Draft'!#REF!,'1st Draft'!#REF!,'1st Draft'!#REF!,'1st Draft'!#REF!,'1st Draft'!#REF!</definedName>
    <definedName name="QB_FORMULA_181" localSheetId="0" hidden="1">'1st Draft'!$N$341,'1st Draft'!$O$341,'1st Draft'!#REF!,'1st Draft'!#REF!,'1st Draft'!$H$342,'1st Draft'!$I$342,'1st Draft'!#REF!,'1st Draft'!#REF!,'1st Draft'!$J$342,'1st Draft'!$K$342,'1st Draft'!#REF!,'1st Draft'!#REF!,'1st Draft'!$L$342,'1st Draft'!$M$342,'1st Draft'!#REF!,'1st Draft'!#REF!</definedName>
    <definedName name="QB_FORMULA_182" localSheetId="0" hidden="1">'1st Draft'!$N$342,'1st Draft'!$O$342,'1st Draft'!#REF!,'1st Draft'!#REF!,'1st Draft'!#REF!,'1st Draft'!#REF!,'1st Draft'!#REF!,'1st Draft'!#REF!,'1st Draft'!#REF!,'1st Draft'!#REF!,'1st Draft'!$N$343,'1st Draft'!$O$343,'1st Draft'!#REF!,'1st Draft'!#REF!,'1st Draft'!#REF!,'1st Draft'!#REF!</definedName>
    <definedName name="QB_FORMULA_183" localSheetId="0" hidden="1">'1st Draft'!#REF!,'1st Draft'!#REF!,'1st Draft'!#REF!,'1st Draft'!#REF!,'1st Draft'!$N$344,'1st Draft'!$O$344,'1st Draft'!#REF!,'1st Draft'!#REF!,'1st Draft'!$N$345,'1st Draft'!#REF!,'1st Draft'!#REF!,'1st Draft'!#REF!,'1st Draft'!#REF!,'1st Draft'!#REF!,'1st Draft'!#REF!,'1st Draft'!$N$346</definedName>
    <definedName name="QB_FORMULA_184" localSheetId="0" hidden="1">'1st Draft'!$O$346,'1st Draft'!#REF!,'1st Draft'!#REF!,'1st Draft'!#REF!,'1st Draft'!#REF!,'1st Draft'!$N$347,'1st Draft'!$O$347,'1st Draft'!#REF!,'1st Draft'!#REF!,'1st Draft'!#REF!,'1st Draft'!#REF!,'1st Draft'!#REF!,'1st Draft'!#REF!,'1st Draft'!#REF!,'1st Draft'!#REF!,'1st Draft'!$N$348</definedName>
    <definedName name="QB_FORMULA_185" localSheetId="0" hidden="1">'1st Draft'!$O$348,'1st Draft'!#REF!,'1st Draft'!#REF!,'1st Draft'!#REF!,'1st Draft'!#REF!,'1st Draft'!#REF!,'1st Draft'!#REF!,'1st Draft'!#REF!,'1st Draft'!#REF!,'1st Draft'!$N$349,'1st Draft'!$O$349,'1st Draft'!#REF!,'1st Draft'!#REF!,'1st Draft'!#REF!,'1st Draft'!#REF!,'1st Draft'!#REF!</definedName>
    <definedName name="QB_FORMULA_186" localSheetId="0" hidden="1">'1st Draft'!#REF!,'1st Draft'!#REF!,'1st Draft'!#REF!,'1st Draft'!$N$350,'1st Draft'!$O$350,'1st Draft'!#REF!,'1st Draft'!#REF!,'1st Draft'!#REF!,'1st Draft'!#REF!,'1st Draft'!#REF!,'1st Draft'!#REF!,'1st Draft'!#REF!,'1st Draft'!#REF!,'1st Draft'!$N$351,'1st Draft'!$O$351,'1st Draft'!#REF!</definedName>
    <definedName name="QB_FORMULA_187" localSheetId="0" hidden="1">'1st Draft'!#REF!,'1st Draft'!#REF!,'1st Draft'!#REF!,'1st Draft'!#REF!,'1st Draft'!#REF!,'1st Draft'!#REF!,'1st Draft'!#REF!,'1st Draft'!$N$352,'1st Draft'!$O$352,'1st Draft'!#REF!,'1st Draft'!#REF!,'1st Draft'!#REF!,'1st Draft'!#REF!,'1st Draft'!#REF!,'1st Draft'!#REF!,'1st Draft'!#REF!</definedName>
    <definedName name="QB_FORMULA_188" localSheetId="0" hidden="1">'1st Draft'!#REF!,'1st Draft'!$N$353,'1st Draft'!$O$353,'1st Draft'!#REF!,'1st Draft'!#REF!,'1st Draft'!#REF!,'1st Draft'!#REF!,'1st Draft'!#REF!,'1st Draft'!#REF!,'1st Draft'!#REF!,'1st Draft'!#REF!,'1st Draft'!$N$354,'1st Draft'!$O$354,'1st Draft'!#REF!,'1st Draft'!#REF!,'1st Draft'!#REF!</definedName>
    <definedName name="QB_FORMULA_189" localSheetId="0" hidden="1">'1st Draft'!#REF!,'1st Draft'!#REF!,'1st Draft'!#REF!,'1st Draft'!$N$355,'1st Draft'!$O$355,'1st Draft'!#REF!,'1st Draft'!#REF!,'1st Draft'!#REF!,'1st Draft'!#REF!,'1st Draft'!#REF!,'1st Draft'!#REF!,'1st Draft'!#REF!,'1st Draft'!#REF!,'1st Draft'!$N$356,'1st Draft'!$O$356,'1st Draft'!#REF!</definedName>
    <definedName name="QB_FORMULA_19" localSheetId="0" hidden="1">'1st Draft'!#REF!,'1st Draft'!#REF!,'1st Draft'!#REF!,'1st Draft'!#REF!,'1st Draft'!#REF!,'1st Draft'!#REF!,'1st Draft'!#REF!,'1st Draft'!#REF!,'1st Draft'!$N$48,'1st Draft'!$O$48,'1st Draft'!#REF!,'1st Draft'!#REF!,'1st Draft'!#REF!,'1st Draft'!#REF!,'1st Draft'!#REF!,'1st Draft'!#REF!</definedName>
    <definedName name="QB_FORMULA_190" localSheetId="0" hidden="1">'1st Draft'!#REF!,'1st Draft'!$N$357,'1st Draft'!#REF!,'1st Draft'!#REF!,'1st Draft'!#REF!,'1st Draft'!#REF!,'1st Draft'!#REF!,'1st Draft'!#REF!,'1st Draft'!$N$359,'1st Draft'!$O$359,'1st Draft'!#REF!,'1st Draft'!#REF!,'1st Draft'!#REF!,'1st Draft'!#REF!,'1st Draft'!#REF!,'1st Draft'!#REF!</definedName>
    <definedName name="QB_FORMULA_191" localSheetId="0" hidden="1">'1st Draft'!$N$360,'1st Draft'!$O$360,'1st Draft'!#REF!,'1st Draft'!#REF!,'1st Draft'!$H$361,'1st Draft'!$I$361,'1st Draft'!#REF!,'1st Draft'!#REF!,'1st Draft'!$J$361,'1st Draft'!$K$361,'1st Draft'!#REF!,'1st Draft'!#REF!,'1st Draft'!$L$361,'1st Draft'!$M$361,'1st Draft'!#REF!,'1st Draft'!#REF!</definedName>
    <definedName name="QB_FORMULA_192" localSheetId="0" hidden="1">'1st Draft'!$N$361,'1st Draft'!$O$361,'1st Draft'!#REF!,'1st Draft'!#REF!,'1st Draft'!#REF!,'1st Draft'!#REF!,'1st Draft'!#REF!,'1st Draft'!#REF!,'1st Draft'!$N$362,'1st Draft'!$O$362,'1st Draft'!#REF!,'1st Draft'!#REF!,'1st Draft'!#REF!,'1st Draft'!#REF!,'1st Draft'!#REF!,'1st Draft'!#REF!</definedName>
    <definedName name="QB_FORMULA_193" localSheetId="0" hidden="1">'1st Draft'!#REF!,'1st Draft'!#REF!,'1st Draft'!$H$363,'1st Draft'!$I$363,'1st Draft'!#REF!,'1st Draft'!#REF!,'1st Draft'!$J$363,'1st Draft'!$K$363,'1st Draft'!#REF!,'1st Draft'!#REF!,'1st Draft'!$L$363,'1st Draft'!$M$363,'1st Draft'!#REF!,'1st Draft'!#REF!,'1st Draft'!$N$363,'1st Draft'!$O$363</definedName>
    <definedName name="QB_FORMULA_194" localSheetId="0" hidden="1">'1st Draft'!#REF!,'1st Draft'!#REF!,'1st Draft'!$H$364,'1st Draft'!$I$364,'1st Draft'!#REF!,'1st Draft'!#REF!,'1st Draft'!$J$364,'1st Draft'!$K$364,'1st Draft'!#REF!,'1st Draft'!#REF!,'1st Draft'!$L$364,'1st Draft'!$M$364,'1st Draft'!#REF!,'1st Draft'!#REF!,'1st Draft'!$N$364,'1st Draft'!$O$364</definedName>
    <definedName name="QB_FORMULA_195" localSheetId="0" hidden="1">'1st Draft'!#REF!,'1st Draft'!#REF!,'1st Draft'!#REF!,'1st Draft'!#REF!,'1st Draft'!#REF!,'1st Draft'!#REF!,'1st Draft'!#REF!,'1st Draft'!#REF!,'1st Draft'!$N$366,'1st Draft'!$O$366,'1st Draft'!#REF!,'1st Draft'!#REF!,'1st Draft'!#REF!,'1st Draft'!#REF!,'1st Draft'!#REF!,'1st Draft'!#REF!</definedName>
    <definedName name="QB_FORMULA_196" localSheetId="0" hidden="1">'1st Draft'!#REF!,'1st Draft'!#REF!,'1st Draft'!$N$367,'1st Draft'!$O$367,'1st Draft'!#REF!,'1st Draft'!#REF!,'1st Draft'!#REF!,'1st Draft'!#REF!,'1st Draft'!#REF!,'1st Draft'!#REF!,'1st Draft'!#REF!,'1st Draft'!#REF!,'1st Draft'!$N$368,'1st Draft'!$O$368,'1st Draft'!#REF!,'1st Draft'!#REF!</definedName>
    <definedName name="QB_FORMULA_197" localSheetId="0" hidden="1">'1st Draft'!#REF!,'1st Draft'!#REF!,'1st Draft'!#REF!,'1st Draft'!#REF!,'1st Draft'!#REF!,'1st Draft'!#REF!,'1st Draft'!$N$369,'1st Draft'!$O$369,'1st Draft'!#REF!,'1st Draft'!#REF!,'1st Draft'!#REF!,'1st Draft'!#REF!,'1st Draft'!#REF!,'1st Draft'!#REF!,'1st Draft'!#REF!,'1st Draft'!#REF!</definedName>
    <definedName name="QB_FORMULA_198" localSheetId="0" hidden="1">'1st Draft'!$N$370,'1st Draft'!$O$370,'1st Draft'!#REF!,'1st Draft'!#REF!,'1st Draft'!#REF!,'1st Draft'!#REF!,'1st Draft'!#REF!,'1st Draft'!#REF!,'1st Draft'!#REF!,'1st Draft'!#REF!,'1st Draft'!$H$371,'1st Draft'!$I$371,'1st Draft'!#REF!,'1st Draft'!#REF!,'1st Draft'!$J$371,'1st Draft'!$K$371</definedName>
    <definedName name="QB_FORMULA_199" localSheetId="0" hidden="1">'1st Draft'!#REF!,'1st Draft'!#REF!,'1st Draft'!$L$371,'1st Draft'!$M$371,'1st Draft'!#REF!,'1st Draft'!#REF!,'1st Draft'!$N$371,'1st Draft'!$O$371,'1st Draft'!#REF!,'1st Draft'!#REF!,'1st Draft'!#REF!,'1st Draft'!#REF!,'1st Draft'!#REF!,'1st Draft'!#REF!,'1st Draft'!#REF!,'1st Draft'!#REF!</definedName>
    <definedName name="QB_FORMULA_2" localSheetId="0" hidden="1">'1st Draft'!#REF!,'1st Draft'!#REF!,'1st Draft'!$N$13,'1st Draft'!$O$13,'1st Draft'!#REF!,'1st Draft'!#REF!,'1st Draft'!#REF!,'1st Draft'!#REF!,'1st Draft'!$N$14,'1st Draft'!$O$14,'1st Draft'!#REF!,'1st Draft'!#REF!,'1st Draft'!$H$15,'1st Draft'!$I$15,'1st Draft'!#REF!,'1st Draft'!#REF!</definedName>
    <definedName name="QB_FORMULA_20" localSheetId="0" hidden="1">'1st Draft'!#REF!,'1st Draft'!#REF!,'1st Draft'!$N$49,'1st Draft'!$O$49,'1st Draft'!#REF!,'1st Draft'!#REF!,'1st Draft'!#REF!,'1st Draft'!#REF!,'1st Draft'!#REF!,'1st Draft'!#REF!,'1st Draft'!#REF!,'1st Draft'!#REF!,'1st Draft'!$N$50,'1st Draft'!$O$50,'1st Draft'!#REF!,'1st Draft'!#REF!</definedName>
    <definedName name="QB_FORMULA_200" localSheetId="0" hidden="1">'1st Draft'!$N$373,'1st Draft'!$O$373,'1st Draft'!#REF!,'1st Draft'!#REF!,'1st Draft'!#REF!,'1st Draft'!#REF!,'1st Draft'!#REF!,'1st Draft'!#REF!,'1st Draft'!#REF!,'1st Draft'!#REF!,'1st Draft'!$N$374,'1st Draft'!$O$374,'1st Draft'!#REF!,'1st Draft'!#REF!,'1st Draft'!#REF!,'1st Draft'!#REF!</definedName>
    <definedName name="QB_FORMULA_201" localSheetId="0" hidden="1">'1st Draft'!#REF!,'1st Draft'!#REF!,'1st Draft'!#REF!,'1st Draft'!#REF!,'1st Draft'!$N$375,'1st Draft'!$O$375,'1st Draft'!#REF!,'1st Draft'!#REF!,'1st Draft'!#REF!,'1st Draft'!#REF!,'1st Draft'!#REF!,'1st Draft'!#REF!,'1st Draft'!#REF!,'1st Draft'!#REF!,'1st Draft'!$H$376,'1st Draft'!$I$376</definedName>
    <definedName name="QB_FORMULA_202" localSheetId="0" hidden="1">'1st Draft'!#REF!,'1st Draft'!#REF!,'1st Draft'!$J$376,'1st Draft'!$K$376,'1st Draft'!#REF!,'1st Draft'!#REF!,'1st Draft'!$L$376,'1st Draft'!$M$376,'1st Draft'!#REF!,'1st Draft'!#REF!,'1st Draft'!$N$376,'1st Draft'!$O$376,'1st Draft'!#REF!,'1st Draft'!#REF!,'1st Draft'!#REF!,'1st Draft'!#REF!</definedName>
    <definedName name="QB_FORMULA_203" localSheetId="0" hidden="1">'1st Draft'!#REF!,'1st Draft'!#REF!,'1st Draft'!#REF!,'1st Draft'!#REF!,'1st Draft'!$N$379,'1st Draft'!$O$379,'1st Draft'!#REF!,'1st Draft'!#REF!,'1st Draft'!#REF!,'1st Draft'!#REF!,'1st Draft'!#REF!,'1st Draft'!#REF!,'1st Draft'!#REF!,'1st Draft'!#REF!,'1st Draft'!$N$380,'1st Draft'!$O$380</definedName>
    <definedName name="QB_FORMULA_204" localSheetId="0" hidden="1">'1st Draft'!#REF!,'1st Draft'!#REF!,'1st Draft'!#REF!,'1st Draft'!#REF!,'1st Draft'!#REF!,'1st Draft'!#REF!,'1st Draft'!#REF!,'1st Draft'!#REF!,'1st Draft'!$N$381,'1st Draft'!$O$381,'1st Draft'!#REF!,'1st Draft'!#REF!,'1st Draft'!#REF!,'1st Draft'!#REF!,'1st Draft'!#REF!,'1st Draft'!#REF!</definedName>
    <definedName name="QB_FORMULA_205" localSheetId="0" hidden="1">'1st Draft'!#REF!,'1st Draft'!#REF!,'1st Draft'!$N$382,'1st Draft'!$O$382,'1st Draft'!#REF!,'1st Draft'!#REF!,'1st Draft'!$N$383,'1st Draft'!#REF!,'1st Draft'!#REF!,'1st Draft'!#REF!,'1st Draft'!#REF!,'1st Draft'!#REF!,'1st Draft'!#REF!,'1st Draft'!$N$384,'1st Draft'!$O$384,'1st Draft'!#REF!</definedName>
    <definedName name="QB_FORMULA_206" localSheetId="0" hidden="1">'1st Draft'!#REF!,'1st Draft'!#REF!,'1st Draft'!#REF!,'1st Draft'!#REF!,'1st Draft'!#REF!,'1st Draft'!#REF!,'1st Draft'!#REF!,'1st Draft'!$N$385,'1st Draft'!$O$385,'1st Draft'!#REF!,'1st Draft'!#REF!,'1st Draft'!#REF!,'1st Draft'!#REF!,'1st Draft'!#REF!,'1st Draft'!#REF!,'1st Draft'!#REF!</definedName>
    <definedName name="QB_FORMULA_207" localSheetId="0" hidden="1">'1st Draft'!#REF!,'1st Draft'!$N$387,'1st Draft'!$O$387,'1st Draft'!#REF!,'1st Draft'!#REF!,'1st Draft'!#REF!,'1st Draft'!#REF!,'1st Draft'!#REF!,'1st Draft'!#REF!,'1st Draft'!#REF!,'1st Draft'!#REF!,'1st Draft'!$N$388,'1st Draft'!$O$388,'1st Draft'!#REF!,'1st Draft'!#REF!,'1st Draft'!#REF!</definedName>
    <definedName name="QB_FORMULA_208" localSheetId="0" hidden="1">'1st Draft'!#REF!,'1st Draft'!#REF!,'1st Draft'!#REF!,'1st Draft'!#REF!,'1st Draft'!#REF!,'1st Draft'!$N$389,'1st Draft'!$O$389,'1st Draft'!#REF!,'1st Draft'!#REF!,'1st Draft'!#REF!,'1st Draft'!#REF!,'1st Draft'!#REF!,'1st Draft'!#REF!,'1st Draft'!#REF!,'1st Draft'!#REF!,'1st Draft'!$N$390</definedName>
    <definedName name="QB_FORMULA_209" localSheetId="0" hidden="1">'1st Draft'!$O$390,'1st Draft'!#REF!,'1st Draft'!#REF!,'1st Draft'!#REF!,'1st Draft'!#REF!,'1st Draft'!#REF!,'1st Draft'!#REF!,'1st Draft'!#REF!,'1st Draft'!#REF!,'1st Draft'!$N$391,'1st Draft'!$O$391,'1st Draft'!#REF!,'1st Draft'!#REF!,'1st Draft'!#REF!,'1st Draft'!#REF!,'1st Draft'!#REF!</definedName>
    <definedName name="QB_FORMULA_21" localSheetId="0" hidden="1">'1st Draft'!#REF!,'1st Draft'!#REF!,'1st Draft'!$N$51,'1st Draft'!$O$51,'1st Draft'!#REF!,'1st Draft'!#REF!,'1st Draft'!#REF!,'1st Draft'!#REF!,'1st Draft'!#REF!,'1st Draft'!#REF!,'1st Draft'!#REF!,'1st Draft'!#REF!,'1st Draft'!$N$52,'1st Draft'!$O$52,'1st Draft'!#REF!,'1st Draft'!#REF!</definedName>
    <definedName name="QB_FORMULA_210" localSheetId="0" hidden="1">'1st Draft'!#REF!,'1st Draft'!#REF!,'1st Draft'!#REF!,'1st Draft'!$N$392,'1st Draft'!$O$392,'1st Draft'!#REF!,'1st Draft'!#REF!,'1st Draft'!#REF!,'1st Draft'!#REF!,'1st Draft'!#REF!,'1st Draft'!#REF!,'1st Draft'!#REF!,'1st Draft'!#REF!,'1st Draft'!$N$393,'1st Draft'!$O$393,'1st Draft'!#REF!</definedName>
    <definedName name="QB_FORMULA_211" localSheetId="0" hidden="1">'1st Draft'!#REF!,'1st Draft'!#REF!,'1st Draft'!#REF!,'1st Draft'!#REF!,'1st Draft'!#REF!,'1st Draft'!#REF!,'1st Draft'!#REF!,'1st Draft'!$N$394,'1st Draft'!$O$394,'1st Draft'!#REF!,'1st Draft'!#REF!,'1st Draft'!#REF!,'1st Draft'!#REF!,'1st Draft'!#REF!,'1st Draft'!#REF!,'1st Draft'!#REF!</definedName>
    <definedName name="QB_FORMULA_212" localSheetId="0" hidden="1">'1st Draft'!#REF!,'1st Draft'!$N$395,'1st Draft'!$O$395,'1st Draft'!#REF!,'1st Draft'!#REF!,'1st Draft'!#REF!,'1st Draft'!#REF!,'1st Draft'!#REF!,'1st Draft'!#REF!,'1st Draft'!#REF!,'1st Draft'!#REF!,'1st Draft'!$N$396,'1st Draft'!$O$396,'1st Draft'!#REF!,'1st Draft'!#REF!,'1st Draft'!#REF!</definedName>
    <definedName name="QB_FORMULA_213" localSheetId="0" hidden="1">'1st Draft'!#REF!,'1st Draft'!#REF!,'1st Draft'!#REF!,'1st Draft'!#REF!,'1st Draft'!#REF!,'1st Draft'!$N$397,'1st Draft'!$O$397,'1st Draft'!#REF!,'1st Draft'!#REF!,'1st Draft'!#REF!,'1st Draft'!#REF!,'1st Draft'!#REF!,'1st Draft'!#REF!,'1st Draft'!$N$398,'1st Draft'!$O$398,'1st Draft'!#REF!</definedName>
    <definedName name="QB_FORMULA_214" localSheetId="0" hidden="1">'1st Draft'!#REF!,'1st Draft'!#REF!,'1st Draft'!#REF!,'1st Draft'!#REF!,'1st Draft'!#REF!,'1st Draft'!$N$399,'1st Draft'!$O$399,'1st Draft'!#REF!,'1st Draft'!#REF!,'1st Draft'!#REF!,'1st Draft'!#REF!,'1st Draft'!#REF!,'1st Draft'!#REF!,'1st Draft'!#REF!,'1st Draft'!#REF!,'1st Draft'!$N$400</definedName>
    <definedName name="QB_FORMULA_215" localSheetId="0" hidden="1">'1st Draft'!$O$400,'1st Draft'!#REF!,'1st Draft'!#REF!,'1st Draft'!#REF!,'1st Draft'!#REF!,'1st Draft'!#REF!,'1st Draft'!#REF!,'1st Draft'!#REF!,'1st Draft'!#REF!,'1st Draft'!$N$401,'1st Draft'!$O$401,'1st Draft'!#REF!,'1st Draft'!#REF!,'1st Draft'!#REF!,'1st Draft'!#REF!,'1st Draft'!#REF!</definedName>
    <definedName name="QB_FORMULA_216" localSheetId="0" hidden="1">'1st Draft'!#REF!,'1st Draft'!#REF!,'1st Draft'!#REF!,'1st Draft'!$N$402,'1st Draft'!$O$402,'1st Draft'!#REF!,'1st Draft'!#REF!,'1st Draft'!#REF!,'1st Draft'!#REF!,'1st Draft'!#REF!,'1st Draft'!#REF!,'1st Draft'!#REF!,'1st Draft'!#REF!,'1st Draft'!$N$404,'1st Draft'!$O$404,'1st Draft'!#REF!</definedName>
    <definedName name="QB_FORMULA_217" localSheetId="0" hidden="1">'1st Draft'!#REF!,'1st Draft'!$H$405,'1st Draft'!$I$405,'1st Draft'!#REF!,'1st Draft'!#REF!,'1st Draft'!$J$405,'1st Draft'!$K$405,'1st Draft'!#REF!,'1st Draft'!#REF!,'1st Draft'!$L$405,'1st Draft'!$M$405,'1st Draft'!#REF!,'1st Draft'!#REF!,'1st Draft'!$N$405,'1st Draft'!$O$405,'1st Draft'!#REF!</definedName>
    <definedName name="QB_FORMULA_218" localSheetId="0" hidden="1">'1st Draft'!#REF!,'1st Draft'!$N$406,'1st Draft'!#REF!,'1st Draft'!#REF!,'1st Draft'!#REF!,'1st Draft'!#REF!,'1st Draft'!#REF!,'1st Draft'!#REF!,'1st Draft'!$N$407,'1st Draft'!$O$407,'1st Draft'!#REF!,'1st Draft'!#REF!,'1st Draft'!#REF!,'1st Draft'!#REF!,'1st Draft'!#REF!,'1st Draft'!#REF!</definedName>
    <definedName name="QB_FORMULA_219" localSheetId="0" hidden="1">'1st Draft'!#REF!,'1st Draft'!#REF!,'1st Draft'!$N$408,'1st Draft'!$O$408,'1st Draft'!#REF!,'1st Draft'!#REF!,'1st Draft'!#REF!,'1st Draft'!#REF!,'1st Draft'!#REF!,'1st Draft'!#REF!,'1st Draft'!#REF!,'1st Draft'!#REF!,'1st Draft'!$N$409,'1st Draft'!$O$409,'1st Draft'!#REF!,'1st Draft'!#REF!</definedName>
    <definedName name="QB_FORMULA_22" localSheetId="0" hidden="1">'1st Draft'!#REF!,'1st Draft'!#REF!,'1st Draft'!#REF!,'1st Draft'!#REF!,'1st Draft'!#REF!,'1st Draft'!#REF!,'1st Draft'!$N$53,'1st Draft'!$O$53,'1st Draft'!#REF!,'1st Draft'!#REF!,'1st Draft'!#REF!,'1st Draft'!#REF!,'1st Draft'!#REF!,'1st Draft'!#REF!,'1st Draft'!#REF!,'1st Draft'!#REF!</definedName>
    <definedName name="QB_FORMULA_220" localSheetId="0" hidden="1">'1st Draft'!#REF!,'1st Draft'!#REF!,'1st Draft'!#REF!,'1st Draft'!#REF!,'1st Draft'!#REF!,'1st Draft'!#REF!,'1st Draft'!$N$410,'1st Draft'!$O$410,'1st Draft'!#REF!,'1st Draft'!#REF!,'1st Draft'!#REF!,'1st Draft'!#REF!,'1st Draft'!#REF!,'1st Draft'!#REF!,'1st Draft'!#REF!,'1st Draft'!#REF!</definedName>
    <definedName name="QB_FORMULA_221" localSheetId="0" hidden="1">'1st Draft'!$N$411,'1st Draft'!$O$411,'1st Draft'!#REF!,'1st Draft'!#REF!,'1st Draft'!#REF!,'1st Draft'!#REF!,'1st Draft'!#REF!,'1st Draft'!#REF!,'1st Draft'!#REF!,'1st Draft'!#REF!,'1st Draft'!$N$412,'1st Draft'!$O$412,'1st Draft'!#REF!,'1st Draft'!#REF!,'1st Draft'!$N$413,'1st Draft'!#REF!</definedName>
    <definedName name="QB_FORMULA_222" localSheetId="0" hidden="1">'1st Draft'!#REF!,'1st Draft'!#REF!,'1st Draft'!#REF!,'1st Draft'!#REF!,'1st Draft'!#REF!,'1st Draft'!$N$414,'1st Draft'!$O$414,'1st Draft'!#REF!,'1st Draft'!#REF!,'1st Draft'!#REF!,'1st Draft'!#REF!,'1st Draft'!#REF!,'1st Draft'!#REF!,'1st Draft'!#REF!,'1st Draft'!#REF!,'1st Draft'!$N$415</definedName>
    <definedName name="QB_FORMULA_223" localSheetId="0" hidden="1">'1st Draft'!$O$415,'1st Draft'!#REF!,'1st Draft'!#REF!,'1st Draft'!#REF!,'1st Draft'!#REF!,'1st Draft'!#REF!,'1st Draft'!#REF!,'1st Draft'!#REF!,'1st Draft'!#REF!,'1st Draft'!$N$416,'1st Draft'!$O$416,'1st Draft'!#REF!,'1st Draft'!#REF!,'1st Draft'!#REF!,'1st Draft'!#REF!,'1st Draft'!#REF!</definedName>
    <definedName name="QB_FORMULA_224" localSheetId="0" hidden="1">'1st Draft'!#REF!,'1st Draft'!#REF!,'1st Draft'!#REF!,'1st Draft'!$N$417,'1st Draft'!$O$417,'1st Draft'!#REF!,'1st Draft'!#REF!,'1st Draft'!#REF!,'1st Draft'!#REF!,'1st Draft'!#REF!,'1st Draft'!#REF!,'1st Draft'!#REF!,'1st Draft'!#REF!,'1st Draft'!$N$418,'1st Draft'!$O$418,'1st Draft'!#REF!</definedName>
    <definedName name="QB_FORMULA_225" localSheetId="0" hidden="1">'1st Draft'!#REF!,'1st Draft'!#REF!,'1st Draft'!#REF!,'1st Draft'!#REF!,'1st Draft'!#REF!,'1st Draft'!#REF!,'1st Draft'!#REF!,'1st Draft'!$N$419,'1st Draft'!$O$419,'1st Draft'!#REF!,'1st Draft'!#REF!,'1st Draft'!#REF!,'1st Draft'!#REF!,'1st Draft'!#REF!,'1st Draft'!#REF!,'1st Draft'!#REF!</definedName>
    <definedName name="QB_FORMULA_226" localSheetId="0" hidden="1">'1st Draft'!#REF!,'1st Draft'!$N$420,'1st Draft'!$O$420,'1st Draft'!#REF!,'1st Draft'!#REF!,'1st Draft'!#REF!,'1st Draft'!#REF!,'1st Draft'!#REF!,'1st Draft'!#REF!,'1st Draft'!#REF!,'1st Draft'!#REF!,'1st Draft'!$N$421,'1st Draft'!$O$421,'1st Draft'!#REF!,'1st Draft'!#REF!,'1st Draft'!#REF!</definedName>
    <definedName name="QB_FORMULA_227" localSheetId="0" hidden="1">'1st Draft'!#REF!,'1st Draft'!#REF!,'1st Draft'!#REF!,'1st Draft'!#REF!,'1st Draft'!#REF!,'1st Draft'!$N$422,'1st Draft'!$O$422,'1st Draft'!#REF!,'1st Draft'!#REF!,'1st Draft'!#REF!,'1st Draft'!#REF!,'1st Draft'!#REF!,'1st Draft'!#REF!,'1st Draft'!#REF!,'1st Draft'!#REF!,'1st Draft'!#REF!</definedName>
    <definedName name="QB_FORMULA_228" localSheetId="0" hidden="1">'1st Draft'!#REF!,'1st Draft'!$H$423,'1st Draft'!$I$423,'1st Draft'!#REF!,'1st Draft'!#REF!,'1st Draft'!$J$423,'1st Draft'!$K$423,'1st Draft'!#REF!,'1st Draft'!#REF!,'1st Draft'!$L$423,'1st Draft'!$M$423,'1st Draft'!#REF!,'1st Draft'!#REF!,'1st Draft'!$N$423,'1st Draft'!$O$423,'1st Draft'!#REF!</definedName>
    <definedName name="QB_FORMULA_229" localSheetId="0" hidden="1">'1st Draft'!#REF!,'1st Draft'!$N$425,'1st Draft'!$N$426,'1st Draft'!$H$427,'1st Draft'!$J$427,'1st Draft'!$L$427,'1st Draft'!$N$427,'1st Draft'!$H$428,'1st Draft'!$I$428,'1st Draft'!#REF!,'1st Draft'!#REF!,'1st Draft'!$J$428,'1st Draft'!$K$428,'1st Draft'!#REF!,'1st Draft'!#REF!,'1st Draft'!$L$428</definedName>
    <definedName name="QB_FORMULA_23" localSheetId="0" hidden="1">'1st Draft'!$N$54,'1st Draft'!$O$54,'1st Draft'!#REF!,'1st Draft'!#REF!,'1st Draft'!#REF!,'1st Draft'!#REF!,'1st Draft'!#REF!,'1st Draft'!#REF!,'1st Draft'!#REF!,'1st Draft'!#REF!,'1st Draft'!$N$55,'1st Draft'!$O$55,'1st Draft'!#REF!,'1st Draft'!#REF!,'1st Draft'!#REF!,'1st Draft'!#REF!</definedName>
    <definedName name="QB_FORMULA_230" localSheetId="0" hidden="1">'1st Draft'!$M$428,'1st Draft'!#REF!,'1st Draft'!#REF!,'1st Draft'!$N$428,'1st Draft'!$O$428,'1st Draft'!#REF!,'1st Draft'!#REF!,'1st Draft'!#REF!,'1st Draft'!#REF!,'1st Draft'!#REF!,'1st Draft'!#REF!,'1st Draft'!#REF!,'1st Draft'!#REF!,'1st Draft'!$N$431,'1st Draft'!$O$431,'1st Draft'!#REF!</definedName>
    <definedName name="QB_FORMULA_231" localSheetId="0" hidden="1">'1st Draft'!#REF!,'1st Draft'!#REF!,'1st Draft'!#REF!,'1st Draft'!#REF!,'1st Draft'!#REF!,'1st Draft'!#REF!,'1st Draft'!#REF!,'1st Draft'!$N$432,'1st Draft'!$O$432,'1st Draft'!#REF!,'1st Draft'!#REF!,'1st Draft'!#REF!,'1st Draft'!#REF!,'1st Draft'!#REF!,'1st Draft'!#REF!,'1st Draft'!#REF!</definedName>
    <definedName name="QB_FORMULA_232" localSheetId="0" hidden="1">'1st Draft'!#REF!,'1st Draft'!$N$433,'1st Draft'!$O$433,'1st Draft'!#REF!,'1st Draft'!#REF!,'1st Draft'!#REF!,'1st Draft'!#REF!,'1st Draft'!#REF!,'1st Draft'!#REF!,'1st Draft'!#REF!,'1st Draft'!#REF!,'1st Draft'!$N$434,'1st Draft'!$O$434,'1st Draft'!#REF!,'1st Draft'!#REF!,'1st Draft'!#REF!</definedName>
    <definedName name="QB_FORMULA_233" localSheetId="0" hidden="1">'1st Draft'!#REF!,'1st Draft'!#REF!,'1st Draft'!#REF!,'1st Draft'!#REF!,'1st Draft'!#REF!,'1st Draft'!$N$435,'1st Draft'!$O$435,'1st Draft'!#REF!,'1st Draft'!#REF!,'1st Draft'!#REF!,'1st Draft'!#REF!,'1st Draft'!#REF!,'1st Draft'!#REF!,'1st Draft'!#REF!,'1st Draft'!#REF!,'1st Draft'!$N$436</definedName>
    <definedName name="QB_FORMULA_234" localSheetId="0" hidden="1">'1st Draft'!$O$436,'1st Draft'!#REF!,'1st Draft'!#REF!,'1st Draft'!#REF!,'1st Draft'!#REF!,'1st Draft'!#REF!,'1st Draft'!#REF!,'1st Draft'!#REF!,'1st Draft'!#REF!,'1st Draft'!$N$437,'1st Draft'!$O$437,'1st Draft'!#REF!,'1st Draft'!#REF!,'1st Draft'!#REF!,'1st Draft'!#REF!,'1st Draft'!#REF!</definedName>
    <definedName name="QB_FORMULA_235" localSheetId="0" hidden="1">'1st Draft'!#REF!,'1st Draft'!#REF!,'1st Draft'!#REF!,'1st Draft'!$N$438,'1st Draft'!$O$438,'1st Draft'!#REF!,'1st Draft'!#REF!,'1st Draft'!#REF!,'1st Draft'!#REF!,'1st Draft'!#REF!,'1st Draft'!#REF!,'1st Draft'!#REF!,'1st Draft'!#REF!,'1st Draft'!$N$439,'1st Draft'!$O$439,'1st Draft'!#REF!</definedName>
    <definedName name="QB_FORMULA_236" localSheetId="0" hidden="1">'1st Draft'!#REF!,'1st Draft'!#REF!,'1st Draft'!#REF!,'1st Draft'!#REF!,'1st Draft'!#REF!,'1st Draft'!#REF!,'1st Draft'!#REF!,'1st Draft'!$N$440,'1st Draft'!$O$440,'1st Draft'!#REF!,'1st Draft'!#REF!,'1st Draft'!$H$441,'1st Draft'!$I$441,'1st Draft'!#REF!,'1st Draft'!#REF!,'1st Draft'!$J$441</definedName>
    <definedName name="QB_FORMULA_237" localSheetId="0" hidden="1">'1st Draft'!$K$441,'1st Draft'!#REF!,'1st Draft'!#REF!,'1st Draft'!$L$441,'1st Draft'!$M$441,'1st Draft'!#REF!,'1st Draft'!#REF!,'1st Draft'!$N$441,'1st Draft'!$O$441,'1st Draft'!#REF!,'1st Draft'!#REF!,'1st Draft'!#REF!,'1st Draft'!#REF!,'1st Draft'!#REF!,'1st Draft'!#REF!,'1st Draft'!#REF!</definedName>
    <definedName name="QB_FORMULA_238" localSheetId="0" hidden="1">'1st Draft'!#REF!,'1st Draft'!$N$444,'1st Draft'!$O$444,'1st Draft'!#REF!,'1st Draft'!#REF!,'1st Draft'!#REF!,'1st Draft'!#REF!,'1st Draft'!#REF!,'1st Draft'!#REF!,'1st Draft'!#REF!,'1st Draft'!#REF!,'1st Draft'!$N$445,'1st Draft'!$O$445,'1st Draft'!#REF!,'1st Draft'!#REF!,'1st Draft'!#REF!</definedName>
    <definedName name="QB_FORMULA_239" localSheetId="0" hidden="1">'1st Draft'!#REF!,'1st Draft'!#REF!,'1st Draft'!#REF!,'1st Draft'!#REF!,'1st Draft'!#REF!,'1st Draft'!$N$446,'1st Draft'!$O$446,'1st Draft'!#REF!,'1st Draft'!#REF!,'1st Draft'!#REF!,'1st Draft'!#REF!,'1st Draft'!$N$447,'1st Draft'!$O$447,'1st Draft'!#REF!,'1st Draft'!#REF!,'1st Draft'!#REF!</definedName>
    <definedName name="QB_FORMULA_24" localSheetId="0" hidden="1">'1st Draft'!#REF!,'1st Draft'!#REF!,'1st Draft'!#REF!,'1st Draft'!#REF!,'1st Draft'!$N$56,'1st Draft'!$O$56,'1st Draft'!#REF!,'1st Draft'!#REF!,'1st Draft'!#REF!,'1st Draft'!#REF!,'1st Draft'!#REF!,'1st Draft'!#REF!,'1st Draft'!#REF!,'1st Draft'!#REF!,'1st Draft'!$N$57,'1st Draft'!$O$57</definedName>
    <definedName name="QB_FORMULA_240" localSheetId="0" hidden="1">'1st Draft'!#REF!,'1st Draft'!#REF!,'1st Draft'!#REF!,'1st Draft'!#REF!,'1st Draft'!#REF!,'1st Draft'!$N$448,'1st Draft'!$O$448,'1st Draft'!#REF!,'1st Draft'!#REF!,'1st Draft'!#REF!,'1st Draft'!#REF!,'1st Draft'!$N$449,'1st Draft'!$O$449,'1st Draft'!#REF!,'1st Draft'!#REF!,'1st Draft'!#REF!</definedName>
    <definedName name="QB_FORMULA_241" localSheetId="0" hidden="1">'1st Draft'!#REF!,'1st Draft'!#REF!,'1st Draft'!#REF!,'1st Draft'!#REF!,'1st Draft'!#REF!,'1st Draft'!$N$450,'1st Draft'!$O$450,'1st Draft'!#REF!,'1st Draft'!#REF!,'1st Draft'!#REF!,'1st Draft'!#REF!,'1st Draft'!#REF!,'1st Draft'!#REF!,'1st Draft'!#REF!,'1st Draft'!#REF!,'1st Draft'!$N$451</definedName>
    <definedName name="QB_FORMULA_242" localSheetId="0" hidden="1">'1st Draft'!$O$451,'1st Draft'!#REF!,'1st Draft'!#REF!,'1st Draft'!#REF!,'1st Draft'!#REF!,'1st Draft'!#REF!,'1st Draft'!#REF!,'1st Draft'!#REF!,'1st Draft'!#REF!,'1st Draft'!$N$452,'1st Draft'!$O$452,'1st Draft'!#REF!,'1st Draft'!#REF!,'1st Draft'!#REF!,'1st Draft'!#REF!,'1st Draft'!#REF!</definedName>
    <definedName name="QB_FORMULA_243" localSheetId="0" hidden="1">'1st Draft'!#REF!,'1st Draft'!#REF!,'1st Draft'!#REF!,'1st Draft'!$N$453,'1st Draft'!$O$453,'1st Draft'!#REF!,'1st Draft'!#REF!,'1st Draft'!$H$454,'1st Draft'!$I$454,'1st Draft'!#REF!,'1st Draft'!#REF!,'1st Draft'!$J$454,'1st Draft'!$K$454,'1st Draft'!#REF!,'1st Draft'!#REF!,'1st Draft'!$L$454</definedName>
    <definedName name="QB_FORMULA_244" localSheetId="0" hidden="1">'1st Draft'!$M$454,'1st Draft'!#REF!,'1st Draft'!#REF!,'1st Draft'!$N$454,'1st Draft'!$O$454,'1st Draft'!#REF!,'1st Draft'!#REF!,'1st Draft'!#REF!,'1st Draft'!#REF!,'1st Draft'!#REF!,'1st Draft'!#REF!,'1st Draft'!#REF!,'1st Draft'!#REF!,'1st Draft'!$H$455,'1st Draft'!$I$455,'1st Draft'!#REF!</definedName>
    <definedName name="QB_FORMULA_245" localSheetId="0" hidden="1">'1st Draft'!#REF!,'1st Draft'!$J$455,'1st Draft'!$K$455,'1st Draft'!#REF!,'1st Draft'!#REF!,'1st Draft'!$L$455,'1st Draft'!$M$455,'1st Draft'!#REF!,'1st Draft'!#REF!,'1st Draft'!$N$455,'1st Draft'!$O$455,'1st Draft'!#REF!,'1st Draft'!#REF!,'1st Draft'!#REF!,'1st Draft'!#REF!,'1st Draft'!#REF!</definedName>
    <definedName name="QB_FORMULA_246" localSheetId="0" hidden="1">'1st Draft'!#REF!,'1st Draft'!#REF!,'1st Draft'!#REF!,'1st Draft'!$N$457,'1st Draft'!$O$457,'1st Draft'!#REF!,'1st Draft'!#REF!,'1st Draft'!#REF!,'1st Draft'!#REF!,'1st Draft'!#REF!,'1st Draft'!#REF!,'1st Draft'!#REF!,'1st Draft'!#REF!,'1st Draft'!$N$458,'1st Draft'!$O$458,'1st Draft'!#REF!</definedName>
    <definedName name="QB_FORMULA_247" localSheetId="0" hidden="1">'1st Draft'!#REF!,'1st Draft'!#REF!,'1st Draft'!#REF!,'1st Draft'!#REF!,'1st Draft'!#REF!,'1st Draft'!#REF!,'1st Draft'!#REF!,'1st Draft'!$N$459,'1st Draft'!$O$459,'1st Draft'!#REF!,'1st Draft'!#REF!,'1st Draft'!#REF!,'1st Draft'!#REF!,'1st Draft'!#REF!,'1st Draft'!#REF!,'1st Draft'!#REF!</definedName>
    <definedName name="QB_FORMULA_248" localSheetId="0" hidden="1">'1st Draft'!#REF!,'1st Draft'!$N$460,'1st Draft'!$O$460,'1st Draft'!#REF!,'1st Draft'!#REF!,'1st Draft'!#REF!,'1st Draft'!#REF!,'1st Draft'!#REF!,'1st Draft'!#REF!,'1st Draft'!#REF!,'1st Draft'!#REF!,'1st Draft'!$N$461,'1st Draft'!$O$461,'1st Draft'!#REF!,'1st Draft'!#REF!,'1st Draft'!#REF!</definedName>
    <definedName name="QB_FORMULA_249" localSheetId="0" hidden="1">'1st Draft'!#REF!,'1st Draft'!#REF!,'1st Draft'!#REF!,'1st Draft'!#REF!,'1st Draft'!#REF!,'1st Draft'!$N$462,'1st Draft'!$O$462,'1st Draft'!#REF!,'1st Draft'!#REF!,'1st Draft'!#REF!,'1st Draft'!#REF!,'1st Draft'!#REF!,'1st Draft'!#REF!,'1st Draft'!#REF!,'1st Draft'!#REF!,'1st Draft'!$N$463</definedName>
    <definedName name="QB_FORMULA_25" localSheetId="0" hidden="1">'1st Draft'!#REF!,'1st Draft'!#REF!,'1st Draft'!#REF!,'1st Draft'!#REF!,'1st Draft'!#REF!,'1st Draft'!#REF!,'1st Draft'!#REF!,'1st Draft'!#REF!,'1st Draft'!$N$58,'1st Draft'!$O$58,'1st Draft'!#REF!,'1st Draft'!#REF!,'1st Draft'!#REF!,'1st Draft'!#REF!,'1st Draft'!#REF!,'1st Draft'!#REF!</definedName>
    <definedName name="QB_FORMULA_250" localSheetId="0" hidden="1">'1st Draft'!$O$463,'1st Draft'!#REF!,'1st Draft'!#REF!,'1st Draft'!#REF!,'1st Draft'!#REF!,'1st Draft'!#REF!,'1st Draft'!#REF!,'1st Draft'!#REF!,'1st Draft'!#REF!,'1st Draft'!$H$464,'1st Draft'!$I$464,'1st Draft'!#REF!,'1st Draft'!#REF!,'1st Draft'!$J$464,'1st Draft'!$K$464,'1st Draft'!#REF!</definedName>
    <definedName name="QB_FORMULA_251" localSheetId="0" hidden="1">'1st Draft'!#REF!,'1st Draft'!$L$464,'1st Draft'!$M$464,'1st Draft'!#REF!,'1st Draft'!#REF!,'1st Draft'!$N$464,'1st Draft'!$O$464,'1st Draft'!#REF!,'1st Draft'!#REF!,'1st Draft'!#REF!,'1st Draft'!#REF!,'1st Draft'!#REF!,'1st Draft'!#REF!,'1st Draft'!#REF!,'1st Draft'!#REF!,'1st Draft'!$N$466</definedName>
    <definedName name="QB_FORMULA_252" localSheetId="0" hidden="1">'1st Draft'!$O$466,'1st Draft'!#REF!,'1st Draft'!#REF!,'1st Draft'!#REF!,'1st Draft'!#REF!,'1st Draft'!#REF!,'1st Draft'!#REF!,'1st Draft'!#REF!,'1st Draft'!#REF!,'1st Draft'!$N$467,'1st Draft'!$O$467,'1st Draft'!#REF!,'1st Draft'!#REF!,'1st Draft'!#REF!,'1st Draft'!#REF!,'1st Draft'!#REF!</definedName>
    <definedName name="QB_FORMULA_253" localSheetId="0" hidden="1">'1st Draft'!#REF!,'1st Draft'!#REF!,'1st Draft'!#REF!,'1st Draft'!$N$468,'1st Draft'!$O$468,'1st Draft'!#REF!,'1st Draft'!#REF!,'1st Draft'!$H$469,'1st Draft'!$I$469,'1st Draft'!#REF!,'1st Draft'!#REF!,'1st Draft'!$J$469,'1st Draft'!$K$469,'1st Draft'!#REF!,'1st Draft'!#REF!,'1st Draft'!$L$469</definedName>
    <definedName name="QB_FORMULA_254" localSheetId="0" hidden="1">'1st Draft'!$M$469,'1st Draft'!#REF!,'1st Draft'!#REF!,'1st Draft'!$N$469,'1st Draft'!$O$469,'1st Draft'!#REF!,'1st Draft'!#REF!,'1st Draft'!#REF!,'1st Draft'!#REF!,'1st Draft'!#REF!,'1st Draft'!#REF!,'1st Draft'!#REF!,'1st Draft'!#REF!,'1st Draft'!$N$471,'1st Draft'!$O$471,'1st Draft'!#REF!</definedName>
    <definedName name="QB_FORMULA_255" localSheetId="0" hidden="1">'1st Draft'!#REF!,'1st Draft'!#REF!,'1st Draft'!#REF!,'1st Draft'!#REF!,'1st Draft'!#REF!,'1st Draft'!#REF!,'1st Draft'!#REF!,'1st Draft'!$N$472,'1st Draft'!$O$472,'1st Draft'!#REF!,'1st Draft'!#REF!,'1st Draft'!#REF!,'1st Draft'!#REF!,'1st Draft'!#REF!,'1st Draft'!#REF!,'1st Draft'!#REF!</definedName>
    <definedName name="QB_FORMULA_256" localSheetId="0" hidden="1">'1st Draft'!#REF!,'1st Draft'!$N$473,'1st Draft'!$O$473,'1st Draft'!#REF!,'1st Draft'!#REF!,'1st Draft'!#REF!,'1st Draft'!#REF!,'1st Draft'!#REF!,'1st Draft'!#REF!,'1st Draft'!#REF!,'1st Draft'!#REF!,'1st Draft'!$N$474,'1st Draft'!$O$474,'1st Draft'!#REF!,'1st Draft'!#REF!,'1st Draft'!#REF!</definedName>
    <definedName name="QB_FORMULA_257" localSheetId="0" hidden="1">'1st Draft'!#REF!,'1st Draft'!#REF!,'1st Draft'!#REF!,'1st Draft'!#REF!,'1st Draft'!#REF!,'1st Draft'!$N$475,'1st Draft'!$O$475,'1st Draft'!#REF!,'1st Draft'!#REF!,'1st Draft'!#REF!,'1st Draft'!#REF!,'1st Draft'!#REF!,'1st Draft'!#REF!,'1st Draft'!#REF!,'1st Draft'!#REF!,'1st Draft'!$N$476</definedName>
    <definedName name="QB_FORMULA_258" localSheetId="0" hidden="1">'1st Draft'!$O$476,'1st Draft'!#REF!,'1st Draft'!#REF!,'1st Draft'!#REF!,'1st Draft'!#REF!,'1st Draft'!#REF!,'1st Draft'!#REF!,'1st Draft'!#REF!,'1st Draft'!#REF!,'1st Draft'!$N$477,'1st Draft'!$O$477,'1st Draft'!#REF!,'1st Draft'!#REF!,'1st Draft'!#REF!,'1st Draft'!#REF!,'1st Draft'!#REF!</definedName>
    <definedName name="QB_FORMULA_259" localSheetId="0" hidden="1">'1st Draft'!#REF!,'1st Draft'!#REF!,'1st Draft'!#REF!,'1st Draft'!$N$478,'1st Draft'!$O$478,'1st Draft'!#REF!,'1st Draft'!#REF!,'1st Draft'!#REF!,'1st Draft'!#REF!,'1st Draft'!#REF!,'1st Draft'!#REF!,'1st Draft'!#REF!,'1st Draft'!#REF!,'1st Draft'!$H$479,'1st Draft'!$I$479,'1st Draft'!#REF!</definedName>
    <definedName name="QB_FORMULA_26" localSheetId="0" hidden="1">'1st Draft'!#REF!,'1st Draft'!#REF!,'1st Draft'!$N$59,'1st Draft'!$O$59,'1st Draft'!#REF!,'1st Draft'!#REF!,'1st Draft'!#REF!,'1st Draft'!#REF!,'1st Draft'!#REF!,'1st Draft'!#REF!,'1st Draft'!#REF!,'1st Draft'!#REF!,'1st Draft'!$N$60,'1st Draft'!$O$60,'1st Draft'!#REF!,'1st Draft'!#REF!</definedName>
    <definedName name="QB_FORMULA_260" localSheetId="0" hidden="1">'1st Draft'!#REF!,'1st Draft'!$J$479,'1st Draft'!$K$479,'1st Draft'!#REF!,'1st Draft'!#REF!,'1st Draft'!$L$479,'1st Draft'!$M$479,'1st Draft'!#REF!,'1st Draft'!#REF!,'1st Draft'!$N$479,'1st Draft'!$O$479,'1st Draft'!#REF!,'1st Draft'!#REF!,'1st Draft'!#REF!,'1st Draft'!#REF!,'1st Draft'!#REF!</definedName>
    <definedName name="QB_FORMULA_261" localSheetId="0" hidden="1">'1st Draft'!#REF!,'1st Draft'!#REF!,'1st Draft'!#REF!,'1st Draft'!$N$481,'1st Draft'!$O$481,'1st Draft'!#REF!,'1st Draft'!#REF!,'1st Draft'!#REF!,'1st Draft'!#REF!,'1st Draft'!#REF!,'1st Draft'!#REF!,'1st Draft'!#REF!,'1st Draft'!#REF!,'1st Draft'!$N$482,'1st Draft'!$O$482,'1st Draft'!#REF!</definedName>
    <definedName name="QB_FORMULA_262" localSheetId="0" hidden="1">'1st Draft'!#REF!,'1st Draft'!#REF!,'1st Draft'!#REF!,'1st Draft'!#REF!,'1st Draft'!#REF!,'1st Draft'!#REF!,'1st Draft'!#REF!,'1st Draft'!$N$483,'1st Draft'!$O$483,'1st Draft'!#REF!,'1st Draft'!#REF!,'1st Draft'!#REF!,'1st Draft'!#REF!,'1st Draft'!#REF!,'1st Draft'!#REF!,'1st Draft'!#REF!</definedName>
    <definedName name="QB_FORMULA_263" localSheetId="0" hidden="1">'1st Draft'!#REF!,'1st Draft'!$N$484,'1st Draft'!$O$484,'1st Draft'!#REF!,'1st Draft'!#REF!,'1st Draft'!#REF!,'1st Draft'!#REF!,'1st Draft'!#REF!,'1st Draft'!#REF!,'1st Draft'!#REF!,'1st Draft'!#REF!,'1st Draft'!$N$485,'1st Draft'!$O$485,'1st Draft'!#REF!,'1st Draft'!#REF!,'1st Draft'!#REF!</definedName>
    <definedName name="QB_FORMULA_264" localSheetId="0" hidden="1">'1st Draft'!#REF!,'1st Draft'!#REF!,'1st Draft'!#REF!,'1st Draft'!#REF!,'1st Draft'!#REF!,'1st Draft'!$N$486,'1st Draft'!$O$486,'1st Draft'!#REF!,'1st Draft'!#REF!,'1st Draft'!#REF!,'1st Draft'!#REF!,'1st Draft'!#REF!,'1st Draft'!#REF!,'1st Draft'!#REF!,'1st Draft'!#REF!,'1st Draft'!$N$487</definedName>
    <definedName name="QB_FORMULA_265" localSheetId="0" hidden="1">'1st Draft'!$O$487,'1st Draft'!#REF!,'1st Draft'!#REF!,'1st Draft'!#REF!,'1st Draft'!#REF!,'1st Draft'!#REF!,'1st Draft'!#REF!,'1st Draft'!#REF!,'1st Draft'!#REF!,'1st Draft'!$H$488,'1st Draft'!$I$488,'1st Draft'!#REF!,'1st Draft'!#REF!,'1st Draft'!$J$488,'1st Draft'!$K$488,'1st Draft'!#REF!</definedName>
    <definedName name="QB_FORMULA_266" localSheetId="0" hidden="1">'1st Draft'!#REF!,'1st Draft'!$L$488,'1st Draft'!$M$488,'1st Draft'!#REF!,'1st Draft'!#REF!,'1st Draft'!$N$488,'1st Draft'!$O$488,'1st Draft'!#REF!,'1st Draft'!#REF!,'1st Draft'!#REF!,'1st Draft'!#REF!,'1st Draft'!#REF!,'1st Draft'!#REF!,'1st Draft'!#REF!,'1st Draft'!#REF!,'1st Draft'!#REF!</definedName>
    <definedName name="QB_FORMULA_267" localSheetId="0" hidden="1">'1st Draft'!#REF!,'1st Draft'!$H$489,'1st Draft'!$I$489,'1st Draft'!#REF!,'1st Draft'!#REF!,'1st Draft'!$J$489,'1st Draft'!$K$489,'1st Draft'!#REF!,'1st Draft'!#REF!,'1st Draft'!$L$489,'1st Draft'!$M$489,'1st Draft'!#REF!,'1st Draft'!#REF!,'1st Draft'!$N$489,'1st Draft'!$O$489,'1st Draft'!#REF!</definedName>
    <definedName name="QB_FORMULA_268" localSheetId="0" hidden="1">'1st Draft'!#REF!,'1st Draft'!#REF!,'1st Draft'!#REF!,'1st Draft'!#REF!,'1st Draft'!#REF!,'1st Draft'!#REF!,'1st Draft'!#REF!,'1st Draft'!$N$491,'1st Draft'!$O$491,'1st Draft'!#REF!,'1st Draft'!#REF!,'1st Draft'!#REF!,'1st Draft'!#REF!,'1st Draft'!#REF!,'1st Draft'!#REF!,'1st Draft'!#REF!</definedName>
    <definedName name="QB_FORMULA_269" localSheetId="0" hidden="1">'1st Draft'!#REF!,'1st Draft'!$N$492,'1st Draft'!$O$492,'1st Draft'!#REF!,'1st Draft'!#REF!,'1st Draft'!#REF!,'1st Draft'!#REF!,'1st Draft'!#REF!,'1st Draft'!#REF!,'1st Draft'!#REF!,'1st Draft'!#REF!,'1st Draft'!$N$493,'1st Draft'!$O$493,'1st Draft'!#REF!,'1st Draft'!#REF!,'1st Draft'!#REF!</definedName>
    <definedName name="QB_FORMULA_27" localSheetId="0" hidden="1">'1st Draft'!#REF!,'1st Draft'!#REF!,'1st Draft'!$N$61,'1st Draft'!$O$61,'1st Draft'!#REF!,'1st Draft'!#REF!,'1st Draft'!$H$62,'1st Draft'!$I$62,'1st Draft'!#REF!,'1st Draft'!#REF!,'1st Draft'!$J$62,'1st Draft'!$K$62,'1st Draft'!#REF!,'1st Draft'!#REF!,'1st Draft'!$L$62,'1st Draft'!$M$62</definedName>
    <definedName name="QB_FORMULA_270" localSheetId="0" hidden="1">'1st Draft'!#REF!,'1st Draft'!#REF!,'1st Draft'!#REF!,'1st Draft'!#REF!,'1st Draft'!#REF!,'1st Draft'!$N$494,'1st Draft'!$O$494,'1st Draft'!#REF!,'1st Draft'!#REF!,'1st Draft'!#REF!,'1st Draft'!#REF!,'1st Draft'!#REF!,'1st Draft'!#REF!,'1st Draft'!#REF!,'1st Draft'!#REF!,'1st Draft'!$N$495</definedName>
    <definedName name="QB_FORMULA_271" localSheetId="0" hidden="1">'1st Draft'!$O$495,'1st Draft'!#REF!,'1st Draft'!#REF!,'1st Draft'!#REF!,'1st Draft'!#REF!,'1st Draft'!#REF!,'1st Draft'!#REF!,'1st Draft'!$N$496,'1st Draft'!$O$496,'1st Draft'!#REF!,'1st Draft'!#REF!,'1st Draft'!#REF!,'1st Draft'!#REF!,'1st Draft'!#REF!,'1st Draft'!#REF!,'1st Draft'!#REF!</definedName>
    <definedName name="QB_FORMULA_272" localSheetId="0" hidden="1">'1st Draft'!#REF!,'1st Draft'!$N$497,'1st Draft'!$O$497,'1st Draft'!#REF!,'1st Draft'!#REF!,'1st Draft'!#REF!,'1st Draft'!#REF!,'1st Draft'!#REF!,'1st Draft'!#REF!,'1st Draft'!$N$498,'1st Draft'!$O$498,'1st Draft'!#REF!,'1st Draft'!#REF!,'1st Draft'!#REF!,'1st Draft'!#REF!,'1st Draft'!#REF!</definedName>
    <definedName name="QB_FORMULA_273" localSheetId="0" hidden="1">'1st Draft'!#REF!,'1st Draft'!#REF!,'1st Draft'!#REF!,'1st Draft'!$N$499,'1st Draft'!$O$499,'1st Draft'!#REF!,'1st Draft'!#REF!,'1st Draft'!#REF!,'1st Draft'!#REF!,'1st Draft'!#REF!,'1st Draft'!#REF!,'1st Draft'!#REF!,'1st Draft'!#REF!,'1st Draft'!$N$500,'1st Draft'!$O$500,'1st Draft'!#REF!</definedName>
    <definedName name="QB_FORMULA_274" localSheetId="0" hidden="1">'1st Draft'!#REF!,'1st Draft'!#REF!,'1st Draft'!#REF!,'1st Draft'!#REF!,'1st Draft'!#REF!,'1st Draft'!#REF!,'1st Draft'!#REF!,'1st Draft'!$N$501,'1st Draft'!$O$501,'1st Draft'!#REF!,'1st Draft'!#REF!,'1st Draft'!#REF!,'1st Draft'!#REF!,'1st Draft'!#REF!,'1st Draft'!#REF!,'1st Draft'!#REF!</definedName>
    <definedName name="QB_FORMULA_275" localSheetId="0" hidden="1">'1st Draft'!#REF!,'1st Draft'!$N$502,'1st Draft'!$O$502,'1st Draft'!#REF!,'1st Draft'!#REF!,'1st Draft'!#REF!,'1st Draft'!#REF!,'1st Draft'!#REF!,'1st Draft'!#REF!,'1st Draft'!#REF!,'1st Draft'!#REF!,'1st Draft'!$N$503,'1st Draft'!$O$503,'1st Draft'!#REF!,'1st Draft'!#REF!,'1st Draft'!#REF!</definedName>
    <definedName name="QB_FORMULA_276" localSheetId="0" hidden="1">'1st Draft'!#REF!,'1st Draft'!#REF!,'1st Draft'!#REF!,'1st Draft'!#REF!,'1st Draft'!#REF!,'1st Draft'!$N$504,'1st Draft'!$O$504,'1st Draft'!#REF!,'1st Draft'!#REF!,'1st Draft'!#REF!,'1st Draft'!#REF!,'1st Draft'!#REF!,'1st Draft'!#REF!,'1st Draft'!#REF!,'1st Draft'!#REF!,'1st Draft'!$N$505</definedName>
    <definedName name="QB_FORMULA_277" localSheetId="0" hidden="1">'1st Draft'!$O$505,'1st Draft'!#REF!,'1st Draft'!#REF!,'1st Draft'!#REF!,'1st Draft'!#REF!,'1st Draft'!#REF!,'1st Draft'!#REF!,'1st Draft'!#REF!,'1st Draft'!#REF!,'1st Draft'!$N$506,'1st Draft'!$O$506,'1st Draft'!#REF!,'1st Draft'!#REF!,'1st Draft'!#REF!,'1st Draft'!#REF!,'1st Draft'!#REF!</definedName>
    <definedName name="QB_FORMULA_278" localSheetId="0" hidden="1">'1st Draft'!#REF!,'1st Draft'!#REF!,'1st Draft'!#REF!,'1st Draft'!#REF!,'1st Draft'!#REF!,'1st Draft'!#REF!,'1st Draft'!#REF!,'1st Draft'!#REF!,'1st Draft'!#REF!,'1st Draft'!#REF!,'1st Draft'!#REF!,'1st Draft'!#REF!,'1st Draft'!#REF!,'1st Draft'!$N$507,'1st Draft'!$O$507,'1st Draft'!#REF!</definedName>
    <definedName name="QB_FORMULA_279" localSheetId="0" hidden="1">'1st Draft'!#REF!,'1st Draft'!#REF!,'1st Draft'!#REF!,'1st Draft'!#REF!,'1st Draft'!#REF!,'1st Draft'!#REF!,'1st Draft'!#REF!,'1st Draft'!$N$508,'1st Draft'!$O$508,'1st Draft'!#REF!,'1st Draft'!#REF!,'1st Draft'!#REF!,'1st Draft'!#REF!,'1st Draft'!#REF!,'1st Draft'!#REF!,'1st Draft'!#REF!</definedName>
    <definedName name="QB_FORMULA_28" localSheetId="0" hidden="1">'1st Draft'!#REF!,'1st Draft'!#REF!,'1st Draft'!$N$62,'1st Draft'!$O$62,'1st Draft'!#REF!,'1st Draft'!#REF!,'1st Draft'!#REF!,'1st Draft'!#REF!,'1st Draft'!#REF!,'1st Draft'!#REF!,'1st Draft'!#REF!,'1st Draft'!#REF!,'1st Draft'!$N$63,'1st Draft'!$O$63,'1st Draft'!#REF!,'1st Draft'!#REF!</definedName>
    <definedName name="QB_FORMULA_280" localSheetId="0" hidden="1">'1st Draft'!#REF!,'1st Draft'!$N$509,'1st Draft'!$O$509,'1st Draft'!#REF!,'1st Draft'!#REF!,'1st Draft'!#REF!,'1st Draft'!#REF!,'1st Draft'!#REF!,'1st Draft'!#REF!,'1st Draft'!#REF!,'1st Draft'!#REF!,'1st Draft'!$N$510,'1st Draft'!$O$510,'1st Draft'!#REF!,'1st Draft'!#REF!,'1st Draft'!#REF!</definedName>
    <definedName name="QB_FORMULA_281" localSheetId="0" hidden="1">'1st Draft'!#REF!,'1st Draft'!#REF!,'1st Draft'!#REF!,'1st Draft'!#REF!,'1st Draft'!#REF!,'1st Draft'!$N$511,'1st Draft'!$O$511,'1st Draft'!#REF!,'1st Draft'!#REF!,'1st Draft'!#REF!,'1st Draft'!#REF!,'1st Draft'!#REF!,'1st Draft'!#REF!,'1st Draft'!#REF!,'1st Draft'!#REF!,'1st Draft'!$N$512</definedName>
    <definedName name="QB_FORMULA_282" localSheetId="0" hidden="1">'1st Draft'!$O$512,'1st Draft'!#REF!,'1st Draft'!#REF!,'1st Draft'!#REF!,'1st Draft'!#REF!,'1st Draft'!#REF!,'1st Draft'!#REF!,'1st Draft'!#REF!,'1st Draft'!#REF!,'1st Draft'!$N$513,'1st Draft'!$O$513,'1st Draft'!#REF!,'1st Draft'!#REF!,'1st Draft'!#REF!,'1st Draft'!#REF!,'1st Draft'!#REF!</definedName>
    <definedName name="QB_FORMULA_283" localSheetId="0" hidden="1">'1st Draft'!#REF!,'1st Draft'!#REF!,'1st Draft'!#REF!,'1st Draft'!$N$515,'1st Draft'!$O$515,'1st Draft'!#REF!,'1st Draft'!#REF!,'1st Draft'!#REF!,'1st Draft'!#REF!,'1st Draft'!#REF!,'1st Draft'!#REF!,'1st Draft'!#REF!,'1st Draft'!#REF!,'1st Draft'!$N$516,'1st Draft'!$O$516,'1st Draft'!#REF!</definedName>
    <definedName name="QB_FORMULA_284" localSheetId="0" hidden="1">'1st Draft'!#REF!,'1st Draft'!#REF!,'1st Draft'!#REF!,'1st Draft'!#REF!,'1st Draft'!#REF!,'1st Draft'!#REF!,'1st Draft'!#REF!,'1st Draft'!$N$517,'1st Draft'!$O$517,'1st Draft'!#REF!,'1st Draft'!#REF!,'1st Draft'!$H$518,'1st Draft'!$I$518,'1st Draft'!#REF!,'1st Draft'!#REF!,'1st Draft'!$J$518</definedName>
    <definedName name="QB_FORMULA_285" localSheetId="0" hidden="1">'1st Draft'!$K$518,'1st Draft'!#REF!,'1st Draft'!#REF!,'1st Draft'!$L$518,'1st Draft'!$M$518,'1st Draft'!#REF!,'1st Draft'!#REF!,'1st Draft'!$N$518,'1st Draft'!$O$518,'1st Draft'!#REF!,'1st Draft'!#REF!,'1st Draft'!#REF!,'1st Draft'!#REF!,'1st Draft'!#REF!,'1st Draft'!#REF!,'1st Draft'!#REF!</definedName>
    <definedName name="QB_FORMULA_286" localSheetId="0" hidden="1">'1st Draft'!#REF!,'1st Draft'!$N$519,'1st Draft'!$O$519,'1st Draft'!#REF!,'1st Draft'!#REF!,'1st Draft'!#REF!,'1st Draft'!#REF!,'1st Draft'!#REF!,'1st Draft'!#REF!,'1st Draft'!#REF!,'1st Draft'!#REF!,'1st Draft'!$N$520,'1st Draft'!$O$520,'1st Draft'!#REF!,'1st Draft'!#REF!,'1st Draft'!#REF!</definedName>
    <definedName name="QB_FORMULA_287" localSheetId="0" hidden="1">'1st Draft'!#REF!,'1st Draft'!#REF!,'1st Draft'!#REF!,'1st Draft'!#REF!,'1st Draft'!#REF!,'1st Draft'!$N$521,'1st Draft'!$O$521,'1st Draft'!#REF!,'1st Draft'!#REF!,'1st Draft'!#REF!,'1st Draft'!#REF!,'1st Draft'!#REF!,'1st Draft'!#REF!,'1st Draft'!#REF!,'1st Draft'!#REF!,'1st Draft'!$N$522</definedName>
    <definedName name="QB_FORMULA_288" localSheetId="0" hidden="1">'1st Draft'!$O$522,'1st Draft'!#REF!,'1st Draft'!#REF!,'1st Draft'!$N$523,'1st Draft'!#REF!,'1st Draft'!#REF!,'1st Draft'!#REF!,'1st Draft'!#REF!,'1st Draft'!#REF!,'1st Draft'!#REF!,'1st Draft'!$N$524,'1st Draft'!$O$524,'1st Draft'!#REF!,'1st Draft'!#REF!,'1st Draft'!#REF!,'1st Draft'!#REF!</definedName>
    <definedName name="QB_FORMULA_289" localSheetId="0" hidden="1">'1st Draft'!#REF!,'1st Draft'!#REF!,'1st Draft'!#REF!,'1st Draft'!#REF!,'1st Draft'!$N$525,'1st Draft'!$O$525,'1st Draft'!#REF!,'1st Draft'!#REF!,'1st Draft'!#REF!,'1st Draft'!#REF!,'1st Draft'!#REF!,'1st Draft'!#REF!,'1st Draft'!#REF!,'1st Draft'!#REF!,'1st Draft'!$N$526,'1st Draft'!$O$526</definedName>
    <definedName name="QB_FORMULA_29" localSheetId="0" hidden="1">'1st Draft'!#REF!,'1st Draft'!#REF!,'1st Draft'!#REF!,'1st Draft'!#REF!,'1st Draft'!#REF!,'1st Draft'!#REF!,'1st Draft'!$N$65,'1st Draft'!$O$65,'1st Draft'!#REF!,'1st Draft'!#REF!,'1st Draft'!#REF!,'1st Draft'!#REF!,'1st Draft'!#REF!,'1st Draft'!#REF!,'1st Draft'!#REF!,'1st Draft'!#REF!</definedName>
    <definedName name="QB_FORMULA_290" localSheetId="0" hidden="1">'1st Draft'!#REF!,'1st Draft'!#REF!,'1st Draft'!#REF!,'1st Draft'!#REF!,'1st Draft'!#REF!,'1st Draft'!#REF!,'1st Draft'!#REF!,'1st Draft'!#REF!,'1st Draft'!$N$527,'1st Draft'!$O$527,'1st Draft'!#REF!,'1st Draft'!#REF!,'1st Draft'!#REF!,'1st Draft'!#REF!,'1st Draft'!#REF!,'1st Draft'!#REF!</definedName>
    <definedName name="QB_FORMULA_291" localSheetId="0" hidden="1">'1st Draft'!#REF!,'1st Draft'!#REF!,'1st Draft'!$N$528,'1st Draft'!$O$528,'1st Draft'!#REF!,'1st Draft'!#REF!,'1st Draft'!#REF!,'1st Draft'!#REF!,'1st Draft'!#REF!,'1st Draft'!#REF!,'1st Draft'!$N$529,'1st Draft'!$O$529,'1st Draft'!#REF!,'1st Draft'!#REF!,'1st Draft'!#REF!,'1st Draft'!#REF!</definedName>
    <definedName name="QB_FORMULA_292" localSheetId="0" hidden="1">'1st Draft'!#REF!,'1st Draft'!#REF!,'1st Draft'!#REF!,'1st Draft'!#REF!,'1st Draft'!$N$530,'1st Draft'!$O$530,'1st Draft'!#REF!,'1st Draft'!#REF!,'1st Draft'!#REF!,'1st Draft'!#REF!,'1st Draft'!#REF!,'1st Draft'!#REF!,'1st Draft'!#REF!,'1st Draft'!#REF!,'1st Draft'!$N$531,'1st Draft'!$O$531</definedName>
    <definedName name="QB_FORMULA_293" localSheetId="0" hidden="1">'1st Draft'!#REF!,'1st Draft'!#REF!,'1st Draft'!#REF!,'1st Draft'!#REF!,'1st Draft'!#REF!,'1st Draft'!#REF!,'1st Draft'!#REF!,'1st Draft'!#REF!,'1st Draft'!$N$532,'1st Draft'!$O$532,'1st Draft'!#REF!,'1st Draft'!#REF!,'1st Draft'!#REF!,'1st Draft'!#REF!,'1st Draft'!#REF!,'1st Draft'!#REF!</definedName>
    <definedName name="QB_FORMULA_294" localSheetId="0" hidden="1">'1st Draft'!#REF!,'1st Draft'!#REF!,'1st Draft'!$N$533,'1st Draft'!$O$533,'1st Draft'!#REF!,'1st Draft'!#REF!,'1st Draft'!#REF!,'1st Draft'!#REF!,'1st Draft'!#REF!,'1st Draft'!#REF!,'1st Draft'!#REF!,'1st Draft'!#REF!,'1st Draft'!$N$534,'1st Draft'!$O$534,'1st Draft'!#REF!,'1st Draft'!#REF!</definedName>
    <definedName name="QB_FORMULA_295" localSheetId="0" hidden="1">'1st Draft'!#REF!,'1st Draft'!#REF!,'1st Draft'!#REF!,'1st Draft'!#REF!,'1st Draft'!#REF!,'1st Draft'!#REF!,'1st Draft'!$N$535,'1st Draft'!$O$535,'1st Draft'!#REF!,'1st Draft'!#REF!,'1st Draft'!#REF!,'1st Draft'!#REF!,'1st Draft'!#REF!,'1st Draft'!#REF!,'1st Draft'!#REF!,'1st Draft'!#REF!</definedName>
    <definedName name="QB_FORMULA_296" localSheetId="0" hidden="1">'1st Draft'!$N$536,'1st Draft'!$O$536,'1st Draft'!#REF!,'1st Draft'!#REF!,'1st Draft'!#REF!,'1st Draft'!#REF!,'1st Draft'!#REF!,'1st Draft'!#REF!,'1st Draft'!#REF!,'1st Draft'!#REF!,'1st Draft'!$N$537,'1st Draft'!$O$537,'1st Draft'!#REF!,'1st Draft'!#REF!,'1st Draft'!#REF!,'1st Draft'!#REF!</definedName>
    <definedName name="QB_FORMULA_297" localSheetId="0" hidden="1">'1st Draft'!#REF!,'1st Draft'!#REF!,'1st Draft'!#REF!,'1st Draft'!#REF!,'1st Draft'!$N$538,'1st Draft'!$O$538,'1st Draft'!#REF!,'1st Draft'!#REF!,'1st Draft'!#REF!,'1st Draft'!#REF!,'1st Draft'!#REF!,'1st Draft'!#REF!,'1st Draft'!#REF!,'1st Draft'!#REF!,'1st Draft'!$N$539,'1st Draft'!$O$539</definedName>
    <definedName name="QB_FORMULA_298" localSheetId="0" hidden="1">'1st Draft'!#REF!,'1st Draft'!#REF!,'1st Draft'!#REF!,'1st Draft'!#REF!,'1st Draft'!#REF!,'1st Draft'!#REF!,'1st Draft'!#REF!,'1st Draft'!#REF!,'1st Draft'!$N$540,'1st Draft'!$O$540,'1st Draft'!#REF!,'1st Draft'!#REF!,'1st Draft'!$N$541,'1st Draft'!#REF!,'1st Draft'!#REF!,'1st Draft'!#REF!</definedName>
    <definedName name="QB_FORMULA_299" localSheetId="0" hidden="1">'1st Draft'!#REF!,'1st Draft'!#REF!,'1st Draft'!#REF!,'1st Draft'!$N$542,'1st Draft'!$O$542,'1st Draft'!#REF!,'1st Draft'!#REF!,'1st Draft'!#REF!,'1st Draft'!#REF!,'1st Draft'!#REF!,'1st Draft'!#REF!,'1st Draft'!#REF!,'1st Draft'!#REF!,'1st Draft'!$N$544,'1st Draft'!$O$544,'1st Draft'!#REF!</definedName>
    <definedName name="QB_FORMULA_3" localSheetId="0" hidden="1">'1st Draft'!$J$15,'1st Draft'!$K$15,'1st Draft'!#REF!,'1st Draft'!#REF!,'1st Draft'!$L$15,'1st Draft'!$M$15,'1st Draft'!#REF!,'1st Draft'!#REF!,'1st Draft'!$N$15,'1st Draft'!$O$15,'1st Draft'!#REF!,'1st Draft'!#REF!,'1st Draft'!#REF!,'1st Draft'!#REF!,'1st Draft'!#REF!,'1st Draft'!#REF!</definedName>
    <definedName name="QB_FORMULA_30" localSheetId="0" hidden="1">'1st Draft'!$N$66,'1st Draft'!$O$66,'1st Draft'!#REF!,'1st Draft'!#REF!,'1st Draft'!#REF!,'1st Draft'!#REF!,'1st Draft'!#REF!,'1st Draft'!#REF!,'1st Draft'!#REF!,'1st Draft'!#REF!,'1st Draft'!$N$67,'1st Draft'!$O$67,'1st Draft'!#REF!,'1st Draft'!#REF!,'1st Draft'!#REF!,'1st Draft'!#REF!</definedName>
    <definedName name="QB_FORMULA_300" localSheetId="0" hidden="1">'1st Draft'!#REF!,'1st Draft'!#REF!,'1st Draft'!#REF!,'1st Draft'!#REF!,'1st Draft'!#REF!,'1st Draft'!#REF!,'1st Draft'!#REF!,'1st Draft'!$N$545,'1st Draft'!$O$545,'1st Draft'!#REF!,'1st Draft'!#REF!,'1st Draft'!#REF!,'1st Draft'!#REF!,'1st Draft'!#REF!,'1st Draft'!#REF!,'1st Draft'!#REF!</definedName>
    <definedName name="QB_FORMULA_301" localSheetId="0" hidden="1">'1st Draft'!#REF!,'1st Draft'!$N$546,'1st Draft'!$O$546,'1st Draft'!#REF!,'1st Draft'!#REF!,'1st Draft'!$H$547,'1st Draft'!$I$547,'1st Draft'!#REF!,'1st Draft'!#REF!,'1st Draft'!$J$547,'1st Draft'!$K$547,'1st Draft'!#REF!,'1st Draft'!#REF!,'1st Draft'!$L$547,'1st Draft'!$M$547,'1st Draft'!#REF!</definedName>
    <definedName name="QB_FORMULA_302" localSheetId="0" hidden="1">'1st Draft'!#REF!,'1st Draft'!$N$547,'1st Draft'!$O$547,'1st Draft'!#REF!,'1st Draft'!#REF!,'1st Draft'!#REF!,'1st Draft'!#REF!,'1st Draft'!#REF!,'1st Draft'!#REF!,'1st Draft'!#REF!,'1st Draft'!#REF!,'1st Draft'!#REF!,'1st Draft'!#REF!,'1st Draft'!$H$548,'1st Draft'!$I$548,'1st Draft'!#REF!</definedName>
    <definedName name="QB_FORMULA_303" localSheetId="0" hidden="1">'1st Draft'!#REF!,'1st Draft'!$J$548,'1st Draft'!$K$548,'1st Draft'!#REF!,'1st Draft'!#REF!,'1st Draft'!$L$548,'1st Draft'!$M$548,'1st Draft'!#REF!,'1st Draft'!#REF!,'1st Draft'!$N$548,'1st Draft'!$O$548,'1st Draft'!#REF!,'1st Draft'!#REF!,'1st Draft'!#REF!,'1st Draft'!#REF!,'1st Draft'!#REF!</definedName>
    <definedName name="QB_FORMULA_304" localSheetId="0" hidden="1">'1st Draft'!#REF!,'1st Draft'!#REF!,'1st Draft'!#REF!,'1st Draft'!$N$550,'1st Draft'!$O$550,'1st Draft'!#REF!,'1st Draft'!#REF!,'1st Draft'!$H$551,'1st Draft'!$I$551,'1st Draft'!#REF!,'1st Draft'!#REF!,'1st Draft'!$J$551,'1st Draft'!$K$551,'1st Draft'!#REF!,'1st Draft'!#REF!,'1st Draft'!$L$551</definedName>
    <definedName name="QB_FORMULA_305" localSheetId="0" hidden="1">'1st Draft'!$M$551,'1st Draft'!#REF!,'1st Draft'!#REF!,'1st Draft'!$N$551,'1st Draft'!$O$551,'1st Draft'!#REF!,'1st Draft'!#REF!,'1st Draft'!$H$552,'1st Draft'!$I$552,'1st Draft'!#REF!,'1st Draft'!#REF!,'1st Draft'!$J$552,'1st Draft'!$K$552,'1st Draft'!#REF!,'1st Draft'!#REF!,'1st Draft'!$L$552</definedName>
    <definedName name="QB_FORMULA_306" localSheetId="0" hidden="1">'1st Draft'!$M$552,'1st Draft'!#REF!,'1st Draft'!#REF!,'1st Draft'!$N$552,'1st Draft'!$O$552,'1st Draft'!#REF!,'1st Draft'!#REF!,'1st Draft'!$H$553,'1st Draft'!$I$553,'1st Draft'!#REF!,'1st Draft'!#REF!,'1st Draft'!$J$553,'1st Draft'!$K$553,'1st Draft'!#REF!,'1st Draft'!#REF!,'1st Draft'!$L$553</definedName>
    <definedName name="QB_FORMULA_307" localSheetId="0" hidden="1">'1st Draft'!$M$553,'1st Draft'!#REF!,'1st Draft'!#REF!,'1st Draft'!$N$553,'1st Draft'!$O$553,'1st Draft'!#REF!,'1st Draft'!#REF!,'1st Draft'!#REF!,'1st Draft'!#REF!,'1st Draft'!#REF!,'1st Draft'!#REF!,'1st Draft'!#REF!,'1st Draft'!#REF!,'1st Draft'!$N$556,'1st Draft'!$O$556,'1st Draft'!#REF!</definedName>
    <definedName name="QB_FORMULA_308" localSheetId="0" hidden="1">'1st Draft'!#REF!,'1st Draft'!#REF!,'1st Draft'!#REF!,'1st Draft'!$N$558,'1st Draft'!$O$558,'1st Draft'!#REF!,'1st Draft'!#REF!,'1st Draft'!#REF!,'1st Draft'!#REF!,'1st Draft'!$N$559,'1st Draft'!$O$559,'1st Draft'!#REF!,'1st Draft'!#REF!,'1st Draft'!#REF!,'1st Draft'!#REF!,'1st Draft'!$N$560</definedName>
    <definedName name="QB_FORMULA_309" localSheetId="0" hidden="1">'1st Draft'!$O$560,'1st Draft'!#REF!,'1st Draft'!#REF!,'1st Draft'!#REF!,'1st Draft'!#REF!,'1st Draft'!$N$561,'1st Draft'!$O$561,'1st Draft'!#REF!,'1st Draft'!#REF!,'1st Draft'!#REF!,'1st Draft'!#REF!,'1st Draft'!$N$562,'1st Draft'!$O$562,'1st Draft'!#REF!,'1st Draft'!#REF!,'1st Draft'!$H$563</definedName>
    <definedName name="QB_FORMULA_31" localSheetId="0" hidden="1">'1st Draft'!#REF!,'1st Draft'!#REF!,'1st Draft'!#REF!,'1st Draft'!#REF!,'1st Draft'!$N$68,'1st Draft'!$O$68,'1st Draft'!#REF!,'1st Draft'!#REF!,'1st Draft'!#REF!,'1st Draft'!#REF!,'1st Draft'!#REF!,'1st Draft'!#REF!,'1st Draft'!#REF!,'1st Draft'!#REF!,'1st Draft'!$N$69,'1st Draft'!$O$69</definedName>
    <definedName name="QB_FORMULA_310" localSheetId="0" hidden="1">'1st Draft'!$I$563,'1st Draft'!#REF!,'1st Draft'!#REF!,'1st Draft'!$J$563,'1st Draft'!$L$563,'1st Draft'!$N$563,'1st Draft'!$O$563,'1st Draft'!#REF!,'1st Draft'!#REF!,'1st Draft'!#REF!,'1st Draft'!#REF!,'1st Draft'!$N$565,'1st Draft'!$O$565,'1st Draft'!#REF!,'1st Draft'!#REF!,'1st Draft'!#REF!</definedName>
    <definedName name="QB_FORMULA_311" localSheetId="0" hidden="1">'1st Draft'!#REF!,'1st Draft'!$N$566,'1st Draft'!$O$566,'1st Draft'!#REF!,'1st Draft'!#REF!,'1st Draft'!#REF!,'1st Draft'!#REF!,'1st Draft'!$N$567,'1st Draft'!$O$567,'1st Draft'!#REF!,'1st Draft'!#REF!,'1st Draft'!$H$568,'1st Draft'!$I$568,'1st Draft'!#REF!,'1st Draft'!#REF!,'1st Draft'!$J$568</definedName>
    <definedName name="QB_FORMULA_312" localSheetId="0" hidden="1">'1st Draft'!$L$568,'1st Draft'!$N$568,'1st Draft'!$O$568,'1st Draft'!#REF!,'1st Draft'!#REF!,'1st Draft'!$H$569,'1st Draft'!$I$569,'1st Draft'!#REF!,'1st Draft'!#REF!,'1st Draft'!$J$569,'1st Draft'!$K$569,'1st Draft'!#REF!,'1st Draft'!#REF!,'1st Draft'!$L$569,'1st Draft'!$M$569,'1st Draft'!#REF!</definedName>
    <definedName name="QB_FORMULA_313" localSheetId="0" hidden="1">'1st Draft'!#REF!,'1st Draft'!$N$569,'1st Draft'!$O$569,'1st Draft'!#REF!,'1st Draft'!#REF!,'1st Draft'!#REF!,'1st Draft'!#REF!,'1st Draft'!$N$572,'1st Draft'!$O$572,'1st Draft'!#REF!,'1st Draft'!#REF!,'1st Draft'!#REF!,'1st Draft'!#REF!,'1st Draft'!$N$573,'1st Draft'!$O$573,'1st Draft'!#REF!</definedName>
    <definedName name="QB_FORMULA_314" localSheetId="0" hidden="1">'1st Draft'!#REF!,'1st Draft'!#REF!,'1st Draft'!#REF!,'1st Draft'!$N$574,'1st Draft'!$O$574,'1st Draft'!#REF!,'1st Draft'!#REF!,'1st Draft'!#REF!,'1st Draft'!#REF!,'1st Draft'!$N$575,'1st Draft'!$O$575,'1st Draft'!#REF!,'1st Draft'!#REF!,'1st Draft'!$H$576,'1st Draft'!$I$576,'1st Draft'!#REF!</definedName>
    <definedName name="QB_FORMULA_315" localSheetId="0" hidden="1">'1st Draft'!#REF!,'1st Draft'!$J$576,'1st Draft'!$L$576,'1st Draft'!$N$576,'1st Draft'!$O$576,'1st Draft'!#REF!,'1st Draft'!#REF!,'1st Draft'!#REF!,'1st Draft'!#REF!,'1st Draft'!#REF!,'1st Draft'!#REF!,'1st Draft'!#REF!,'1st Draft'!#REF!,'1st Draft'!$N$577,'1st Draft'!$O$577,'1st Draft'!#REF!</definedName>
    <definedName name="QB_FORMULA_316" localSheetId="0" hidden="1">'1st Draft'!#REF!,'1st Draft'!$H$578,'1st Draft'!$I$578,'1st Draft'!#REF!,'1st Draft'!#REF!,'1st Draft'!$J$578,'1st Draft'!$K$578,'1st Draft'!#REF!,'1st Draft'!#REF!,'1st Draft'!$L$578,'1st Draft'!$M$578,'1st Draft'!#REF!,'1st Draft'!#REF!,'1st Draft'!$N$578,'1st Draft'!$O$578,'1st Draft'!#REF!</definedName>
    <definedName name="QB_FORMULA_317" localSheetId="0" hidden="1">'1st Draft'!#REF!,'1st Draft'!$H$579,'1st Draft'!$I$579,'1st Draft'!#REF!,'1st Draft'!#REF!,'1st Draft'!$J$579,'1st Draft'!$K$579,'1st Draft'!#REF!,'1st Draft'!#REF!,'1st Draft'!$L$579,'1st Draft'!$M$579,'1st Draft'!#REF!,'1st Draft'!#REF!,'1st Draft'!$N$579,'1st Draft'!$O$579,'1st Draft'!#REF!</definedName>
    <definedName name="QB_FORMULA_318" localSheetId="0" hidden="1">'1st Draft'!#REF!,'1st Draft'!$H$580,'1st Draft'!$I$580,'1st Draft'!#REF!,'1st Draft'!#REF!,'1st Draft'!$J$580,'1st Draft'!$K$580,'1st Draft'!#REF!,'1st Draft'!#REF!,'1st Draft'!$L$580,'1st Draft'!$M$580,'1st Draft'!#REF!,'1st Draft'!#REF!,'1st Draft'!$N$580,'1st Draft'!$O$580,'1st Draft'!#REF!</definedName>
    <definedName name="QB_FORMULA_319" localSheetId="0" hidden="1">'1st Draft'!#REF!</definedName>
    <definedName name="QB_FORMULA_32" localSheetId="0" hidden="1">'1st Draft'!#REF!,'1st Draft'!#REF!,'1st Draft'!#REF!,'1st Draft'!#REF!,'1st Draft'!#REF!,'1st Draft'!#REF!,'1st Draft'!#REF!,'1st Draft'!#REF!,'1st Draft'!$N$70,'1st Draft'!$O$70,'1st Draft'!#REF!,'1st Draft'!#REF!,'1st Draft'!$H$71,'1st Draft'!$I$71,'1st Draft'!#REF!,'1st Draft'!#REF!</definedName>
    <definedName name="QB_FORMULA_33" localSheetId="0" hidden="1">'1st Draft'!$J$71,'1st Draft'!$K$71,'1st Draft'!#REF!,'1st Draft'!#REF!,'1st Draft'!$L$71,'1st Draft'!$M$71,'1st Draft'!#REF!,'1st Draft'!#REF!,'1st Draft'!$N$71,'1st Draft'!$O$71,'1st Draft'!#REF!,'1st Draft'!#REF!,'1st Draft'!#REF!,'1st Draft'!#REF!,'1st Draft'!#REF!,'1st Draft'!#REF!</definedName>
    <definedName name="QB_FORMULA_34" localSheetId="0" hidden="1">'1st Draft'!#REF!,'1st Draft'!#REF!,'1st Draft'!$N$73,'1st Draft'!$O$73,'1st Draft'!#REF!,'1st Draft'!#REF!,'1st Draft'!#REF!,'1st Draft'!#REF!,'1st Draft'!#REF!,'1st Draft'!#REF!,'1st Draft'!#REF!,'1st Draft'!#REF!,'1st Draft'!$N$74,'1st Draft'!$O$74,'1st Draft'!#REF!,'1st Draft'!#REF!</definedName>
    <definedName name="QB_FORMULA_35" localSheetId="0" hidden="1">'1st Draft'!#REF!,'1st Draft'!#REF!,'1st Draft'!#REF!,'1st Draft'!#REF!,'1st Draft'!#REF!,'1st Draft'!#REF!,'1st Draft'!$N$75,'1st Draft'!$O$75,'1st Draft'!#REF!,'1st Draft'!#REF!,'1st Draft'!#REF!,'1st Draft'!#REF!,'1st Draft'!#REF!,'1st Draft'!#REF!,'1st Draft'!#REF!,'1st Draft'!#REF!</definedName>
    <definedName name="QB_FORMULA_36" localSheetId="0" hidden="1">'1st Draft'!$N$76,'1st Draft'!$O$76,'1st Draft'!#REF!,'1st Draft'!#REF!,'1st Draft'!#REF!,'1st Draft'!#REF!,'1st Draft'!#REF!,'1st Draft'!#REF!,'1st Draft'!#REF!,'1st Draft'!#REF!,'1st Draft'!$N$77,'1st Draft'!$O$77,'1st Draft'!#REF!,'1st Draft'!#REF!,'1st Draft'!#REF!,'1st Draft'!#REF!</definedName>
    <definedName name="QB_FORMULA_37" localSheetId="0" hidden="1">'1st Draft'!#REF!,'1st Draft'!#REF!,'1st Draft'!#REF!,'1st Draft'!#REF!,'1st Draft'!$N$78,'1st Draft'!$O$78,'1st Draft'!#REF!,'1st Draft'!#REF!,'1st Draft'!#REF!,'1st Draft'!#REF!,'1st Draft'!#REF!,'1st Draft'!#REF!,'1st Draft'!#REF!,'1st Draft'!#REF!,'1st Draft'!$N$79,'1st Draft'!$O$79</definedName>
    <definedName name="QB_FORMULA_38" localSheetId="0" hidden="1">'1st Draft'!#REF!,'1st Draft'!#REF!,'1st Draft'!#REF!,'1st Draft'!#REF!,'1st Draft'!#REF!,'1st Draft'!#REF!,'1st Draft'!#REF!,'1st Draft'!#REF!,'1st Draft'!$N$80,'1st Draft'!$O$80,'1st Draft'!#REF!,'1st Draft'!#REF!,'1st Draft'!#REF!,'1st Draft'!#REF!,'1st Draft'!$N$82,'1st Draft'!$O$82</definedName>
    <definedName name="QB_FORMULA_39" localSheetId="0" hidden="1">'1st Draft'!#REF!,'1st Draft'!#REF!,'1st Draft'!#REF!,'1st Draft'!#REF!,'1st Draft'!$N$83,'1st Draft'!$O$83,'1st Draft'!#REF!,'1st Draft'!#REF!,'1st Draft'!$H$84,'1st Draft'!$I$84,'1st Draft'!#REF!,'1st Draft'!#REF!,'1st Draft'!$J$84,'1st Draft'!$K$84,'1st Draft'!#REF!,'1st Draft'!#REF!</definedName>
    <definedName name="QB_FORMULA_4" localSheetId="0" hidden="1">'1st Draft'!#REF!,'1st Draft'!#REF!,'1st Draft'!$N$17,'1st Draft'!$O$17,'1st Draft'!#REF!,'1st Draft'!#REF!,'1st Draft'!#REF!,'1st Draft'!#REF!,'1st Draft'!#REF!,'1st Draft'!#REF!,'1st Draft'!#REF!,'1st Draft'!#REF!,'1st Draft'!$N$18,'1st Draft'!$O$18,'1st Draft'!#REF!,'1st Draft'!#REF!</definedName>
    <definedName name="QB_FORMULA_40" localSheetId="0" hidden="1">'1st Draft'!$L$84,'1st Draft'!$M$84,'1st Draft'!#REF!,'1st Draft'!#REF!,'1st Draft'!$N$84,'1st Draft'!$O$84,'1st Draft'!#REF!,'1st Draft'!#REF!,'1st Draft'!#REF!,'1st Draft'!#REF!,'1st Draft'!#REF!,'1st Draft'!#REF!,'1st Draft'!#REF!,'1st Draft'!#REF!,'1st Draft'!$N$86,'1st Draft'!$O$86</definedName>
    <definedName name="QB_FORMULA_41" localSheetId="0" hidden="1">'1st Draft'!#REF!,'1st Draft'!#REF!,'1st Draft'!#REF!,'1st Draft'!#REF!,'1st Draft'!#REF!,'1st Draft'!#REF!,'1st Draft'!#REF!,'1st Draft'!#REF!,'1st Draft'!$N$87,'1st Draft'!$O$87,'1st Draft'!#REF!,'1st Draft'!#REF!,'1st Draft'!#REF!,'1st Draft'!#REF!,'1st Draft'!#REF!,'1st Draft'!#REF!</definedName>
    <definedName name="QB_FORMULA_42" localSheetId="0" hidden="1">'1st Draft'!#REF!,'1st Draft'!#REF!,'1st Draft'!$N$88,'1st Draft'!$O$88,'1st Draft'!#REF!,'1st Draft'!#REF!,'1st Draft'!#REF!,'1st Draft'!#REF!,'1st Draft'!#REF!,'1st Draft'!#REF!,'1st Draft'!#REF!,'1st Draft'!#REF!,'1st Draft'!$N$89,'1st Draft'!$O$89,'1st Draft'!#REF!,'1st Draft'!#REF!</definedName>
    <definedName name="QB_FORMULA_43" localSheetId="0" hidden="1">'1st Draft'!$H$90,'1st Draft'!$I$90,'1st Draft'!#REF!,'1st Draft'!#REF!,'1st Draft'!$J$90,'1st Draft'!$K$90,'1st Draft'!#REF!,'1st Draft'!#REF!,'1st Draft'!$L$90,'1st Draft'!$M$90,'1st Draft'!#REF!,'1st Draft'!#REF!,'1st Draft'!$N$90,'1st Draft'!$O$90,'1st Draft'!#REF!,'1st Draft'!#REF!</definedName>
    <definedName name="QB_FORMULA_44" localSheetId="0" hidden="1">'1st Draft'!#REF!,'1st Draft'!#REF!,'1st Draft'!#REF!,'1st Draft'!#REF!,'1st Draft'!#REF!,'1st Draft'!#REF!,'1st Draft'!$N$92,'1st Draft'!$O$92,'1st Draft'!#REF!,'1st Draft'!#REF!,'1st Draft'!#REF!,'1st Draft'!#REF!,'1st Draft'!#REF!,'1st Draft'!#REF!,'1st Draft'!#REF!,'1st Draft'!#REF!</definedName>
    <definedName name="QB_FORMULA_45" localSheetId="0" hidden="1">'1st Draft'!$N$93,'1st Draft'!$O$93,'1st Draft'!#REF!,'1st Draft'!#REF!,'1st Draft'!#REF!,'1st Draft'!#REF!,'1st Draft'!#REF!,'1st Draft'!#REF!,'1st Draft'!#REF!,'1st Draft'!#REF!,'1st Draft'!$N$94,'1st Draft'!$O$94,'1st Draft'!#REF!,'1st Draft'!#REF!,'1st Draft'!#REF!,'1st Draft'!#REF!</definedName>
    <definedName name="QB_FORMULA_46" localSheetId="0" hidden="1">'1st Draft'!#REF!,'1st Draft'!#REF!,'1st Draft'!#REF!,'1st Draft'!#REF!,'1st Draft'!$N$95,'1st Draft'!$O$95,'1st Draft'!#REF!,'1st Draft'!#REF!,'1st Draft'!#REF!,'1st Draft'!#REF!,'1st Draft'!#REF!,'1st Draft'!#REF!,'1st Draft'!#REF!,'1st Draft'!#REF!,'1st Draft'!$N$96,'1st Draft'!$O$96</definedName>
    <definedName name="QB_FORMULA_47" localSheetId="0" hidden="1">'1st Draft'!#REF!,'1st Draft'!#REF!,'1st Draft'!#REF!,'1st Draft'!#REF!,'1st Draft'!#REF!,'1st Draft'!#REF!,'1st Draft'!#REF!,'1st Draft'!#REF!,'1st Draft'!$N$97,'1st Draft'!$O$97,'1st Draft'!#REF!,'1st Draft'!#REF!,'1st Draft'!#REF!,'1st Draft'!#REF!,'1st Draft'!#REF!,'1st Draft'!#REF!</definedName>
    <definedName name="QB_FORMULA_48" localSheetId="0" hidden="1">'1st Draft'!#REF!,'1st Draft'!#REF!,'1st Draft'!$N$98,'1st Draft'!$O$98,'1st Draft'!#REF!,'1st Draft'!#REF!,'1st Draft'!#REF!,'1st Draft'!#REF!,'1st Draft'!#REF!,'1st Draft'!#REF!,'1st Draft'!#REF!,'1st Draft'!#REF!,'1st Draft'!$N$99,'1st Draft'!$O$99,'1st Draft'!#REF!,'1st Draft'!#REF!</definedName>
    <definedName name="QB_FORMULA_49" localSheetId="0" hidden="1">'1st Draft'!#REF!,'1st Draft'!#REF!,'1st Draft'!#REF!,'1st Draft'!#REF!,'1st Draft'!#REF!,'1st Draft'!#REF!,'1st Draft'!$N$100,'1st Draft'!$O$100,'1st Draft'!#REF!,'1st Draft'!#REF!,'1st Draft'!$H$102,'1st Draft'!$I$102,'1st Draft'!#REF!,'1st Draft'!#REF!,'1st Draft'!$J$102,'1st Draft'!$K$102</definedName>
    <definedName name="QB_FORMULA_5" localSheetId="0" hidden="1">'1st Draft'!#REF!,'1st Draft'!#REF!,'1st Draft'!#REF!,'1st Draft'!#REF!,'1st Draft'!#REF!,'1st Draft'!#REF!,'1st Draft'!$N$19,'1st Draft'!$O$19,'1st Draft'!#REF!,'1st Draft'!#REF!,'1st Draft'!#REF!,'1st Draft'!#REF!,'1st Draft'!#REF!,'1st Draft'!#REF!,'1st Draft'!#REF!,'1st Draft'!#REF!</definedName>
    <definedName name="QB_FORMULA_50" localSheetId="0" hidden="1">'1st Draft'!#REF!,'1st Draft'!#REF!,'1st Draft'!$L$102,'1st Draft'!$M$102,'1st Draft'!#REF!,'1st Draft'!#REF!,'1st Draft'!$N$102,'1st Draft'!$O$102,'1st Draft'!#REF!,'1st Draft'!#REF!,'1st Draft'!#REF!,'1st Draft'!#REF!,'1st Draft'!#REF!,'1st Draft'!#REF!,'1st Draft'!#REF!,'1st Draft'!#REF!</definedName>
    <definedName name="QB_FORMULA_51" localSheetId="0" hidden="1">'1st Draft'!$N$104,'1st Draft'!$O$104,'1st Draft'!#REF!,'1st Draft'!#REF!,'1st Draft'!#REF!,'1st Draft'!#REF!,'1st Draft'!#REF!,'1st Draft'!#REF!,'1st Draft'!#REF!,'1st Draft'!#REF!,'1st Draft'!$N$105,'1st Draft'!$O$105,'1st Draft'!#REF!,'1st Draft'!#REF!,'1st Draft'!#REF!,'1st Draft'!#REF!</definedName>
    <definedName name="QB_FORMULA_52" localSheetId="0" hidden="1">'1st Draft'!#REF!,'1st Draft'!#REF!,'1st Draft'!#REF!,'1st Draft'!#REF!,'1st Draft'!$N$106,'1st Draft'!$O$106,'1st Draft'!#REF!,'1st Draft'!#REF!,'1st Draft'!#REF!,'1st Draft'!#REF!,'1st Draft'!#REF!,'1st Draft'!#REF!,'1st Draft'!#REF!,'1st Draft'!#REF!,'1st Draft'!$N$107,'1st Draft'!$O$107</definedName>
    <definedName name="QB_FORMULA_53" localSheetId="0" hidden="1">'1st Draft'!#REF!,'1st Draft'!#REF!,'1st Draft'!#REF!,'1st Draft'!#REF!,'1st Draft'!#REF!,'1st Draft'!#REF!,'1st Draft'!#REF!,'1st Draft'!#REF!,'1st Draft'!$N$108,'1st Draft'!$O$108,'1st Draft'!#REF!,'1st Draft'!#REF!,'1st Draft'!#REF!,'1st Draft'!#REF!,'1st Draft'!#REF!,'1st Draft'!#REF!</definedName>
    <definedName name="QB_FORMULA_54" localSheetId="0" hidden="1">'1st Draft'!#REF!,'1st Draft'!#REF!,'1st Draft'!$N$109,'1st Draft'!$O$109,'1st Draft'!#REF!,'1st Draft'!#REF!,'1st Draft'!$N$110,'1st Draft'!#REF!,'1st Draft'!#REF!,'1st Draft'!#REF!,'1st Draft'!#REF!,'1st Draft'!#REF!,'1st Draft'!#REF!,'1st Draft'!$H$111,'1st Draft'!$I$111,'1st Draft'!#REF!</definedName>
    <definedName name="QB_FORMULA_55" localSheetId="0" hidden="1">'1st Draft'!#REF!,'1st Draft'!$J$111,'1st Draft'!$K$111,'1st Draft'!#REF!,'1st Draft'!#REF!,'1st Draft'!$L$111,'1st Draft'!$M$111,'1st Draft'!#REF!,'1st Draft'!#REF!,'1st Draft'!$N$111,'1st Draft'!$O$111,'1st Draft'!#REF!,'1st Draft'!#REF!,'1st Draft'!#REF!,'1st Draft'!#REF!,'1st Draft'!#REF!</definedName>
    <definedName name="QB_FORMULA_56" localSheetId="0" hidden="1">'1st Draft'!#REF!,'1st Draft'!#REF!,'1st Draft'!#REF!,'1st Draft'!$N$113,'1st Draft'!$O$113,'1st Draft'!#REF!,'1st Draft'!#REF!,'1st Draft'!#REF!,'1st Draft'!#REF!,'1st Draft'!#REF!,'1st Draft'!#REF!,'1st Draft'!#REF!,'1st Draft'!#REF!,'1st Draft'!$N$114,'1st Draft'!$O$114,'1st Draft'!#REF!</definedName>
    <definedName name="QB_FORMULA_57" localSheetId="0" hidden="1">'1st Draft'!#REF!,'1st Draft'!$H$115,'1st Draft'!$I$115,'1st Draft'!#REF!,'1st Draft'!#REF!,'1st Draft'!$J$115,'1st Draft'!$K$115,'1st Draft'!#REF!,'1st Draft'!#REF!,'1st Draft'!$L$115,'1st Draft'!$M$115,'1st Draft'!#REF!,'1st Draft'!#REF!,'1st Draft'!$N$115,'1st Draft'!$O$115,'1st Draft'!#REF!</definedName>
    <definedName name="QB_FORMULA_58" localSheetId="0" hidden="1">'1st Draft'!#REF!,'1st Draft'!#REF!,'1st Draft'!#REF!,'1st Draft'!#REF!,'1st Draft'!#REF!,'1st Draft'!#REF!,'1st Draft'!#REF!,'1st Draft'!#REF!,'1st Draft'!#REF!,'1st Draft'!#REF!,'1st Draft'!#REF!,'1st Draft'!$H$116,'1st Draft'!$I$116,'1st Draft'!#REF!,'1st Draft'!#REF!,'1st Draft'!$J$116</definedName>
    <definedName name="QB_FORMULA_59" localSheetId="0" hidden="1">'1st Draft'!$K$116,'1st Draft'!#REF!,'1st Draft'!#REF!,'1st Draft'!$L$116,'1st Draft'!$M$116,'1st Draft'!#REF!,'1st Draft'!#REF!,'1st Draft'!$N$116,'1st Draft'!$O$116,'1st Draft'!#REF!,'1st Draft'!#REF!,'1st Draft'!#REF!,'1st Draft'!#REF!,'1st Draft'!#REF!,'1st Draft'!#REF!,'1st Draft'!#REF!</definedName>
    <definedName name="QB_FORMULA_6" localSheetId="0" hidden="1">'1st Draft'!$N$20,'1st Draft'!$O$20,'1st Draft'!#REF!,'1st Draft'!#REF!,'1st Draft'!#REF!,'1st Draft'!#REF!,'1st Draft'!$N$21,'1st Draft'!$O$21,'1st Draft'!#REF!,'1st Draft'!#REF!,'1st Draft'!#REF!,'1st Draft'!#REF!,'1st Draft'!#REF!,'1st Draft'!#REF!,'1st Draft'!#REF!,'1st Draft'!#REF!</definedName>
    <definedName name="QB_FORMULA_60" localSheetId="0" hidden="1">'1st Draft'!#REF!,'1st Draft'!$N$119,'1st Draft'!$O$119,'1st Draft'!#REF!,'1st Draft'!#REF!,'1st Draft'!#REF!,'1st Draft'!#REF!,'1st Draft'!#REF!,'1st Draft'!#REF!,'1st Draft'!$N$120,'1st Draft'!$O$120,'1st Draft'!#REF!,'1st Draft'!#REF!,'1st Draft'!#REF!,'1st Draft'!#REF!,'1st Draft'!$N$121</definedName>
    <definedName name="QB_FORMULA_61" localSheetId="0" hidden="1">'1st Draft'!$O$121,'1st Draft'!#REF!,'1st Draft'!#REF!,'1st Draft'!#REF!,'1st Draft'!#REF!,'1st Draft'!#REF!,'1st Draft'!#REF!,'1st Draft'!#REF!,'1st Draft'!#REF!,'1st Draft'!$N$122,'1st Draft'!$O$122,'1st Draft'!#REF!,'1st Draft'!#REF!,'1st Draft'!#REF!,'1st Draft'!#REF!,'1st Draft'!#REF!</definedName>
    <definedName name="QB_FORMULA_62" localSheetId="0" hidden="1">'1st Draft'!#REF!,'1st Draft'!#REF!,'1st Draft'!#REF!,'1st Draft'!$N$123,'1st Draft'!$O$123,'1st Draft'!#REF!,'1st Draft'!#REF!,'1st Draft'!#REF!,'1st Draft'!#REF!,'1st Draft'!#REF!,'1st Draft'!#REF!,'1st Draft'!#REF!,'1st Draft'!#REF!,'1st Draft'!$H$124,'1st Draft'!$I$124,'1st Draft'!#REF!</definedName>
    <definedName name="QB_FORMULA_63" localSheetId="0" hidden="1">'1st Draft'!#REF!,'1st Draft'!$J$124,'1st Draft'!$K$124,'1st Draft'!#REF!,'1st Draft'!#REF!,'1st Draft'!$L$124,'1st Draft'!$M$124,'1st Draft'!#REF!,'1st Draft'!#REF!,'1st Draft'!$N$124,'1st Draft'!$O$124,'1st Draft'!#REF!,'1st Draft'!#REF!,'1st Draft'!#REF!,'1st Draft'!#REF!,'1st Draft'!#REF!</definedName>
    <definedName name="QB_FORMULA_64" localSheetId="0" hidden="1">'1st Draft'!#REF!,'1st Draft'!#REF!,'1st Draft'!#REF!,'1st Draft'!$N$126,'1st Draft'!$O$126,'1st Draft'!#REF!,'1st Draft'!#REF!,'1st Draft'!#REF!,'1st Draft'!#REF!,'1st Draft'!#REF!,'1st Draft'!#REF!,'1st Draft'!#REF!,'1st Draft'!#REF!,'1st Draft'!$N$127,'1st Draft'!$O$127,'1st Draft'!#REF!</definedName>
    <definedName name="QB_FORMULA_65" localSheetId="0" hidden="1">'1st Draft'!#REF!,'1st Draft'!#REF!,'1st Draft'!#REF!,'1st Draft'!#REF!,'1st Draft'!#REF!,'1st Draft'!#REF!,'1st Draft'!#REF!,'1st Draft'!$N$128,'1st Draft'!$O$128,'1st Draft'!#REF!,'1st Draft'!#REF!,'1st Draft'!#REF!,'1st Draft'!#REF!,'1st Draft'!#REF!,'1st Draft'!#REF!,'1st Draft'!#REF!</definedName>
    <definedName name="QB_FORMULA_66" localSheetId="0" hidden="1">'1st Draft'!#REF!,'1st Draft'!$N$129,'1st Draft'!$O$129,'1st Draft'!#REF!,'1st Draft'!#REF!,'1st Draft'!$H$130,'1st Draft'!$I$130,'1st Draft'!#REF!,'1st Draft'!#REF!,'1st Draft'!$J$130,'1st Draft'!$K$130,'1st Draft'!#REF!,'1st Draft'!#REF!,'1st Draft'!$L$130,'1st Draft'!$M$130,'1st Draft'!#REF!</definedName>
    <definedName name="QB_FORMULA_67" localSheetId="0" hidden="1">'1st Draft'!#REF!,'1st Draft'!$N$130,'1st Draft'!$O$130,'1st Draft'!#REF!,'1st Draft'!#REF!,'1st Draft'!#REF!,'1st Draft'!#REF!,'1st Draft'!#REF!,'1st Draft'!#REF!,'1st Draft'!#REF!,'1st Draft'!#REF!,'1st Draft'!$N$132,'1st Draft'!$O$132,'1st Draft'!#REF!,'1st Draft'!#REF!,'1st Draft'!#REF!</definedName>
    <definedName name="QB_FORMULA_68" localSheetId="0" hidden="1">'1st Draft'!#REF!,'1st Draft'!#REF!,'1st Draft'!#REF!,'1st Draft'!#REF!,'1st Draft'!#REF!,'1st Draft'!$N$133,'1st Draft'!$O$133,'1st Draft'!#REF!,'1st Draft'!#REF!,'1st Draft'!#REF!,'1st Draft'!#REF!,'1st Draft'!#REF!,'1st Draft'!#REF!,'1st Draft'!#REF!,'1st Draft'!#REF!,'1st Draft'!$N$134</definedName>
    <definedName name="QB_FORMULA_69" localSheetId="0" hidden="1">'1st Draft'!$O$134,'1st Draft'!#REF!,'1st Draft'!#REF!,'1st Draft'!$H$135,'1st Draft'!$I$135,'1st Draft'!#REF!,'1st Draft'!#REF!,'1st Draft'!$J$135,'1st Draft'!$K$135,'1st Draft'!#REF!,'1st Draft'!#REF!,'1st Draft'!$L$135,'1st Draft'!$M$135,'1st Draft'!#REF!,'1st Draft'!#REF!,'1st Draft'!$N$135</definedName>
    <definedName name="QB_FORMULA_7" localSheetId="0" hidden="1">'1st Draft'!$N$22,'1st Draft'!$O$22,'1st Draft'!#REF!,'1st Draft'!#REF!,'1st Draft'!$N$23,'1st Draft'!#REF!,'1st Draft'!#REF!,'1st Draft'!#REF!,'1st Draft'!#REF!,'1st Draft'!#REF!,'1st Draft'!#REF!,'1st Draft'!$N$24,'1st Draft'!$O$24,'1st Draft'!#REF!,'1st Draft'!#REF!,'1st Draft'!#REF!</definedName>
    <definedName name="QB_FORMULA_70" localSheetId="0" hidden="1">'1st Draft'!$O$135,'1st Draft'!#REF!,'1st Draft'!#REF!,'1st Draft'!#REF!,'1st Draft'!#REF!,'1st Draft'!#REF!,'1st Draft'!#REF!,'1st Draft'!#REF!,'1st Draft'!#REF!,'1st Draft'!$N$137,'1st Draft'!$O$137,'1st Draft'!#REF!,'1st Draft'!#REF!,'1st Draft'!#REF!,'1st Draft'!#REF!,'1st Draft'!#REF!</definedName>
    <definedName name="QB_FORMULA_71" localSheetId="0" hidden="1">'1st Draft'!#REF!,'1st Draft'!#REF!,'1st Draft'!#REF!,'1st Draft'!$N$138,'1st Draft'!$O$138,'1st Draft'!#REF!,'1st Draft'!#REF!,'1st Draft'!#REF!,'1st Draft'!#REF!,'1st Draft'!#REF!,'1st Draft'!#REF!,'1st Draft'!#REF!,'1st Draft'!#REF!,'1st Draft'!$N$139,'1st Draft'!$O$139,'1st Draft'!#REF!</definedName>
    <definedName name="QB_FORMULA_72" localSheetId="0" hidden="1">'1st Draft'!#REF!,'1st Draft'!#REF!,'1st Draft'!#REF!,'1st Draft'!#REF!,'1st Draft'!#REF!,'1st Draft'!#REF!,'1st Draft'!#REF!,'1st Draft'!$N$140,'1st Draft'!$O$140,'1st Draft'!#REF!,'1st Draft'!#REF!,'1st Draft'!$H$141,'1st Draft'!$I$141,'1st Draft'!#REF!,'1st Draft'!#REF!,'1st Draft'!$J$141</definedName>
    <definedName name="QB_FORMULA_73" localSheetId="0" hidden="1">'1st Draft'!$K$141,'1st Draft'!#REF!,'1st Draft'!#REF!,'1st Draft'!$L$141,'1st Draft'!$M$141,'1st Draft'!#REF!,'1st Draft'!#REF!,'1st Draft'!$N$141,'1st Draft'!$O$141,'1st Draft'!#REF!,'1st Draft'!#REF!,'1st Draft'!#REF!,'1st Draft'!#REF!,'1st Draft'!#REF!,'1st Draft'!#REF!,'1st Draft'!#REF!</definedName>
    <definedName name="QB_FORMULA_74" localSheetId="0" hidden="1">'1st Draft'!#REF!,'1st Draft'!$N$143,'1st Draft'!$O$143,'1st Draft'!#REF!,'1st Draft'!#REF!,'1st Draft'!$H$144,'1st Draft'!$I$144,'1st Draft'!#REF!,'1st Draft'!#REF!,'1st Draft'!$J$144,'1st Draft'!$K$144,'1st Draft'!#REF!,'1st Draft'!#REF!,'1st Draft'!$L$144,'1st Draft'!$M$144,'1st Draft'!#REF!</definedName>
    <definedName name="QB_FORMULA_75" localSheetId="0" hidden="1">'1st Draft'!#REF!,'1st Draft'!$N$144,'1st Draft'!$O$144,'1st Draft'!#REF!,'1st Draft'!#REF!,'1st Draft'!#REF!,'1st Draft'!#REF!,'1st Draft'!#REF!,'1st Draft'!#REF!,'1st Draft'!#REF!,'1st Draft'!#REF!,'1st Draft'!$N$146,'1st Draft'!$O$146,'1st Draft'!#REF!,'1st Draft'!#REF!,'1st Draft'!#REF!</definedName>
    <definedName name="QB_FORMULA_76" localSheetId="0" hidden="1">'1st Draft'!#REF!,'1st Draft'!#REF!,'1st Draft'!#REF!,'1st Draft'!#REF!,'1st Draft'!#REF!,'1st Draft'!$N$147,'1st Draft'!$O$147,'1st Draft'!#REF!,'1st Draft'!#REF!,'1st Draft'!#REF!,'1st Draft'!#REF!,'1st Draft'!#REF!,'1st Draft'!#REF!,'1st Draft'!#REF!,'1st Draft'!#REF!,'1st Draft'!$N$148</definedName>
    <definedName name="QB_FORMULA_77" localSheetId="0" hidden="1">'1st Draft'!$O$148,'1st Draft'!#REF!,'1st Draft'!#REF!,'1st Draft'!#REF!,'1st Draft'!#REF!,'1st Draft'!#REF!,'1st Draft'!#REF!,'1st Draft'!#REF!,'1st Draft'!#REF!,'1st Draft'!$N$149,'1st Draft'!$O$149,'1st Draft'!#REF!,'1st Draft'!#REF!,'1st Draft'!#REF!,'1st Draft'!#REF!,'1st Draft'!#REF!</definedName>
    <definedName name="QB_FORMULA_78" localSheetId="0" hidden="1">'1st Draft'!#REF!,'1st Draft'!#REF!,'1st Draft'!#REF!,'1st Draft'!$N$150,'1st Draft'!$O$150,'1st Draft'!#REF!,'1st Draft'!#REF!,'1st Draft'!$H$151,'1st Draft'!$I$151,'1st Draft'!#REF!,'1st Draft'!#REF!,'1st Draft'!$J$151,'1st Draft'!$K$151,'1st Draft'!#REF!,'1st Draft'!#REF!,'1st Draft'!$L$151</definedName>
    <definedName name="QB_FORMULA_79" localSheetId="0" hidden="1">'1st Draft'!$M$151,'1st Draft'!#REF!,'1st Draft'!#REF!,'1st Draft'!$N$151,'1st Draft'!$O$151,'1st Draft'!#REF!,'1st Draft'!#REF!,'1st Draft'!#REF!,'1st Draft'!#REF!,'1st Draft'!#REF!,'1st Draft'!#REF!,'1st Draft'!#REF!,'1st Draft'!#REF!,'1st Draft'!$N$153,'1st Draft'!$O$153,'1st Draft'!#REF!</definedName>
    <definedName name="QB_FORMULA_8" localSheetId="0" hidden="1">'1st Draft'!#REF!,'1st Draft'!#REF!,'1st Draft'!#REF!,'1st Draft'!#REF!,'1st Draft'!#REF!,'1st Draft'!$N$25,'1st Draft'!$O$25,'1st Draft'!#REF!,'1st Draft'!#REF!,'1st Draft'!$N$26,'1st Draft'!#REF!,'1st Draft'!#REF!,'1st Draft'!#REF!,'1st Draft'!#REF!,'1st Draft'!#REF!,'1st Draft'!#REF!</definedName>
    <definedName name="QB_FORMULA_80" localSheetId="0" hidden="1">'1st Draft'!#REF!,'1st Draft'!#REF!,'1st Draft'!#REF!,'1st Draft'!$N$154,'1st Draft'!$O$154,'1st Draft'!#REF!,'1st Draft'!#REF!,'1st Draft'!#REF!,'1st Draft'!#REF!,'1st Draft'!#REF!,'1st Draft'!#REF!,'1st Draft'!#REF!,'1st Draft'!#REF!,'1st Draft'!$N$155,'1st Draft'!$O$155,'1st Draft'!#REF!</definedName>
    <definedName name="QB_FORMULA_81" localSheetId="0" hidden="1">'1st Draft'!#REF!,'1st Draft'!$H$156,'1st Draft'!$I$156,'1st Draft'!#REF!,'1st Draft'!#REF!,'1st Draft'!$J$156,'1st Draft'!$K$156,'1st Draft'!#REF!,'1st Draft'!#REF!,'1st Draft'!$L$156,'1st Draft'!$M$156,'1st Draft'!#REF!,'1st Draft'!#REF!,'1st Draft'!$N$156,'1st Draft'!$O$156,'1st Draft'!#REF!</definedName>
    <definedName name="QB_FORMULA_82" localSheetId="0" hidden="1">'1st Draft'!#REF!,'1st Draft'!#REF!,'1st Draft'!#REF!,'1st Draft'!#REF!,'1st Draft'!#REF!,'1st Draft'!#REF!,'1st Draft'!#REF!,'1st Draft'!$N$158,'1st Draft'!$O$158,'1st Draft'!#REF!,'1st Draft'!#REF!,'1st Draft'!$H$159,'1st Draft'!$I$159,'1st Draft'!#REF!,'1st Draft'!#REF!,'1st Draft'!$J$159</definedName>
    <definedName name="QB_FORMULA_83" localSheetId="0" hidden="1">'1st Draft'!$K$159,'1st Draft'!#REF!,'1st Draft'!#REF!,'1st Draft'!$L$159,'1st Draft'!$M$159,'1st Draft'!#REF!,'1st Draft'!#REF!,'1st Draft'!$N$159,'1st Draft'!$O$159,'1st Draft'!#REF!,'1st Draft'!#REF!,'1st Draft'!#REF!,'1st Draft'!#REF!,'1st Draft'!#REF!,'1st Draft'!#REF!,'1st Draft'!#REF!</definedName>
    <definedName name="QB_FORMULA_84" localSheetId="0" hidden="1">'1st Draft'!#REF!,'1st Draft'!$N$161,'1st Draft'!$O$161,'1st Draft'!#REF!,'1st Draft'!#REF!,'1st Draft'!#REF!,'1st Draft'!#REF!,'1st Draft'!#REF!,'1st Draft'!#REF!,'1st Draft'!#REF!,'1st Draft'!#REF!,'1st Draft'!$N$162,'1st Draft'!$O$162,'1st Draft'!#REF!,'1st Draft'!#REF!,'1st Draft'!#REF!</definedName>
    <definedName name="QB_FORMULA_85" localSheetId="0" hidden="1">'1st Draft'!#REF!,'1st Draft'!#REF!,'1st Draft'!#REF!,'1st Draft'!#REF!,'1st Draft'!#REF!,'1st Draft'!$N$163,'1st Draft'!$O$163,'1st Draft'!#REF!,'1st Draft'!#REF!,'1st Draft'!$H$164,'1st Draft'!$I$164,'1st Draft'!#REF!,'1st Draft'!#REF!,'1st Draft'!$J$164,'1st Draft'!$K$164,'1st Draft'!#REF!</definedName>
    <definedName name="QB_FORMULA_86" localSheetId="0" hidden="1">'1st Draft'!#REF!,'1st Draft'!$L$164,'1st Draft'!$M$164,'1st Draft'!#REF!,'1st Draft'!#REF!,'1st Draft'!$N$164,'1st Draft'!$O$164,'1st Draft'!#REF!,'1st Draft'!#REF!,'1st Draft'!#REF!,'1st Draft'!#REF!,'1st Draft'!#REF!,'1st Draft'!#REF!,'1st Draft'!#REF!,'1st Draft'!#REF!,'1st Draft'!$N$166</definedName>
    <definedName name="QB_FORMULA_87" localSheetId="0" hidden="1">'1st Draft'!$O$166,'1st Draft'!#REF!,'1st Draft'!#REF!,'1st Draft'!#REF!,'1st Draft'!#REF!,'1st Draft'!#REF!,'1st Draft'!#REF!,'1st Draft'!#REF!,'1st Draft'!#REF!,'1st Draft'!$N$167,'1st Draft'!$O$167,'1st Draft'!#REF!,'1st Draft'!#REF!,'1st Draft'!$H$168,'1st Draft'!$I$168,'1st Draft'!#REF!</definedName>
    <definedName name="QB_FORMULA_88" localSheetId="0" hidden="1">'1st Draft'!#REF!,'1st Draft'!$J$168,'1st Draft'!$K$168,'1st Draft'!#REF!,'1st Draft'!#REF!,'1st Draft'!$L$168,'1st Draft'!$M$168,'1st Draft'!#REF!,'1st Draft'!#REF!,'1st Draft'!$N$168,'1st Draft'!$O$168,'1st Draft'!#REF!,'1st Draft'!#REF!,'1st Draft'!#REF!,'1st Draft'!#REF!,'1st Draft'!#REF!</definedName>
    <definedName name="QB_FORMULA_89" localSheetId="0" hidden="1">'1st Draft'!#REF!,'1st Draft'!#REF!,'1st Draft'!#REF!,'1st Draft'!$N$169,'1st Draft'!$O$169,'1st Draft'!#REF!,'1st Draft'!#REF!,'1st Draft'!$H$170,'1st Draft'!$I$170,'1st Draft'!#REF!,'1st Draft'!#REF!,'1st Draft'!$J$170,'1st Draft'!$K$170,'1st Draft'!#REF!,'1st Draft'!#REF!,'1st Draft'!$L$170</definedName>
    <definedName name="QB_FORMULA_9" localSheetId="0" hidden="1">'1st Draft'!$N$27,'1st Draft'!$O$27,'1st Draft'!#REF!,'1st Draft'!#REF!,'1st Draft'!#REF!,'1st Draft'!#REF!,'1st Draft'!#REF!,'1st Draft'!#REF!,'1st Draft'!#REF!,'1st Draft'!#REF!,'1st Draft'!$N$28,'1st Draft'!$O$28,'1st Draft'!#REF!,'1st Draft'!#REF!,'1st Draft'!#REF!,'1st Draft'!#REF!</definedName>
    <definedName name="QB_FORMULA_90" localSheetId="0" hidden="1">'1st Draft'!$M$170,'1st Draft'!#REF!,'1st Draft'!#REF!,'1st Draft'!$N$170,'1st Draft'!$O$170,'1st Draft'!#REF!,'1st Draft'!#REF!,'1st Draft'!#REF!,'1st Draft'!#REF!,'1st Draft'!#REF!,'1st Draft'!#REF!,'1st Draft'!#REF!,'1st Draft'!#REF!,'1st Draft'!$N$172,'1st Draft'!$O$172,'1st Draft'!#REF!</definedName>
    <definedName name="QB_FORMULA_91" localSheetId="0" hidden="1">'1st Draft'!#REF!,'1st Draft'!#REF!,'1st Draft'!#REF!,'1st Draft'!#REF!,'1st Draft'!#REF!,'1st Draft'!#REF!,'1st Draft'!#REF!,'1st Draft'!$N$173,'1st Draft'!$O$173,'1st Draft'!#REF!,'1st Draft'!#REF!,'1st Draft'!#REF!,'1st Draft'!#REF!,'1st Draft'!#REF!,'1st Draft'!#REF!,'1st Draft'!#REF!</definedName>
    <definedName name="QB_FORMULA_92" localSheetId="0" hidden="1">'1st Draft'!#REF!,'1st Draft'!$N$174,'1st Draft'!$O$174,'1st Draft'!#REF!,'1st Draft'!#REF!,'1st Draft'!#REF!,'1st Draft'!#REF!,'1st Draft'!#REF!,'1st Draft'!#REF!,'1st Draft'!#REF!,'1st Draft'!#REF!,'1st Draft'!$N$175,'1st Draft'!$O$175,'1st Draft'!#REF!,'1st Draft'!#REF!,'1st Draft'!#REF!</definedName>
    <definedName name="QB_FORMULA_93" localSheetId="0" hidden="1">'1st Draft'!#REF!,'1st Draft'!#REF!,'1st Draft'!#REF!,'1st Draft'!#REF!,'1st Draft'!#REF!,'1st Draft'!$N$176,'1st Draft'!$O$176,'1st Draft'!#REF!,'1st Draft'!#REF!,'1st Draft'!#REF!,'1st Draft'!#REF!,'1st Draft'!#REF!,'1st Draft'!#REF!,'1st Draft'!$N$177,'1st Draft'!$O$177,'1st Draft'!#REF!</definedName>
    <definedName name="QB_FORMULA_94" localSheetId="0" hidden="1">'1st Draft'!#REF!,'1st Draft'!#REF!,'1st Draft'!#REF!,'1st Draft'!#REF!,'1st Draft'!#REF!,'1st Draft'!#REF!,'1st Draft'!#REF!,'1st Draft'!$N$178,'1st Draft'!$O$178,'1st Draft'!#REF!,'1st Draft'!#REF!,'1st Draft'!#REF!,'1st Draft'!#REF!,'1st Draft'!#REF!,'1st Draft'!#REF!,'1st Draft'!#REF!</definedName>
    <definedName name="QB_FORMULA_95" localSheetId="0" hidden="1">'1st Draft'!#REF!,'1st Draft'!$N$179,'1st Draft'!$O$179,'1st Draft'!#REF!,'1st Draft'!#REF!,'1st Draft'!#REF!,'1st Draft'!#REF!,'1st Draft'!#REF!,'1st Draft'!#REF!,'1st Draft'!#REF!,'1st Draft'!#REF!,'1st Draft'!$N$180,'1st Draft'!$O$180,'1st Draft'!#REF!,'1st Draft'!#REF!,'1st Draft'!#REF!</definedName>
    <definedName name="QB_FORMULA_96" localSheetId="0" hidden="1">'1st Draft'!#REF!,'1st Draft'!#REF!,'1st Draft'!#REF!,'1st Draft'!#REF!,'1st Draft'!#REF!,'1st Draft'!$N$181,'1st Draft'!$O$181,'1st Draft'!#REF!,'1st Draft'!#REF!,'1st Draft'!#REF!,'1st Draft'!#REF!,'1st Draft'!#REF!,'1st Draft'!#REF!,'1st Draft'!#REF!,'1st Draft'!#REF!,'1st Draft'!#REF!</definedName>
    <definedName name="QB_FORMULA_97" localSheetId="0" hidden="1">'1st Draft'!#REF!,'1st Draft'!$H$182,'1st Draft'!$I$182,'1st Draft'!#REF!,'1st Draft'!#REF!,'1st Draft'!$J$182,'1st Draft'!$K$182,'1st Draft'!#REF!,'1st Draft'!#REF!,'1st Draft'!$L$182,'1st Draft'!$M$182,'1st Draft'!#REF!,'1st Draft'!#REF!,'1st Draft'!$N$182,'1st Draft'!$O$182,'1st Draft'!#REF!</definedName>
    <definedName name="QB_FORMULA_98" localSheetId="0" hidden="1">'1st Draft'!#REF!,'1st Draft'!$H$183,'1st Draft'!$I$183,'1st Draft'!#REF!,'1st Draft'!#REF!,'1st Draft'!$J$183,'1st Draft'!$K$183,'1st Draft'!#REF!,'1st Draft'!#REF!,'1st Draft'!$L$183,'1st Draft'!$M$183,'1st Draft'!#REF!,'1st Draft'!#REF!,'1st Draft'!$N$183,'1st Draft'!$O$183,'1st Draft'!#REF!</definedName>
    <definedName name="QB_FORMULA_99" localSheetId="0" hidden="1">'1st Draft'!#REF!,'1st Draft'!#REF!,'1st Draft'!#REF!,'1st Draft'!#REF!,'1st Draft'!#REF!,'1st Draft'!#REF!,'1st Draft'!#REF!,'1st Draft'!$N$185,'1st Draft'!$O$185,'1st Draft'!#REF!,'1st Draft'!#REF!,'1st Draft'!#REF!,'1st Draft'!#REF!,'1st Draft'!#REF!,'1st Draft'!#REF!,'1st Draft'!#REF!</definedName>
    <definedName name="QB_ROW_129240" localSheetId="0" hidden="1">'1st Draft'!$E$195</definedName>
    <definedName name="QB_ROW_130240" localSheetId="0" hidden="1">'1st Draft'!$E$193</definedName>
    <definedName name="QB_ROW_131240" localSheetId="0" hidden="1">'1st Draft'!$E$203</definedName>
    <definedName name="QB_ROW_132030" localSheetId="0" hidden="1">'1st Draft'!$D$192</definedName>
    <definedName name="QB_ROW_132240" localSheetId="0" hidden="1">'1st Draft'!#REF!</definedName>
    <definedName name="QB_ROW_132330" localSheetId="0" hidden="1">'1st Draft'!$D$198</definedName>
    <definedName name="QB_ROW_133240" localSheetId="0" hidden="1">'1st Draft'!$E$190</definedName>
    <definedName name="QB_ROW_134030" localSheetId="0" hidden="1">'1st Draft'!$D$189</definedName>
    <definedName name="QB_ROW_134330" localSheetId="0" hidden="1">'1st Draft'!$D$191</definedName>
    <definedName name="QB_ROW_136250" localSheetId="0" hidden="1">'1st Draft'!$F$179</definedName>
    <definedName name="QB_ROW_137250" localSheetId="0" hidden="1">'1st Draft'!$F$63</definedName>
    <definedName name="QB_ROW_138250" localSheetId="0" hidden="1">'1st Draft'!$F$178</definedName>
    <definedName name="QB_ROW_141250" localSheetId="0" hidden="1">'1st Draft'!$F$176</definedName>
    <definedName name="QB_ROW_142250" localSheetId="0" hidden="1">'1st Draft'!$F$174</definedName>
    <definedName name="QB_ROW_143250" localSheetId="0" hidden="1">'1st Draft'!$F$173</definedName>
    <definedName name="QB_ROW_144040" localSheetId="0" hidden="1">'1st Draft'!$E$171</definedName>
    <definedName name="QB_ROW_144250" localSheetId="0" hidden="1">'1st Draft'!#REF!</definedName>
    <definedName name="QB_ROW_144340" localSheetId="0" hidden="1">'1st Draft'!$E$182</definedName>
    <definedName name="QB_ROW_145260" localSheetId="0" hidden="1">'1st Draft'!$G$108</definedName>
    <definedName name="QB_ROW_146260" localSheetId="0" hidden="1">'1st Draft'!$G$106</definedName>
    <definedName name="QB_ROW_147260" localSheetId="0" hidden="1">'1st Draft'!$G$104</definedName>
    <definedName name="QB_ROW_148050" localSheetId="0" hidden="1">'1st Draft'!$F$103</definedName>
    <definedName name="QB_ROW_148260" localSheetId="0" hidden="1">'1st Draft'!#REF!</definedName>
    <definedName name="QB_ROW_148350" localSheetId="0" hidden="1">'1st Draft'!$F$111</definedName>
    <definedName name="QB_ROW_149260" localSheetId="0" hidden="1">'1st Draft'!$G$98</definedName>
    <definedName name="QB_ROW_150260" localSheetId="0" hidden="1">'1st Draft'!$G$96</definedName>
    <definedName name="QB_ROW_151260" localSheetId="0" hidden="1">'1st Draft'!$G$95</definedName>
    <definedName name="QB_ROW_152260" localSheetId="0" hidden="1">'1st Draft'!$G$94</definedName>
    <definedName name="QB_ROW_153260" localSheetId="0" hidden="1">'1st Draft'!$G$92</definedName>
    <definedName name="QB_ROW_154050" localSheetId="0" hidden="1">'1st Draft'!$F$91</definedName>
    <definedName name="QB_ROW_154350" localSheetId="0" hidden="1">'1st Draft'!$F$102</definedName>
    <definedName name="QB_ROW_155260" localSheetId="0" hidden="1">'1st Draft'!$G$89</definedName>
    <definedName name="QB_ROW_156260" localSheetId="0" hidden="1">'1st Draft'!$G$88</definedName>
    <definedName name="QB_ROW_157260" localSheetId="0" hidden="1">'1st Draft'!$G$86</definedName>
    <definedName name="QB_ROW_158050" localSheetId="0" hidden="1">'1st Draft'!$F$85</definedName>
    <definedName name="QB_ROW_158350" localSheetId="0" hidden="1">'1st Draft'!$F$90</definedName>
    <definedName name="QB_ROW_159260" localSheetId="0" hidden="1">'1st Draft'!$G$77</definedName>
    <definedName name="QB_ROW_160260" localSheetId="0" hidden="1">'1st Draft'!$G$76</definedName>
    <definedName name="QB_ROW_162260" localSheetId="0" hidden="1">'1st Draft'!$G$75</definedName>
    <definedName name="QB_ROW_163260" localSheetId="0" hidden="1">'1st Draft'!$G$73</definedName>
    <definedName name="QB_ROW_164260" localSheetId="0" hidden="1">'1st Draft'!$G$74</definedName>
    <definedName name="QB_ROW_165050" localSheetId="0" hidden="1">'1st Draft'!$F$72</definedName>
    <definedName name="QB_ROW_165350" localSheetId="0" hidden="1">'1st Draft'!$F$84</definedName>
    <definedName name="QB_ROW_166260" localSheetId="0" hidden="1">'1st Draft'!$G$70</definedName>
    <definedName name="QB_ROW_167260" localSheetId="0" hidden="1">'1st Draft'!$G$69</definedName>
    <definedName name="QB_ROW_168260" localSheetId="0" hidden="1">'1st Draft'!$G$68</definedName>
    <definedName name="QB_ROW_169260" localSheetId="0" hidden="1">'1st Draft'!$G$67</definedName>
    <definedName name="QB_ROW_170260" localSheetId="0" hidden="1">'1st Draft'!$G$66</definedName>
    <definedName name="QB_ROW_171260" localSheetId="0" hidden="1">'1st Draft'!$G$65</definedName>
    <definedName name="QB_ROW_173050" localSheetId="0" hidden="1">'1st Draft'!$F$64</definedName>
    <definedName name="QB_ROW_173350" localSheetId="0" hidden="1">'1st Draft'!$F$71</definedName>
    <definedName name="QB_ROW_174260" localSheetId="0" hidden="1">'1st Draft'!$G$54</definedName>
    <definedName name="QB_ROW_175260" localSheetId="0" hidden="1">'1st Draft'!$G$53</definedName>
    <definedName name="QB_ROW_178260" localSheetId="0" hidden="1">'1st Draft'!$G$52</definedName>
    <definedName name="QB_ROW_179260" localSheetId="0" hidden="1">'1st Draft'!$G$51</definedName>
    <definedName name="QB_ROW_182260" localSheetId="0" hidden="1">'1st Draft'!$G$50</definedName>
    <definedName name="QB_ROW_18301" localSheetId="0" hidden="1">'1st Draft'!$A$580</definedName>
    <definedName name="QB_ROW_183260" localSheetId="0" hidden="1">'1st Draft'!$G$49</definedName>
    <definedName name="QB_ROW_185260" localSheetId="0" hidden="1">'1st Draft'!$G$48</definedName>
    <definedName name="QB_ROW_186260" localSheetId="0" hidden="1">'1st Draft'!$G$47</definedName>
    <definedName name="QB_ROW_187050" localSheetId="0" hidden="1">'1st Draft'!$F$46</definedName>
    <definedName name="QB_ROW_187350" localSheetId="0" hidden="1">'1st Draft'!$F$62</definedName>
    <definedName name="QB_ROW_188260" localSheetId="0" hidden="1">'1st Draft'!$G$41</definedName>
    <definedName name="QB_ROW_19011" localSheetId="0" hidden="1">'1st Draft'!$B$5</definedName>
    <definedName name="QB_ROW_19311" localSheetId="0" hidden="1">'1st Draft'!$B$553</definedName>
    <definedName name="QB_ROW_199260" localSheetId="0" hidden="1">'1st Draft'!$G$29</definedName>
    <definedName name="QB_ROW_20021" localSheetId="0" hidden="1">'1st Draft'!$C$6</definedName>
    <definedName name="QB_ROW_200240" localSheetId="0" hidden="1">'1st Draft'!$E$558</definedName>
    <definedName name="QB_ROW_201030" localSheetId="0" hidden="1">'1st Draft'!$D$372</definedName>
    <definedName name="QB_ROW_201240" localSheetId="0" hidden="1">'1st Draft'!#REF!</definedName>
    <definedName name="QB_ROW_201330" localSheetId="0" hidden="1">'1st Draft'!$D$376</definedName>
    <definedName name="QB_ROW_20321" localSheetId="0" hidden="1">'1st Draft'!$C$220</definedName>
    <definedName name="QB_ROW_204240" localSheetId="0" hidden="1">'1st Draft'!$E$196</definedName>
    <definedName name="QB_ROW_205240" localSheetId="0" hidden="1">'1st Draft'!$E$197</definedName>
    <definedName name="QB_ROW_206030" localSheetId="0" hidden="1">'1st Draft'!$D$199</definedName>
    <definedName name="QB_ROW_206330" localSheetId="0" hidden="1">'1st Draft'!$D$201</definedName>
    <definedName name="QB_ROW_207240" localSheetId="0" hidden="1">'1st Draft'!$E$200</definedName>
    <definedName name="QB_ROW_208030" localSheetId="0" hidden="1">'1st Draft'!$D$202</definedName>
    <definedName name="QB_ROW_208240" localSheetId="0" hidden="1">'1st Draft'!#REF!</definedName>
    <definedName name="QB_ROW_208330" localSheetId="0" hidden="1">'1st Draft'!$D$207</definedName>
    <definedName name="QB_ROW_209240" localSheetId="0" hidden="1">'1st Draft'!$E$205</definedName>
    <definedName name="QB_ROW_21021" localSheetId="0" hidden="1">'1st Draft'!$C$221</definedName>
    <definedName name="QB_ROW_210240" localSheetId="0" hidden="1">'1st Draft'!$E$206</definedName>
    <definedName name="QB_ROW_212030" localSheetId="0" hidden="1">'1st Draft'!$D$208</definedName>
    <definedName name="QB_ROW_212330" localSheetId="0" hidden="1">'1st Draft'!$D$219</definedName>
    <definedName name="QB_ROW_213040" localSheetId="0" hidden="1">'1st Draft'!$E$209</definedName>
    <definedName name="QB_ROW_21321" localSheetId="0" hidden="1">'1st Draft'!$C$552</definedName>
    <definedName name="QB_ROW_213250" localSheetId="0" hidden="1">'1st Draft'!#REF!</definedName>
    <definedName name="QB_ROW_213340" localSheetId="0" hidden="1">'1st Draft'!$E$215</definedName>
    <definedName name="QB_ROW_214250" localSheetId="0" hidden="1">'1st Draft'!$F$210</definedName>
    <definedName name="QB_ROW_215250" localSheetId="0" hidden="1">'1st Draft'!$F$211</definedName>
    <definedName name="QB_ROW_217250" localSheetId="0" hidden="1">'1st Draft'!$F$212</definedName>
    <definedName name="QB_ROW_218250" localSheetId="0" hidden="1">'1st Draft'!$F$213</definedName>
    <definedName name="QB_ROW_219250" localSheetId="0" hidden="1">'1st Draft'!$F$214</definedName>
    <definedName name="QB_ROW_220040" localSheetId="0" hidden="1">'1st Draft'!$E$216</definedName>
    <definedName name="QB_ROW_22011" localSheetId="0" hidden="1">'1st Draft'!$B$554</definedName>
    <definedName name="QB_ROW_220340" localSheetId="0" hidden="1">'1st Draft'!$E$218</definedName>
    <definedName name="QB_ROW_222250" localSheetId="0" hidden="1">'1st Draft'!$F$217</definedName>
    <definedName name="QB_ROW_22311" localSheetId="0" hidden="1">'1st Draft'!$B$579</definedName>
    <definedName name="QB_ROW_2260" localSheetId="0" hidden="1">'1st Draft'!$G$17</definedName>
    <definedName name="QB_ROW_226030" localSheetId="0" hidden="1">'1st Draft'!$D$557</definedName>
    <definedName name="QB_ROW_226330" localSheetId="0" hidden="1">'1st Draft'!$D$563</definedName>
    <definedName name="QB_ROW_227240" localSheetId="0" hidden="1">'1st Draft'!$E$559</definedName>
    <definedName name="QB_ROW_228240" localSheetId="0" hidden="1">'1st Draft'!$E$561</definedName>
    <definedName name="QB_ROW_229030" localSheetId="0" hidden="1">'1st Draft'!$D$226</definedName>
    <definedName name="QB_ROW_229330" localSheetId="0" hidden="1">'1st Draft'!$D$364</definedName>
    <definedName name="QB_ROW_230040" localSheetId="0" hidden="1">'1st Draft'!$E$227</definedName>
    <definedName name="QB_ROW_23021" localSheetId="0" hidden="1">'1st Draft'!$C$555</definedName>
    <definedName name="QB_ROW_230250" localSheetId="0" hidden="1">'1st Draft'!$F$332</definedName>
    <definedName name="QB_ROW_230340" localSheetId="0" hidden="1">'1st Draft'!$E$333</definedName>
    <definedName name="QB_ROW_231050" localSheetId="0" hidden="1">'1st Draft'!$F$229</definedName>
    <definedName name="QB_ROW_231350" localSheetId="0" hidden="1">'1st Draft'!$F$234</definedName>
    <definedName name="QB_ROW_23321" localSheetId="0" hidden="1">'1st Draft'!$C$569</definedName>
    <definedName name="QB_ROW_237050" localSheetId="0" hidden="1">'1st Draft'!$F$235</definedName>
    <definedName name="QB_ROW_237350" localSheetId="0" hidden="1">'1st Draft'!$F$257</definedName>
    <definedName name="QB_ROW_238260" localSheetId="0" hidden="1">'1st Draft'!$G$236</definedName>
    <definedName name="QB_ROW_239260" localSheetId="0" hidden="1">'1st Draft'!$G$238</definedName>
    <definedName name="QB_ROW_24021" localSheetId="0" hidden="1">'1st Draft'!$C$570</definedName>
    <definedName name="QB_ROW_24321" localSheetId="0" hidden="1">'1st Draft'!$C$578</definedName>
    <definedName name="QB_ROW_243260" localSheetId="0" hidden="1">'1st Draft'!$G$239</definedName>
    <definedName name="QB_ROW_245260" localSheetId="0" hidden="1">'1st Draft'!$G$241</definedName>
    <definedName name="QB_ROW_247260" localSheetId="0" hidden="1">'1st Draft'!$G$242</definedName>
    <definedName name="QB_ROW_248260" localSheetId="0" hidden="1">'1st Draft'!$G$243</definedName>
    <definedName name="QB_ROW_251260" localSheetId="0" hidden="1">'1st Draft'!$G$245</definedName>
    <definedName name="QB_ROW_253260" localSheetId="0" hidden="1">'1st Draft'!$G$247</definedName>
    <definedName name="QB_ROW_257050" localSheetId="0" hidden="1">'1st Draft'!$F$258</definedName>
    <definedName name="QB_ROW_257350" localSheetId="0" hidden="1">'1st Draft'!$F$263</definedName>
    <definedName name="QB_ROW_260260" localSheetId="0" hidden="1">'1st Draft'!$G$259</definedName>
    <definedName name="QB_ROW_261050" localSheetId="0" hidden="1">'1st Draft'!$F$264</definedName>
    <definedName name="QB_ROW_261350" localSheetId="0" hidden="1">'1st Draft'!$F$280</definedName>
    <definedName name="QB_ROW_262260" localSheetId="0" hidden="1">'1st Draft'!$G$265</definedName>
    <definedName name="QB_ROW_263260" localSheetId="0" hidden="1">'1st Draft'!$G$266</definedName>
    <definedName name="QB_ROW_265260" localSheetId="0" hidden="1">'1st Draft'!$G$267</definedName>
    <definedName name="QB_ROW_266260" localSheetId="0" hidden="1">'1st Draft'!$G$268</definedName>
    <definedName name="QB_ROW_269260" localSheetId="0" hidden="1">'1st Draft'!$G$269</definedName>
    <definedName name="QB_ROW_270260" localSheetId="0" hidden="1">'1st Draft'!$G$270</definedName>
    <definedName name="QB_ROW_273260" localSheetId="0" hidden="1">'1st Draft'!$G$271</definedName>
    <definedName name="QB_ROW_274260" localSheetId="0" hidden="1">'1st Draft'!$G$272</definedName>
    <definedName name="QB_ROW_275050" localSheetId="0" hidden="1">'1st Draft'!$F$281</definedName>
    <definedName name="QB_ROW_275350" localSheetId="0" hidden="1">'1st Draft'!$F$288</definedName>
    <definedName name="QB_ROW_277260" localSheetId="0" hidden="1">'1st Draft'!$G$282</definedName>
    <definedName name="QB_ROW_278260" localSheetId="0" hidden="1">'1st Draft'!$G$283</definedName>
    <definedName name="QB_ROW_279260" localSheetId="0" hidden="1">'1st Draft'!$G$284</definedName>
    <definedName name="QB_ROW_280260" localSheetId="0" hidden="1">'1st Draft'!$G$285</definedName>
    <definedName name="QB_ROW_281260" localSheetId="0" hidden="1">'1st Draft'!$G$286</definedName>
    <definedName name="QB_ROW_282260" localSheetId="0" hidden="1">'1st Draft'!$G$287</definedName>
    <definedName name="QB_ROW_283050" localSheetId="0" hidden="1">'1st Draft'!$F$289</definedName>
    <definedName name="QB_ROW_283350" localSheetId="0" hidden="1">'1st Draft'!$F$301</definedName>
    <definedName name="QB_ROW_284260" localSheetId="0" hidden="1">'1st Draft'!$G$291</definedName>
    <definedName name="QB_ROW_285260" localSheetId="0" hidden="1">'1st Draft'!$G$290</definedName>
    <definedName name="QB_ROW_286260" localSheetId="0" hidden="1">'1st Draft'!$G$292</definedName>
    <definedName name="QB_ROW_288260" localSheetId="0" hidden="1">'1st Draft'!$G$293</definedName>
    <definedName name="QB_ROW_289260" localSheetId="0" hidden="1">'1st Draft'!$G$294</definedName>
    <definedName name="QB_ROW_290050" localSheetId="0" hidden="1">'1st Draft'!$F$302</definedName>
    <definedName name="QB_ROW_290350" localSheetId="0" hidden="1">'1st Draft'!$F$307</definedName>
    <definedName name="QB_ROW_291260" localSheetId="0" hidden="1">'1st Draft'!$G$303</definedName>
    <definedName name="QB_ROW_292260" localSheetId="0" hidden="1">'1st Draft'!$G$305</definedName>
    <definedName name="QB_ROW_293260" localSheetId="0" hidden="1">'1st Draft'!$G$306</definedName>
    <definedName name="QB_ROW_294050" localSheetId="0" hidden="1">'1st Draft'!$F$308</definedName>
    <definedName name="QB_ROW_294350" localSheetId="0" hidden="1">'1st Draft'!$F$319</definedName>
    <definedName name="QB_ROW_295260" localSheetId="0" hidden="1">'1st Draft'!$G$309</definedName>
    <definedName name="QB_ROW_296260" localSheetId="0" hidden="1">'1st Draft'!$G$311</definedName>
    <definedName name="QB_ROW_297260" localSheetId="0" hidden="1">'1st Draft'!$G$313</definedName>
    <definedName name="QB_ROW_298260" localSheetId="0" hidden="1">'1st Draft'!$G$315</definedName>
    <definedName name="QB_ROW_299050" localSheetId="0" hidden="1">'1st Draft'!$F$320</definedName>
    <definedName name="QB_ROW_299350" localSheetId="0" hidden="1">'1st Draft'!$F$328</definedName>
    <definedName name="QB_ROW_300260" localSheetId="0" hidden="1">'1st Draft'!$G$321</definedName>
    <definedName name="QB_ROW_301260" localSheetId="0" hidden="1">'1st Draft'!$G$323</definedName>
    <definedName name="QB_ROW_302260" localSheetId="0" hidden="1">'1st Draft'!$G$325</definedName>
    <definedName name="QB_ROW_303040" localSheetId="0" hidden="1">'1st Draft'!$E$334</definedName>
    <definedName name="QB_ROW_303250" localSheetId="0" hidden="1">'1st Draft'!#REF!</definedName>
    <definedName name="QB_ROW_303340" localSheetId="0" hidden="1">'1st Draft'!$E$363</definedName>
    <definedName name="QB_ROW_304050" localSheetId="0" hidden="1">'1st Draft'!$F$335</definedName>
    <definedName name="QB_ROW_304260" localSheetId="0" hidden="1">'1st Draft'!$G$341</definedName>
    <definedName name="QB_ROW_304350" localSheetId="0" hidden="1">'1st Draft'!$F$342</definedName>
    <definedName name="QB_ROW_305250" localSheetId="0" hidden="1">'1st Draft'!$F$345</definedName>
    <definedName name="QB_ROW_306250" localSheetId="0" hidden="1">'1st Draft'!$F$346</definedName>
    <definedName name="QB_ROW_307250" localSheetId="0" hidden="1">'1st Draft'!$F$347</definedName>
    <definedName name="QB_ROW_308250" localSheetId="0" hidden="1">'1st Draft'!$F$348</definedName>
    <definedName name="QB_ROW_310250" localSheetId="0" hidden="1">'1st Draft'!$F$350</definedName>
    <definedName name="QB_ROW_312250" localSheetId="0" hidden="1">'1st Draft'!$F$351</definedName>
    <definedName name="QB_ROW_314250" localSheetId="0" hidden="1">'1st Draft'!$F$352</definedName>
    <definedName name="QB_ROW_315250" localSheetId="0" hidden="1">'1st Draft'!$F$353</definedName>
    <definedName name="QB_ROW_316250" localSheetId="0" hidden="1">'1st Draft'!$F$354</definedName>
    <definedName name="QB_ROW_319250" localSheetId="0" hidden="1">'1st Draft'!$F$356</definedName>
    <definedName name="QB_ROW_320250" localSheetId="0" hidden="1">'1st Draft'!$F$357</definedName>
    <definedName name="QB_ROW_321250" localSheetId="0" hidden="1">'1st Draft'!$F$228</definedName>
    <definedName name="QB_ROW_324250" localSheetId="0" hidden="1">'1st Draft'!$F$362</definedName>
    <definedName name="QB_ROW_326240" localSheetId="0" hidden="1">'1st Draft'!$E$373</definedName>
    <definedName name="QB_ROW_327240" localSheetId="0" hidden="1">'1st Draft'!$E$374</definedName>
    <definedName name="QB_ROW_328240" localSheetId="0" hidden="1">'1st Draft'!$E$375</definedName>
    <definedName name="QB_ROW_329040" localSheetId="0" hidden="1">'1st Draft'!$E$378</definedName>
    <definedName name="QB_ROW_329250" localSheetId="0" hidden="1">'1st Draft'!#REF!</definedName>
    <definedName name="QB_ROW_329340" localSheetId="0" hidden="1">'1st Draft'!$E$423</definedName>
    <definedName name="QB_ROW_330250" localSheetId="0" hidden="1">'1st Draft'!$F$379</definedName>
    <definedName name="QB_ROW_331250" localSheetId="0" hidden="1">'1st Draft'!$F$380</definedName>
    <definedName name="QB_ROW_332250" localSheetId="0" hidden="1">'1st Draft'!$F$381</definedName>
    <definedName name="QB_ROW_333250" localSheetId="0" hidden="1">'1st Draft'!$F$382</definedName>
    <definedName name="QB_ROW_334250" localSheetId="0" hidden="1">'1st Draft'!$F$383</definedName>
    <definedName name="QB_ROW_335250" localSheetId="0" hidden="1">'1st Draft'!$F$384</definedName>
    <definedName name="QB_ROW_338250" localSheetId="0" hidden="1">'1st Draft'!$F$388</definedName>
    <definedName name="QB_ROW_339250" localSheetId="0" hidden="1">'1st Draft'!$F$390</definedName>
    <definedName name="QB_ROW_340250" localSheetId="0" hidden="1">'1st Draft'!$F$391</definedName>
    <definedName name="QB_ROW_341250" localSheetId="0" hidden="1">'1st Draft'!$F$392</definedName>
    <definedName name="QB_ROW_342250" localSheetId="0" hidden="1">'1st Draft'!$F$393</definedName>
    <definedName name="QB_ROW_343250" localSheetId="0" hidden="1">'1st Draft'!$F$394</definedName>
    <definedName name="QB_ROW_344250" localSheetId="0" hidden="1">'1st Draft'!$F$395</definedName>
    <definedName name="QB_ROW_345250" localSheetId="0" hidden="1">'1st Draft'!$F$397</definedName>
    <definedName name="QB_ROW_347250" localSheetId="0" hidden="1">'1st Draft'!$F$399</definedName>
    <definedName name="QB_ROW_348250" localSheetId="0" hidden="1">'1st Draft'!$F$400</definedName>
    <definedName name="QB_ROW_349250" localSheetId="0" hidden="1">'1st Draft'!$F$401</definedName>
    <definedName name="QB_ROW_350250" localSheetId="0" hidden="1">'1st Draft'!$F$402</definedName>
    <definedName name="QB_ROW_351050" localSheetId="0" hidden="1">'1st Draft'!$F$403</definedName>
    <definedName name="QB_ROW_351260" localSheetId="0" hidden="1">'1st Draft'!$G$404</definedName>
    <definedName name="QB_ROW_351350" localSheetId="0" hidden="1">'1st Draft'!$F$405</definedName>
    <definedName name="QB_ROW_354250" localSheetId="0" hidden="1">'1st Draft'!$F$406</definedName>
    <definedName name="QB_ROW_356250" localSheetId="0" hidden="1">'1st Draft'!$F$407</definedName>
    <definedName name="QB_ROW_357250" localSheetId="0" hidden="1">'1st Draft'!$F$408</definedName>
    <definedName name="QB_ROW_358250" localSheetId="0" hidden="1">'1st Draft'!$F$410</definedName>
    <definedName name="QB_ROW_359250" localSheetId="0" hidden="1">'1st Draft'!$F$411</definedName>
    <definedName name="QB_ROW_362250" localSheetId="0" hidden="1">'1st Draft'!$F$412</definedName>
    <definedName name="QB_ROW_364250" localSheetId="0" hidden="1">'1st Draft'!$F$413</definedName>
    <definedName name="QB_ROW_365250" localSheetId="0" hidden="1">'1st Draft'!$F$414</definedName>
    <definedName name="QB_ROW_366250" localSheetId="0" hidden="1">'1st Draft'!$F$415</definedName>
    <definedName name="QB_ROW_367250" localSheetId="0" hidden="1">'1st Draft'!$F$416</definedName>
    <definedName name="QB_ROW_368250" localSheetId="0" hidden="1">'1st Draft'!$F$417</definedName>
    <definedName name="QB_ROW_369250" localSheetId="0" hidden="1">'1st Draft'!$F$418</definedName>
    <definedName name="QB_ROW_371250" localSheetId="0" hidden="1">'1st Draft'!$F$419</definedName>
    <definedName name="QB_ROW_372250" localSheetId="0" hidden="1">'1st Draft'!$F$420</definedName>
    <definedName name="QB_ROW_37240" localSheetId="0" hidden="1">'1st Draft'!$E$560</definedName>
    <definedName name="QB_ROW_373250" localSheetId="0" hidden="1">'1st Draft'!$F$421</definedName>
    <definedName name="QB_ROW_376250" localSheetId="0" hidden="1">'1st Draft'!$F$422</definedName>
    <definedName name="QB_ROW_378040" localSheetId="0" hidden="1">'1st Draft'!$E$424</definedName>
    <definedName name="QB_ROW_378340" localSheetId="0" hidden="1">'1st Draft'!$E$427</definedName>
    <definedName name="QB_ROW_380250" localSheetId="0" hidden="1">'1st Draft'!$F$425</definedName>
    <definedName name="QB_ROW_386030" localSheetId="0" hidden="1">'1st Draft'!$D$429</definedName>
    <definedName name="QB_ROW_386240" localSheetId="0" hidden="1">'1st Draft'!#REF!</definedName>
    <definedName name="QB_ROW_386330" localSheetId="0" hidden="1">'1st Draft'!$D$489</definedName>
    <definedName name="QB_ROW_387030" localSheetId="0" hidden="1">'1st Draft'!$D$571</definedName>
    <definedName name="QB_ROW_387330" localSheetId="0" hidden="1">'1st Draft'!$D$576</definedName>
    <definedName name="QB_ROW_389240" localSheetId="0" hidden="1">'1st Draft'!$E$573</definedName>
    <definedName name="QB_ROW_390240" localSheetId="0" hidden="1">'1st Draft'!$E$575</definedName>
    <definedName name="QB_ROW_391040" localSheetId="0" hidden="1">'1st Draft'!$E$430</definedName>
    <definedName name="QB_ROW_391340" localSheetId="0" hidden="1">'1st Draft'!$E$441</definedName>
    <definedName name="QB_ROW_392250" localSheetId="0" hidden="1">'1st Draft'!$F$431</definedName>
    <definedName name="QB_ROW_393250" localSheetId="0" hidden="1">'1st Draft'!$F$432</definedName>
    <definedName name="QB_ROW_394250" localSheetId="0" hidden="1">'1st Draft'!$F$433</definedName>
    <definedName name="QB_ROW_395250" localSheetId="0" hidden="1">'1st Draft'!$F$434</definedName>
    <definedName name="QB_ROW_396250" localSheetId="0" hidden="1">'1st Draft'!$F$435</definedName>
    <definedName name="QB_ROW_397250" localSheetId="0" hidden="1">'1st Draft'!$F$436</definedName>
    <definedName name="QB_ROW_398250" localSheetId="0" hidden="1">'1st Draft'!$F$437</definedName>
    <definedName name="QB_ROW_399250" localSheetId="0" hidden="1">'1st Draft'!$F$438</definedName>
    <definedName name="QB_ROW_400250" localSheetId="0" hidden="1">'1st Draft'!$F$439</definedName>
    <definedName name="QB_ROW_401250" localSheetId="0" hidden="1">'1st Draft'!$F$440</definedName>
    <definedName name="QB_ROW_403040" localSheetId="0" hidden="1">'1st Draft'!$E$442</definedName>
    <definedName name="QB_ROW_403250" localSheetId="0" hidden="1">'1st Draft'!#REF!</definedName>
    <definedName name="QB_ROW_403340" localSheetId="0" hidden="1">'1st Draft'!$E$455</definedName>
    <definedName name="QB_ROW_404260" localSheetId="0" hidden="1">'1st Draft'!$G$444</definedName>
    <definedName name="QB_ROW_405260" localSheetId="0" hidden="1">'1st Draft'!$G$445</definedName>
    <definedName name="QB_ROW_408260" localSheetId="0" hidden="1">'1st Draft'!$G$446</definedName>
    <definedName name="QB_ROW_410260" localSheetId="0" hidden="1">'1st Draft'!$G$448</definedName>
    <definedName name="QB_ROW_411260" localSheetId="0" hidden="1">'1st Draft'!$G$449</definedName>
    <definedName name="QB_ROW_412260" localSheetId="0" hidden="1">'1st Draft'!$G$450</definedName>
    <definedName name="QB_ROW_413260" localSheetId="0" hidden="1">'1st Draft'!$G$451</definedName>
    <definedName name="QB_ROW_414260" localSheetId="0" hidden="1">'1st Draft'!$G$452</definedName>
    <definedName name="QB_ROW_415040" localSheetId="0" hidden="1">'1st Draft'!$E$456</definedName>
    <definedName name="QB_ROW_415250" localSheetId="0" hidden="1">'1st Draft'!#REF!</definedName>
    <definedName name="QB_ROW_415340" localSheetId="0" hidden="1">'1st Draft'!$E$464</definedName>
    <definedName name="QB_ROW_416250" localSheetId="0" hidden="1">'1st Draft'!$F$457</definedName>
    <definedName name="QB_ROW_417250" localSheetId="0" hidden="1">'1st Draft'!$F$458</definedName>
    <definedName name="QB_ROW_418250" localSheetId="0" hidden="1">'1st Draft'!$F$460</definedName>
    <definedName name="QB_ROW_419250" localSheetId="0" hidden="1">'1st Draft'!$F$461</definedName>
    <definedName name="QB_ROW_420040" localSheetId="0" hidden="1">'1st Draft'!$E$465</definedName>
    <definedName name="QB_ROW_420340" localSheetId="0" hidden="1">'1st Draft'!$E$469</definedName>
    <definedName name="QB_ROW_421250" localSheetId="0" hidden="1">'1st Draft'!$F$466</definedName>
    <definedName name="QB_ROW_422250" localSheetId="0" hidden="1">'1st Draft'!$F$467</definedName>
    <definedName name="QB_ROW_423250" localSheetId="0" hidden="1">'1st Draft'!$F$468</definedName>
    <definedName name="QB_ROW_425040" localSheetId="0" hidden="1">'1st Draft'!$E$470</definedName>
    <definedName name="QB_ROW_425250" localSheetId="0" hidden="1">'1st Draft'!#REF!</definedName>
    <definedName name="QB_ROW_425340" localSheetId="0" hidden="1">'1st Draft'!$E$479</definedName>
    <definedName name="QB_ROW_426250" localSheetId="0" hidden="1">'1st Draft'!$F$472</definedName>
    <definedName name="QB_ROW_427250" localSheetId="0" hidden="1">'1st Draft'!$F$473</definedName>
    <definedName name="QB_ROW_428250" localSheetId="0" hidden="1">'1st Draft'!$F$475</definedName>
    <definedName name="QB_ROW_429250" localSheetId="0" hidden="1">'1st Draft'!$F$476</definedName>
    <definedName name="QB_ROW_430250" localSheetId="0" hidden="1">'1st Draft'!$F$477</definedName>
    <definedName name="QB_ROW_431040" localSheetId="0" hidden="1">'1st Draft'!$E$480</definedName>
    <definedName name="QB_ROW_431250" localSheetId="0" hidden="1">'1st Draft'!#REF!</definedName>
    <definedName name="QB_ROW_431340" localSheetId="0" hidden="1">'1st Draft'!$E$488</definedName>
    <definedName name="QB_ROW_432250" localSheetId="0" hidden="1">'1st Draft'!$F$482</definedName>
    <definedName name="QB_ROW_433250" localSheetId="0" hidden="1">'1st Draft'!$F$483</definedName>
    <definedName name="QB_ROW_434250" localSheetId="0" hidden="1">'1st Draft'!$F$484</definedName>
    <definedName name="QB_ROW_435250" localSheetId="0" hidden="1">'1st Draft'!$F$485</definedName>
    <definedName name="QB_ROW_436250" localSheetId="0" hidden="1">'1st Draft'!$F$486</definedName>
    <definedName name="QB_ROW_437030" localSheetId="0" hidden="1">'1st Draft'!$D$490</definedName>
    <definedName name="QB_ROW_437240" localSheetId="0" hidden="1">'1st Draft'!#REF!</definedName>
    <definedName name="QB_ROW_437330" localSheetId="0" hidden="1">'1st Draft'!$D$548</definedName>
    <definedName name="QB_ROW_438240" localSheetId="0" hidden="1">'1st Draft'!$E$492</definedName>
    <definedName name="QB_ROW_439240" localSheetId="0" hidden="1">'1st Draft'!$E$493</definedName>
    <definedName name="QB_ROW_440240" localSheetId="0" hidden="1">'1st Draft'!$E$494</definedName>
    <definedName name="QB_ROW_441240" localSheetId="0" hidden="1">'1st Draft'!$E$495</definedName>
    <definedName name="QB_ROW_444240" localSheetId="0" hidden="1">'1st Draft'!$E$498</definedName>
    <definedName name="QB_ROW_447240" localSheetId="0" hidden="1">'1st Draft'!$E$499</definedName>
    <definedName name="QB_ROW_448240" localSheetId="0" hidden="1">'1st Draft'!$E$500</definedName>
    <definedName name="QB_ROW_450240" localSheetId="0" hidden="1">'1st Draft'!$E$501</definedName>
    <definedName name="QB_ROW_451040" localSheetId="0" hidden="1">'1st Draft'!$E$514</definedName>
    <definedName name="QB_ROW_451340" localSheetId="0" hidden="1">'1st Draft'!$E$518</definedName>
    <definedName name="QB_ROW_452240" localSheetId="0" hidden="1">'1st Draft'!$E$502</definedName>
    <definedName name="QB_ROW_453240" localSheetId="0" hidden="1">'1st Draft'!$E$503</definedName>
    <definedName name="QB_ROW_455240" localSheetId="0" hidden="1">'1st Draft'!$E$504</definedName>
    <definedName name="QB_ROW_456240" localSheetId="0" hidden="1">'1st Draft'!$E$505</definedName>
    <definedName name="QB_ROW_458240" localSheetId="0" hidden="1">'1st Draft'!#REF!</definedName>
    <definedName name="QB_ROW_459240" localSheetId="0" hidden="1">'1st Draft'!$E$507</definedName>
    <definedName name="QB_ROW_461240" localSheetId="0" hidden="1">'1st Draft'!$E$508</definedName>
    <definedName name="QB_ROW_462240" localSheetId="0" hidden="1">'1st Draft'!$E$509</definedName>
    <definedName name="QB_ROW_463240" localSheetId="0" hidden="1">'1st Draft'!$E$510</definedName>
    <definedName name="QB_ROW_464240" localSheetId="0" hidden="1">'1st Draft'!$E$511</definedName>
    <definedName name="QB_ROW_467240" localSheetId="0" hidden="1">'1st Draft'!$E$520</definedName>
    <definedName name="QB_ROW_468240" localSheetId="0" hidden="1">'1st Draft'!$E$521</definedName>
    <definedName name="QB_ROW_469240" localSheetId="0" hidden="1">'1st Draft'!$E$519</definedName>
    <definedName name="QB_ROW_470240" localSheetId="0" hidden="1">'1st Draft'!$E$524</definedName>
    <definedName name="QB_ROW_471240" localSheetId="0" hidden="1">'1st Draft'!$E$525</definedName>
    <definedName name="QB_ROW_472240" localSheetId="0" hidden="1">'1st Draft'!$E$526</definedName>
    <definedName name="QB_ROW_473240" localSheetId="0" hidden="1">'1st Draft'!$E$527</definedName>
    <definedName name="QB_ROW_474240" localSheetId="0" hidden="1">'1st Draft'!$E$528</definedName>
    <definedName name="QB_ROW_475240" localSheetId="0" hidden="1">'1st Draft'!$E$529</definedName>
    <definedName name="QB_ROW_477240" localSheetId="0" hidden="1">'1st Draft'!$E$513</definedName>
    <definedName name="QB_ROW_479240" localSheetId="0" hidden="1">'1st Draft'!$E$512</definedName>
    <definedName name="QB_ROW_481240" localSheetId="0" hidden="1">'1st Draft'!$E$522</definedName>
    <definedName name="QB_ROW_483240" localSheetId="0" hidden="1">'1st Draft'!$E$532</definedName>
    <definedName name="QB_ROW_485240" localSheetId="0" hidden="1">'1st Draft'!$E$533</definedName>
    <definedName name="QB_ROW_486240" localSheetId="0" hidden="1">'1st Draft'!$E$534</definedName>
    <definedName name="QB_ROW_487240" localSheetId="0" hidden="1">'1st Draft'!$E$535</definedName>
    <definedName name="QB_ROW_488240" localSheetId="0" hidden="1">'1st Draft'!$E$536</definedName>
    <definedName name="QB_ROW_489240" localSheetId="0" hidden="1">'1st Draft'!$E$538</definedName>
    <definedName name="QB_ROW_490240" localSheetId="0" hidden="1">'1st Draft'!$E$539</definedName>
    <definedName name="QB_ROW_491240" localSheetId="0" hidden="1">'1st Draft'!$E$540</definedName>
    <definedName name="QB_ROW_492240" localSheetId="0" hidden="1">'1st Draft'!$E$541</definedName>
    <definedName name="QB_ROW_493240" localSheetId="0" hidden="1">'1st Draft'!$E$542</definedName>
    <definedName name="QB_ROW_494040" localSheetId="0" hidden="1">'1st Draft'!$E$543</definedName>
    <definedName name="QB_ROW_494340" localSheetId="0" hidden="1">'1st Draft'!$E$547</definedName>
    <definedName name="QB_ROW_497230" localSheetId="0" hidden="1">'1st Draft'!$D$556</definedName>
    <definedName name="QB_ROW_499230" localSheetId="0" hidden="1">'1st Draft'!$D$577</definedName>
    <definedName name="QB_ROW_500030" localSheetId="0" hidden="1">'1st Draft'!$D$564</definedName>
    <definedName name="QB_ROW_500330" localSheetId="0" hidden="1">'1st Draft'!$D$568</definedName>
    <definedName name="QB_ROW_501240" localSheetId="0" hidden="1">'1st Draft'!$E$565</definedName>
    <definedName name="QB_ROW_502240" localSheetId="0" hidden="1">'1st Draft'!$E$566</definedName>
    <definedName name="QB_ROW_505240" localSheetId="0" hidden="1">'1st Draft'!$E$562</definedName>
    <definedName name="QB_ROW_524260" localSheetId="0" hidden="1">'1st Draft'!$G$93</definedName>
    <definedName name="QB_ROW_525260" localSheetId="0" hidden="1">'1st Draft'!$G$310</definedName>
    <definedName name="QB_ROW_528260" localSheetId="0" hidden="1">'1st Draft'!$G$97</definedName>
    <definedName name="QB_ROW_529260" localSheetId="0" hidden="1">'1st Draft'!$G$314</definedName>
    <definedName name="QB_ROW_530260" localSheetId="0" hidden="1">'1st Draft'!$G$105</definedName>
    <definedName name="QB_ROW_531260" localSheetId="0" hidden="1">'1st Draft'!$G$322</definedName>
    <definedName name="QB_ROW_532260" localSheetId="0" hidden="1">'1st Draft'!$G$107</definedName>
    <definedName name="QB_ROW_533260" localSheetId="0" hidden="1">'1st Draft'!$G$324</definedName>
    <definedName name="QB_ROW_534260" localSheetId="0" hidden="1">'1st Draft'!$G$109</definedName>
    <definedName name="QB_ROW_535260" localSheetId="0" hidden="1">'1st Draft'!$G$326</definedName>
    <definedName name="QB_ROW_536260" localSheetId="0" hidden="1">'1st Draft'!$G$312</definedName>
    <definedName name="QB_ROW_541240" localSheetId="0" hidden="1">'1st Draft'!$E$574</definedName>
    <definedName name="QB_ROW_546250" localSheetId="0" hidden="1">'1st Draft'!$F$385</definedName>
    <definedName name="QB_ROW_547250" localSheetId="0" hidden="1">'1st Draft'!$F$398</definedName>
    <definedName name="QB_ROW_548250" localSheetId="0" hidden="1">'1st Draft'!$F$409</definedName>
    <definedName name="QB_ROW_556240" localSheetId="0" hidden="1">'1st Draft'!$E$204</definedName>
    <definedName name="QB_ROW_560260" localSheetId="0" hidden="1">'1st Draft'!$G$78</definedName>
    <definedName name="QB_ROW_561260" localSheetId="0" hidden="1">'1st Draft'!$G$295</definedName>
    <definedName name="QB_ROW_593030" localSheetId="0" hidden="1">'1st Draft'!$D$549</definedName>
    <definedName name="QB_ROW_593330" localSheetId="0" hidden="1">'1st Draft'!$D$551</definedName>
    <definedName name="QB_ROW_594240" localSheetId="0" hidden="1">'1st Draft'!$E$550</definedName>
    <definedName name="QB_ROW_596250" localSheetId="0" hidden="1">'1st Draft'!$F$387</definedName>
    <definedName name="QB_ROW_601240" localSheetId="0" hidden="1">'1st Draft'!$E$497</definedName>
    <definedName name="QB_ROW_602260" localSheetId="0" hidden="1">'1st Draft'!$G$100</definedName>
    <definedName name="QB_ROW_603260" localSheetId="0" hidden="1">'1st Draft'!$G$317</definedName>
    <definedName name="QB_ROW_606250" localSheetId="0" hidden="1">'1st Draft'!$F$344</definedName>
    <definedName name="QB_ROW_607250" localSheetId="0" hidden="1">'1st Draft'!$F$177</definedName>
    <definedName name="QB_ROW_609260" localSheetId="0" hidden="1">'1st Draft'!$G$13</definedName>
    <definedName name="QB_ROW_610260" localSheetId="0" hidden="1">'1st Draft'!$G$232</definedName>
    <definedName name="QB_ROW_616250" localSheetId="0" hidden="1">'1st Draft'!$F$396</definedName>
    <definedName name="QB_ROW_617240" localSheetId="0" hidden="1">'1st Draft'!$E$567</definedName>
    <definedName name="QB_ROW_618250" localSheetId="0" hidden="1">'1st Draft'!$F$474</definedName>
    <definedName name="QB_ROW_621250" localSheetId="0" hidden="1">'1st Draft'!$F$355</definedName>
    <definedName name="QB_ROW_624240" localSheetId="0" hidden="1">'1st Draft'!$E$537</definedName>
    <definedName name="QB_ROW_625240" localSheetId="0" hidden="1">'1st Draft'!$E$530</definedName>
    <definedName name="QB_ROW_626240" localSheetId="0" hidden="1">'1st Draft'!$E$491</definedName>
    <definedName name="QB_ROW_631250" localSheetId="0" hidden="1">'1st Draft'!$F$343</definedName>
    <definedName name="QB_ROW_632260" localSheetId="0" hidden="1">'1st Draft'!$G$43</definedName>
    <definedName name="QB_ROW_63240" localSheetId="0" hidden="1">'1st Draft'!$E$186</definedName>
    <definedName name="QB_ROW_633260" localSheetId="0" hidden="1">'1st Draft'!$G$261</definedName>
    <definedName name="QB_ROW_636240" localSheetId="0" hidden="1">'1st Draft'!$E$506</definedName>
    <definedName name="QB_ROW_64030" localSheetId="0" hidden="1">'1st Draft'!$D$7</definedName>
    <definedName name="QB_ROW_642030" localSheetId="0" hidden="1">'1st Draft'!$D$365</definedName>
    <definedName name="QB_ROW_642240" localSheetId="0" hidden="1">'1st Draft'!#REF!</definedName>
    <definedName name="QB_ROW_642330" localSheetId="0" hidden="1">'1st Draft'!$D$371</definedName>
    <definedName name="QB_ROW_643240" localSheetId="0" hidden="1">'1st Draft'!$E$367</definedName>
    <definedName name="QB_ROW_64330" localSheetId="0" hidden="1">'1st Draft'!$D$183</definedName>
    <definedName name="QB_ROW_645240" localSheetId="0" hidden="1">'1st Draft'!$E$368</definedName>
    <definedName name="QB_ROW_647240" localSheetId="0" hidden="1">'1st Draft'!$E$369</definedName>
    <definedName name="QB_ROW_648240" localSheetId="0" hidden="1">'1st Draft'!$E$370</definedName>
    <definedName name="QB_ROW_649260" localSheetId="0" hidden="1">'1st Draft'!$G$113</definedName>
    <definedName name="QB_ROW_65050" localSheetId="0" hidden="1">'1st Draft'!$F$9</definedName>
    <definedName name="QB_ROW_65350" localSheetId="0" hidden="1">'1st Draft'!$F$15</definedName>
    <definedName name="QB_ROW_656240" localSheetId="0" hidden="1">'1st Draft'!$E$366</definedName>
    <definedName name="QB_ROW_657240" localSheetId="0" hidden="1">'1st Draft'!$E$496</definedName>
    <definedName name="QB_ROW_658260" localSheetId="0" hidden="1">'1st Draft'!$G$80</definedName>
    <definedName name="QB_ROW_659260" localSheetId="0" hidden="1">'1st Draft'!$G$297</definedName>
    <definedName name="QB_ROW_66040" localSheetId="0" hidden="1">'1st Draft'!$E$8</definedName>
    <definedName name="QB_ROW_66250" localSheetId="0" hidden="1">'1st Draft'!#REF!</definedName>
    <definedName name="QB_ROW_66340" localSheetId="0" hidden="1">'1st Draft'!$E$116</definedName>
    <definedName name="QB_ROW_664260" localSheetId="0" hidden="1">'1st Draft'!$G$330</definedName>
    <definedName name="QB_ROW_665030" localSheetId="0" hidden="1">'1st Draft'!$D$377</definedName>
    <definedName name="QB_ROW_665330" localSheetId="0" hidden="1">'1st Draft'!$D$428</definedName>
    <definedName name="QB_ROW_666250" localSheetId="0" hidden="1">'1st Draft'!$F$349</definedName>
    <definedName name="QB_ROW_667260" localSheetId="0" hidden="1">'1st Draft'!$G$248</definedName>
    <definedName name="QB_ROW_668260" localSheetId="0" hidden="1">'1st Draft'!$G$30</definedName>
    <definedName name="QB_ROW_669260" localSheetId="0" hidden="1">'1st Draft'!$G$276</definedName>
    <definedName name="QB_ROW_670260" localSheetId="0" hidden="1">'1st Draft'!$G$58</definedName>
    <definedName name="QB_ROW_67260" localSheetId="0" hidden="1">'1st Draft'!$G$19</definedName>
    <definedName name="QB_ROW_674250" localSheetId="0" hidden="1">'1st Draft'!$F$426</definedName>
    <definedName name="QB_ROW_676040" localSheetId="0" hidden="1">'1st Draft'!$E$117</definedName>
    <definedName name="QB_ROW_676250" localSheetId="0" hidden="1">'1st Draft'!$F$169</definedName>
    <definedName name="QB_ROW_676340" localSheetId="0" hidden="1">'1st Draft'!$E$170</definedName>
    <definedName name="QB_ROW_677050" localSheetId="0" hidden="1">'1st Draft'!$F$118</definedName>
    <definedName name="QB_ROW_677260" localSheetId="0" hidden="1">'1st Draft'!#REF!</definedName>
    <definedName name="QB_ROW_677350" localSheetId="0" hidden="1">'1st Draft'!$F$124</definedName>
    <definedName name="QB_ROW_678050" localSheetId="0" hidden="1">'1st Draft'!$F$125</definedName>
    <definedName name="QB_ROW_678350" localSheetId="0" hidden="1">'1st Draft'!$F$130</definedName>
    <definedName name="QB_ROW_679050" localSheetId="0" hidden="1">'1st Draft'!$F$131</definedName>
    <definedName name="QB_ROW_679350" localSheetId="0" hidden="1">'1st Draft'!$F$135</definedName>
    <definedName name="QB_ROW_680050" localSheetId="0" hidden="1">'1st Draft'!$F$136</definedName>
    <definedName name="QB_ROW_680350" localSheetId="0" hidden="1">'1st Draft'!$F$141</definedName>
    <definedName name="QB_ROW_681050" localSheetId="0" hidden="1">'1st Draft'!$F$152</definedName>
    <definedName name="QB_ROW_681350" localSheetId="0" hidden="1">'1st Draft'!$F$156</definedName>
    <definedName name="QB_ROW_682050" localSheetId="0" hidden="1">'1st Draft'!$F$157</definedName>
    <definedName name="QB_ROW_682350" localSheetId="0" hidden="1">'1st Draft'!$F$159</definedName>
    <definedName name="QB_ROW_683050" localSheetId="0" hidden="1">'1st Draft'!$F$160</definedName>
    <definedName name="QB_ROW_683350" localSheetId="0" hidden="1">'1st Draft'!$F$164</definedName>
    <definedName name="QB_ROW_685260" localSheetId="0" hidden="1">'1st Draft'!$G$122</definedName>
    <definedName name="QB_ROW_686260" localSheetId="0" hidden="1">'1st Draft'!$G$123</definedName>
    <definedName name="QB_ROW_687260" localSheetId="0" hidden="1">'1st Draft'!$G$126</definedName>
    <definedName name="QB_ROW_688260" localSheetId="0" hidden="1">'1st Draft'!$G$127</definedName>
    <definedName name="QB_ROW_689260" localSheetId="0" hidden="1">'1st Draft'!$G$128</definedName>
    <definedName name="QB_ROW_690260" localSheetId="0" hidden="1">'1st Draft'!$G$129</definedName>
    <definedName name="QB_ROW_69030" localSheetId="0" hidden="1">'1st Draft'!$D$184</definedName>
    <definedName name="QB_ROW_691260" localSheetId="0" hidden="1">'1st Draft'!$G$132</definedName>
    <definedName name="QB_ROW_692260" localSheetId="0" hidden="1">'1st Draft'!$G$133</definedName>
    <definedName name="QB_ROW_69240" localSheetId="0" hidden="1">'1st Draft'!#REF!</definedName>
    <definedName name="QB_ROW_693260" localSheetId="0" hidden="1">'1st Draft'!$G$163</definedName>
    <definedName name="QB_ROW_69330" localSheetId="0" hidden="1">'1st Draft'!$D$188</definedName>
    <definedName name="QB_ROW_694260" localSheetId="0" hidden="1">'1st Draft'!$G$162</definedName>
    <definedName name="QB_ROW_695260" localSheetId="0" hidden="1">'1st Draft'!$G$161</definedName>
    <definedName name="QB_ROW_696260" localSheetId="0" hidden="1">'1st Draft'!$G$158</definedName>
    <definedName name="QB_ROW_697260" localSheetId="0" hidden="1">'1st Draft'!$G$155</definedName>
    <definedName name="QB_ROW_698260" localSheetId="0" hidden="1">'1st Draft'!$G$153</definedName>
    <definedName name="QB_ROW_699260" localSheetId="0" hidden="1">'1st Draft'!$G$137</definedName>
    <definedName name="QB_ROW_700260" localSheetId="0" hidden="1">'1st Draft'!$G$138</definedName>
    <definedName name="QB_ROW_70050" localSheetId="0" hidden="1">'1st Draft'!$F$40</definedName>
    <definedName name="QB_ROW_701260" localSheetId="0" hidden="1">'1st Draft'!$G$139</definedName>
    <definedName name="QB_ROW_702050" localSheetId="0" hidden="1">'1st Draft'!$F$145</definedName>
    <definedName name="QB_ROW_702350" localSheetId="0" hidden="1">'1st Draft'!$F$151</definedName>
    <definedName name="QB_ROW_703050" localSheetId="0" hidden="1">'1st Draft'!$F$165</definedName>
    <definedName name="QB_ROW_703350" localSheetId="0" hidden="1">'1st Draft'!$F$168</definedName>
    <definedName name="QB_ROW_70350" localSheetId="0" hidden="1">'1st Draft'!$F$45</definedName>
    <definedName name="QB_ROW_71240" localSheetId="0" hidden="1">'1st Draft'!$E$185</definedName>
    <definedName name="QB_ROW_732260" localSheetId="0" hidden="1">'1st Draft'!$G$57</definedName>
    <definedName name="QB_ROW_73260" localSheetId="0" hidden="1">'1st Draft'!$G$27</definedName>
    <definedName name="QB_ROW_733260" localSheetId="0" hidden="1">'1st Draft'!$G$275</definedName>
    <definedName name="QB_ROW_734260" localSheetId="0" hidden="1">'1st Draft'!$G$79</definedName>
    <definedName name="QB_ROW_735260" localSheetId="0" hidden="1">'1st Draft'!$G$296</definedName>
    <definedName name="QB_ROW_738250" localSheetId="0" hidden="1">'1st Draft'!$F$181</definedName>
    <definedName name="QB_ROW_740260" localSheetId="0" hidden="1">'1st Draft'!$G$99</definedName>
    <definedName name="QB_ROW_741260" localSheetId="0" hidden="1">'1st Draft'!$G$316</definedName>
    <definedName name="QB_ROW_742260" localSheetId="0" hidden="1">'1st Draft'!$G$143</definedName>
    <definedName name="QB_ROW_743260" localSheetId="0" hidden="1">'1st Draft'!$G$31</definedName>
    <definedName name="QB_ROW_744260" localSheetId="0" hidden="1">'1st Draft'!$G$249</definedName>
    <definedName name="QB_ROW_749050" localSheetId="0" hidden="1">'1st Draft'!$F$112</definedName>
    <definedName name="QB_ROW_749260" localSheetId="0" hidden="1">'1st Draft'!$G$114</definedName>
    <definedName name="QB_ROW_749350" localSheetId="0" hidden="1">'1st Draft'!$F$115</definedName>
    <definedName name="QB_ROW_750050" localSheetId="0" hidden="1">'1st Draft'!$F$329</definedName>
    <definedName name="QB_ROW_750350" localSheetId="0" hidden="1">'1st Draft'!$F$331</definedName>
    <definedName name="QB_ROW_752260" localSheetId="0" hidden="1">'1st Draft'!$G$166</definedName>
    <definedName name="QB_ROW_755250" localSheetId="0" hidden="1">'1st Draft'!$F$180</definedName>
    <definedName name="QB_ROW_756240" localSheetId="0" hidden="1">'1st Draft'!$E$224</definedName>
    <definedName name="QB_ROW_757260" localSheetId="0" hidden="1">'1st Draft'!$G$60</definedName>
    <definedName name="QB_ROW_758260" localSheetId="0" hidden="1">'1st Draft'!$G$278</definedName>
    <definedName name="QB_ROW_760050" localSheetId="0" hidden="1">'1st Draft'!$F$142</definedName>
    <definedName name="QB_ROW_760350" localSheetId="0" hidden="1">'1st Draft'!$F$144</definedName>
    <definedName name="QB_ROW_761260" localSheetId="0" hidden="1">'1st Draft'!$G$154</definedName>
    <definedName name="QB_ROW_76260" localSheetId="0" hidden="1">'1st Draft'!$G$25</definedName>
    <definedName name="QB_ROW_763250" localSheetId="0" hidden="1">'1st Draft'!$F$389</definedName>
    <definedName name="QB_ROW_765260" localSheetId="0" hidden="1">'1st Draft'!$G$21</definedName>
    <definedName name="QB_ROW_766260" localSheetId="0" hidden="1">'1st Draft'!$G$240</definedName>
    <definedName name="QB_ROW_767260" localSheetId="0" hidden="1">'1st Draft'!$G$32</definedName>
    <definedName name="QB_ROW_768260" localSheetId="0" hidden="1">'1st Draft'!$G$250</definedName>
    <definedName name="QB_ROW_769260" localSheetId="0" hidden="1">'1st Draft'!$G$42</definedName>
    <definedName name="QB_ROW_770260" localSheetId="0" hidden="1">'1st Draft'!$G$260</definedName>
    <definedName name="QB_ROW_77260" localSheetId="0" hidden="1">'1st Draft'!$G$24</definedName>
    <definedName name="QB_ROW_773260" localSheetId="0" hidden="1">'1st Draft'!$G$23</definedName>
    <definedName name="QB_ROW_775260" localSheetId="0" hidden="1">'1st Draft'!$G$279</definedName>
    <definedName name="QB_ROW_776260" localSheetId="0" hidden="1">'1st Draft'!$G$61</definedName>
    <definedName name="QB_ROW_777260" localSheetId="0" hidden="1">'1st Draft'!$G$28</definedName>
    <definedName name="QB_ROW_778260" localSheetId="0" hidden="1">'1st Draft'!$G$246</definedName>
    <definedName name="QB_ROW_779260" localSheetId="0" hidden="1">'1st Draft'!$G$18</definedName>
    <definedName name="QB_ROW_780260" localSheetId="0" hidden="1">'1st Draft'!$G$237</definedName>
    <definedName name="QB_ROW_784260" localSheetId="0" hidden="1">'1st Draft'!$G$26</definedName>
    <definedName name="QB_ROW_785260" localSheetId="0" hidden="1">'1st Draft'!$G$244</definedName>
    <definedName name="QB_ROW_786260" localSheetId="0" hidden="1">'1st Draft'!$G$33</definedName>
    <definedName name="QB_ROW_787260" localSheetId="0" hidden="1">'1st Draft'!$G$251</definedName>
    <definedName name="QB_ROW_788240" localSheetId="0" hidden="1">'1st Draft'!$E$523</definedName>
    <definedName name="QB_ROW_789260" localSheetId="0" hidden="1">'1st Draft'!$G$59</definedName>
    <definedName name="QB_ROW_790260" localSheetId="0" hidden="1">'1st Draft'!$G$277</definedName>
    <definedName name="QB_ROW_791260" localSheetId="0" hidden="1">'1st Draft'!$G$87</definedName>
    <definedName name="QB_ROW_792260" localSheetId="0" hidden="1">'1st Draft'!$G$304</definedName>
    <definedName name="QB_ROW_79260" localSheetId="0" hidden="1">'1st Draft'!$G$22</definedName>
    <definedName name="QB_ROW_803250" localSheetId="0" hidden="1">'1st Draft'!$F$515</definedName>
    <definedName name="QB_ROW_804250" localSheetId="0" hidden="1">'1st Draft'!$F$516</definedName>
    <definedName name="QB_ROW_806050" localSheetId="0" hidden="1">'1st Draft'!$F$443</definedName>
    <definedName name="QB_ROW_806260" localSheetId="0" hidden="1">'1st Draft'!$G$453</definedName>
    <definedName name="QB_ROW_806350" localSheetId="0" hidden="1">'1st Draft'!$F$454</definedName>
    <definedName name="QB_ROW_808260" localSheetId="0" hidden="1">'1st Draft'!$G$34</definedName>
    <definedName name="QB_ROW_809260" localSheetId="0" hidden="1">'1st Draft'!$G$252</definedName>
    <definedName name="QB_ROW_810260" localSheetId="0" hidden="1">'1st Draft'!$G$10</definedName>
    <definedName name="QB_ROW_81260" localSheetId="0" hidden="1">'1st Draft'!$G$20</definedName>
    <definedName name="QB_ROW_819250" localSheetId="0" hidden="1">'1st Draft'!$F$175</definedName>
    <definedName name="QB_ROW_821260" localSheetId="0" hidden="1">'1st Draft'!$G$140</definedName>
    <definedName name="QB_ROW_824260" localSheetId="0" hidden="1">'1st Draft'!$G$146</definedName>
    <definedName name="QB_ROW_828260" localSheetId="0" hidden="1">'1st Draft'!$G$147</definedName>
    <definedName name="QB_ROW_829240" localSheetId="0" hidden="1">'1st Draft'!$E$572</definedName>
    <definedName name="QB_ROW_834050" localSheetId="0" hidden="1">'1st Draft'!$F$358</definedName>
    <definedName name="QB_ROW_834260" localSheetId="0" hidden="1">'1st Draft'!$G$360</definedName>
    <definedName name="QB_ROW_834350" localSheetId="0" hidden="1">'1st Draft'!$F$361</definedName>
    <definedName name="QB_ROW_835260" localSheetId="0" hidden="1">'1st Draft'!$G$359</definedName>
    <definedName name="QB_ROW_836260" localSheetId="0" hidden="1">'1st Draft'!$G$119</definedName>
    <definedName name="QB_ROW_837260" localSheetId="0" hidden="1">'1st Draft'!$G$148</definedName>
    <definedName name="QB_ROW_838260" localSheetId="0" hidden="1">'1st Draft'!$G$35</definedName>
    <definedName name="QB_ROW_839260" localSheetId="0" hidden="1">'1st Draft'!$G$253</definedName>
    <definedName name="QB_ROW_842260" localSheetId="0" hidden="1">'1st Draft'!$G$230</definedName>
    <definedName name="QB_ROW_843260" localSheetId="0" hidden="1">'1st Draft'!$G$149</definedName>
    <definedName name="QB_ROW_844260" localSheetId="0" hidden="1">'1st Draft'!$G$167</definedName>
    <definedName name="QB_ROW_845260" localSheetId="0" hidden="1">'1st Draft'!$G$11</definedName>
    <definedName name="QB_ROW_846260" localSheetId="0" hidden="1">'1st Draft'!$G$231</definedName>
    <definedName name="QB_ROW_85240" localSheetId="0" hidden="1">'1st Draft'!$E$223</definedName>
    <definedName name="QB_ROW_86030" localSheetId="0" hidden="1">'1st Draft'!$D$222</definedName>
    <definedName name="QB_ROW_862260" localSheetId="0" hidden="1">'1st Draft'!$G$56</definedName>
    <definedName name="QB_ROW_86240" localSheetId="0" hidden="1">'1st Draft'!#REF!</definedName>
    <definedName name="QB_ROW_863260" localSheetId="0" hidden="1">'1st Draft'!$G$274</definedName>
    <definedName name="QB_ROW_86330" localSheetId="0" hidden="1">'1st Draft'!$D$225</definedName>
    <definedName name="QB_ROW_877250" localSheetId="0" hidden="1">'1st Draft'!$F$478</definedName>
    <definedName name="QB_ROW_878250" localSheetId="0" hidden="1">'1st Draft'!$F$487</definedName>
    <definedName name="QB_ROW_879250" localSheetId="0" hidden="1">'1st Draft'!$F$172</definedName>
    <definedName name="QB_ROW_880260" localSheetId="0" hidden="1">'1st Draft'!$G$150</definedName>
    <definedName name="QB_ROW_881250" localSheetId="0" hidden="1">'1st Draft'!$F$517</definedName>
    <definedName name="QB_ROW_882250" localSheetId="0" hidden="1">'1st Draft'!$F$462</definedName>
    <definedName name="QB_ROW_884250" localSheetId="0" hidden="1">'1st Draft'!$F$459</definedName>
    <definedName name="QB_ROW_885250" localSheetId="0" hidden="1">'1st Draft'!$F$471</definedName>
    <definedName name="QB_ROW_886250" localSheetId="0" hidden="1">'1st Draft'!$F$481</definedName>
    <definedName name="QB_ROW_887250" localSheetId="0" hidden="1">'1st Draft'!$F$544</definedName>
    <definedName name="QB_ROW_888250" localSheetId="0" hidden="1">'1st Draft'!$F$545</definedName>
    <definedName name="QB_ROW_889250" localSheetId="0" hidden="1">'1st Draft'!$F$546</definedName>
    <definedName name="QB_ROW_890260" localSheetId="0" hidden="1">'1st Draft'!$G$134</definedName>
    <definedName name="QB_ROW_891250" localSheetId="0" hidden="1">'1st Draft'!$F$463</definedName>
    <definedName name="QB_ROW_892260" localSheetId="0" hidden="1">'1st Draft'!$G$55</definedName>
    <definedName name="QB_ROW_893260" localSheetId="0" hidden="1">'1st Draft'!$G$273</definedName>
    <definedName name="QB_ROW_897240" localSheetId="0" hidden="1">'1st Draft'!$E$531</definedName>
    <definedName name="QB_ROW_899240" localSheetId="0" hidden="1">'1st Draft'!$E$194</definedName>
    <definedName name="QB_ROW_901260" localSheetId="0" hidden="1">'1st Draft'!$G$120</definedName>
    <definedName name="QB_ROW_902240" localSheetId="0" hidden="1">'1st Draft'!$E$187</definedName>
    <definedName name="QB_ROW_907260" localSheetId="0" hidden="1">'1st Draft'!$G$14</definedName>
    <definedName name="QB_ROW_908260" localSheetId="0" hidden="1">'1st Draft'!$G$233</definedName>
    <definedName name="QB_ROW_910260" localSheetId="0" hidden="1">'1st Draft'!$G$336</definedName>
    <definedName name="QB_ROW_91050" localSheetId="0" hidden="1">'1st Draft'!$F$16</definedName>
    <definedName name="QB_ROW_911260" localSheetId="0" hidden="1">'1st Draft'!$G$337</definedName>
    <definedName name="QB_ROW_912260" localSheetId="0" hidden="1">'1st Draft'!$G$338</definedName>
    <definedName name="QB_ROW_91350" localSheetId="0" hidden="1">'1st Draft'!$F$39</definedName>
    <definedName name="QB_ROW_917260" localSheetId="0" hidden="1">'1st Draft'!$G$447</definedName>
    <definedName name="QB_ROW_918260" localSheetId="0" hidden="1">'1st Draft'!$G$36</definedName>
    <definedName name="QB_ROW_919260" localSheetId="0" hidden="1">'1st Draft'!$G$254</definedName>
    <definedName name="QB_ROW_923260" localSheetId="0" hidden="1">'1st Draft'!$G$298</definedName>
    <definedName name="QB_ROW_926260" localSheetId="0" hidden="1">'1st Draft'!$G$318</definedName>
    <definedName name="QB_ROW_927260" localSheetId="0" hidden="1">'1st Draft'!$G$110</definedName>
    <definedName name="QB_ROW_929260" localSheetId="0" hidden="1">'1st Draft'!$G$339</definedName>
    <definedName name="QB_ROW_930260" localSheetId="0" hidden="1">'1st Draft'!$G$82</definedName>
    <definedName name="QB_ROW_931260" localSheetId="0" hidden="1">'1st Draft'!$G$299</definedName>
    <definedName name="QB_ROW_932260" localSheetId="0" hidden="1">'1st Draft'!$G$300</definedName>
    <definedName name="QB_ROW_933260" localSheetId="0" hidden="1">'1st Draft'!$G$83</definedName>
    <definedName name="QB_ROW_935260" localSheetId="0" hidden="1">'1st Draft'!$G$37</definedName>
    <definedName name="QB_ROW_936260" localSheetId="0" hidden="1">'1st Draft'!$G$255</definedName>
    <definedName name="QB_ROW_937260" localSheetId="0" hidden="1">'1st Draft'!$G$38</definedName>
    <definedName name="QB_ROW_938260" localSheetId="0" hidden="1">'1st Draft'!$G$256</definedName>
    <definedName name="QB_ROW_939260" localSheetId="0" hidden="1">'1st Draft'!$G$44</definedName>
    <definedName name="QB_ROW_940260" localSheetId="0" hidden="1">'1st Draft'!$G$262</definedName>
    <definedName name="QB_ROW_94260" localSheetId="0" hidden="1">'1st Draft'!$G$121</definedName>
    <definedName name="QB_ROW_95260" localSheetId="0" hidden="1">'1st Draft'!$G$12</definedName>
    <definedName name="QBCANSUPPORTUPDATE" localSheetId="0">TRUE</definedName>
    <definedName name="QBCOMPANYFILENAME" localSheetId="0">"A:\irwa2006.qbw"</definedName>
    <definedName name="QBENDDATE" localSheetId="0">20250630</definedName>
    <definedName name="QBHEADERSONSCREEN" localSheetId="0">FALSE</definedName>
    <definedName name="QBMETADATASIZE" localSheetId="0">5924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8</definedName>
    <definedName name="QBREPORTCOMPANYID" localSheetId="0">"6b6f2b79abc94558b7d8b6c36d873f68"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7</definedName>
    <definedName name="QBSTARTDATE" localSheetId="0">20220701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476" i="15" l="1"/>
  <c r="AM500" i="15"/>
  <c r="P34" i="3"/>
  <c r="AA24" i="3"/>
  <c r="AN424" i="15"/>
  <c r="AM384" i="15"/>
  <c r="AQ186" i="13"/>
  <c r="AM402" i="15" l="1"/>
  <c r="AN444" i="15" l="1"/>
  <c r="AM553" i="15" l="1"/>
  <c r="AM549" i="15"/>
  <c r="AM533" i="15"/>
  <c r="AM532" i="15"/>
  <c r="AM522" i="15"/>
  <c r="AM518" i="15"/>
  <c r="AM517" i="15"/>
  <c r="AM520" i="15" s="1"/>
  <c r="AM514" i="15"/>
  <c r="AM507" i="15"/>
  <c r="AM505" i="15"/>
  <c r="AM487" i="15"/>
  <c r="AM486" i="15"/>
  <c r="AM485" i="15"/>
  <c r="AM484" i="15"/>
  <c r="AM483" i="15"/>
  <c r="AM482" i="15"/>
  <c r="AM488" i="15" s="1"/>
  <c r="AM481" i="15"/>
  <c r="AM478" i="15"/>
  <c r="AM477" i="15"/>
  <c r="AM475" i="15"/>
  <c r="AM474" i="15"/>
  <c r="AM473" i="15"/>
  <c r="AM472" i="15"/>
  <c r="AM471" i="15"/>
  <c r="AM469" i="15"/>
  <c r="AM468" i="15"/>
  <c r="AM467" i="15"/>
  <c r="AM466" i="15"/>
  <c r="AM463" i="15"/>
  <c r="AM461" i="15"/>
  <c r="AM460" i="15"/>
  <c r="AM459" i="15"/>
  <c r="AM458" i="15"/>
  <c r="AM457" i="15"/>
  <c r="AM453" i="15"/>
  <c r="AM441" i="15"/>
  <c r="AM427" i="15"/>
  <c r="AM423" i="15"/>
  <c r="AM428" i="15" s="1"/>
  <c r="AM375" i="15"/>
  <c r="AM374" i="15"/>
  <c r="AM373" i="15"/>
  <c r="AM376" i="15" s="1"/>
  <c r="AM371" i="15"/>
  <c r="AM367" i="15"/>
  <c r="AM361" i="15"/>
  <c r="AM350" i="15"/>
  <c r="AM342" i="15"/>
  <c r="AQ181" i="15" s="1"/>
  <c r="AO182" i="15" s="1"/>
  <c r="AM331" i="15"/>
  <c r="AM328" i="15"/>
  <c r="AM319" i="15"/>
  <c r="AM307" i="15"/>
  <c r="AM301" i="15"/>
  <c r="AM288" i="15"/>
  <c r="AM280" i="15"/>
  <c r="AM263" i="15"/>
  <c r="AM257" i="15"/>
  <c r="AM234" i="15"/>
  <c r="AM333" i="15" s="1"/>
  <c r="AM227" i="15"/>
  <c r="AM223" i="15"/>
  <c r="AM225" i="15" s="1"/>
  <c r="AM218" i="15"/>
  <c r="AM215" i="15"/>
  <c r="AM219" i="15" s="1"/>
  <c r="AM207" i="15"/>
  <c r="AM201" i="15"/>
  <c r="AM198" i="15"/>
  <c r="AM196" i="15"/>
  <c r="AM195" i="15"/>
  <c r="AM193" i="15"/>
  <c r="AM191" i="15"/>
  <c r="AM185" i="15"/>
  <c r="AM188" i="15" s="1"/>
  <c r="AM176" i="15"/>
  <c r="AM173" i="15"/>
  <c r="AM168" i="15"/>
  <c r="AM164" i="15"/>
  <c r="AM159" i="15"/>
  <c r="AM156" i="15"/>
  <c r="AM151" i="15"/>
  <c r="AM143" i="15"/>
  <c r="AM144" i="15" s="1"/>
  <c r="AM141" i="15"/>
  <c r="AM135" i="15"/>
  <c r="AM130" i="15"/>
  <c r="AM124" i="15"/>
  <c r="AM116" i="15"/>
  <c r="AM111" i="15"/>
  <c r="AM102" i="15"/>
  <c r="AM90" i="15"/>
  <c r="AM84" i="15"/>
  <c r="AM71" i="15"/>
  <c r="AM62" i="15"/>
  <c r="AM45" i="15"/>
  <c r="AM39" i="15"/>
  <c r="AM15" i="15"/>
  <c r="J580" i="15"/>
  <c r="O579" i="15"/>
  <c r="Q579" i="15" s="1"/>
  <c r="N579" i="15"/>
  <c r="P579" i="15" s="1"/>
  <c r="M578" i="15"/>
  <c r="M580" i="15" s="1"/>
  <c r="L578" i="15"/>
  <c r="L580" i="15" s="1"/>
  <c r="K578" i="15"/>
  <c r="K580" i="15" s="1"/>
  <c r="J578" i="15"/>
  <c r="I578" i="15"/>
  <c r="I580" i="15" s="1"/>
  <c r="H578" i="15"/>
  <c r="Q577" i="15"/>
  <c r="P577" i="15"/>
  <c r="O577" i="15"/>
  <c r="N577" i="15"/>
  <c r="O576" i="15"/>
  <c r="Q576" i="15" s="1"/>
  <c r="N576" i="15"/>
  <c r="P576" i="15" s="1"/>
  <c r="O575" i="15"/>
  <c r="Q575" i="15" s="1"/>
  <c r="N575" i="15"/>
  <c r="P575" i="15" s="1"/>
  <c r="O574" i="15"/>
  <c r="Q574" i="15" s="1"/>
  <c r="N574" i="15"/>
  <c r="P574" i="15" s="1"/>
  <c r="M570" i="15"/>
  <c r="L570" i="15"/>
  <c r="K570" i="15"/>
  <c r="J570" i="15"/>
  <c r="I570" i="15"/>
  <c r="H570" i="15"/>
  <c r="N570" i="15" s="1"/>
  <c r="P570" i="15" s="1"/>
  <c r="O569" i="15"/>
  <c r="Q569" i="15" s="1"/>
  <c r="N569" i="15"/>
  <c r="P569" i="15" s="1"/>
  <c r="Q568" i="15"/>
  <c r="O568" i="15"/>
  <c r="N568" i="15"/>
  <c r="P568" i="15" s="1"/>
  <c r="O567" i="15"/>
  <c r="Q567" i="15" s="1"/>
  <c r="N567" i="15"/>
  <c r="P567" i="15" s="1"/>
  <c r="M565" i="15"/>
  <c r="L565" i="15"/>
  <c r="L571" i="15" s="1"/>
  <c r="L581" i="15" s="1"/>
  <c r="K565" i="15"/>
  <c r="K571" i="15" s="1"/>
  <c r="J565" i="15"/>
  <c r="I565" i="15"/>
  <c r="H565" i="15"/>
  <c r="O564" i="15"/>
  <c r="Q564" i="15" s="1"/>
  <c r="N564" i="15"/>
  <c r="P564" i="15" s="1"/>
  <c r="O563" i="15"/>
  <c r="Q563" i="15" s="1"/>
  <c r="N563" i="15"/>
  <c r="P563" i="15" s="1"/>
  <c r="O562" i="15"/>
  <c r="Q562" i="15" s="1"/>
  <c r="N562" i="15"/>
  <c r="P562" i="15" s="1"/>
  <c r="Q561" i="15"/>
  <c r="O561" i="15"/>
  <c r="N561" i="15"/>
  <c r="P561" i="15" s="1"/>
  <c r="O560" i="15"/>
  <c r="Q560" i="15" s="1"/>
  <c r="N560" i="15"/>
  <c r="P560" i="15" s="1"/>
  <c r="P558" i="15"/>
  <c r="O558" i="15"/>
  <c r="Q558" i="15" s="1"/>
  <c r="N558" i="15"/>
  <c r="AK553" i="15"/>
  <c r="AJ553" i="15"/>
  <c r="AI553" i="15"/>
  <c r="AH553" i="15"/>
  <c r="AG553" i="15"/>
  <c r="AF553" i="15"/>
  <c r="AE553" i="15"/>
  <c r="AD553" i="15"/>
  <c r="AC553" i="15"/>
  <c r="AB553" i="15"/>
  <c r="Z553" i="15"/>
  <c r="M553" i="15"/>
  <c r="L553" i="15"/>
  <c r="K553" i="15"/>
  <c r="J553" i="15"/>
  <c r="I553" i="15"/>
  <c r="O553" i="15" s="1"/>
  <c r="Q553" i="15" s="1"/>
  <c r="H553" i="15"/>
  <c r="N553" i="15" s="1"/>
  <c r="P553" i="15" s="1"/>
  <c r="O552" i="15"/>
  <c r="Q552" i="15" s="1"/>
  <c r="N552" i="15"/>
  <c r="P552" i="15" s="1"/>
  <c r="K550" i="15"/>
  <c r="I550" i="15"/>
  <c r="AK549" i="15"/>
  <c r="AJ549" i="15"/>
  <c r="AI549" i="15"/>
  <c r="AH549" i="15"/>
  <c r="AG549" i="15"/>
  <c r="AF549" i="15"/>
  <c r="AE549" i="15"/>
  <c r="AD549" i="15"/>
  <c r="AC549" i="15"/>
  <c r="AB549" i="15"/>
  <c r="Z549" i="15"/>
  <c r="M549" i="15"/>
  <c r="L549" i="15"/>
  <c r="K549" i="15"/>
  <c r="J549" i="15"/>
  <c r="I549" i="15"/>
  <c r="H549" i="15"/>
  <c r="N549" i="15" s="1"/>
  <c r="P549" i="15" s="1"/>
  <c r="P548" i="15"/>
  <c r="O548" i="15"/>
  <c r="Q548" i="15" s="1"/>
  <c r="N548" i="15"/>
  <c r="O547" i="15"/>
  <c r="Q547" i="15" s="1"/>
  <c r="N547" i="15"/>
  <c r="P547" i="15" s="1"/>
  <c r="O546" i="15"/>
  <c r="Q546" i="15" s="1"/>
  <c r="N546" i="15"/>
  <c r="P546" i="15" s="1"/>
  <c r="O544" i="15"/>
  <c r="Q544" i="15" s="1"/>
  <c r="N544" i="15"/>
  <c r="P544" i="15" s="1"/>
  <c r="Q543" i="15"/>
  <c r="N543" i="15"/>
  <c r="P543" i="15" s="1"/>
  <c r="O542" i="15"/>
  <c r="Q542" i="15" s="1"/>
  <c r="N542" i="15"/>
  <c r="P542" i="15" s="1"/>
  <c r="O541" i="15"/>
  <c r="Q541" i="15" s="1"/>
  <c r="N541" i="15"/>
  <c r="P541" i="15" s="1"/>
  <c r="O540" i="15"/>
  <c r="Q540" i="15" s="1"/>
  <c r="N540" i="15"/>
  <c r="P540" i="15" s="1"/>
  <c r="P539" i="15"/>
  <c r="O539" i="15"/>
  <c r="Q539" i="15" s="1"/>
  <c r="N539" i="15"/>
  <c r="O538" i="15"/>
  <c r="Q538" i="15" s="1"/>
  <c r="N538" i="15"/>
  <c r="P538" i="15" s="1"/>
  <c r="O537" i="15"/>
  <c r="Q537" i="15" s="1"/>
  <c r="N537" i="15"/>
  <c r="P537" i="15" s="1"/>
  <c r="P536" i="15"/>
  <c r="O536" i="15"/>
  <c r="Q536" i="15" s="1"/>
  <c r="N536" i="15"/>
  <c r="O535" i="15"/>
  <c r="Q535" i="15" s="1"/>
  <c r="N535" i="15"/>
  <c r="P535" i="15" s="1"/>
  <c r="AF534" i="15"/>
  <c r="AE534" i="15"/>
  <c r="AD534" i="15"/>
  <c r="AC534" i="15"/>
  <c r="AB534" i="15"/>
  <c r="O534" i="15"/>
  <c r="Q534" i="15" s="1"/>
  <c r="N534" i="15"/>
  <c r="P534" i="15" s="1"/>
  <c r="AK533" i="15"/>
  <c r="AJ533" i="15"/>
  <c r="AI533" i="15"/>
  <c r="AH533" i="15"/>
  <c r="AG533" i="15"/>
  <c r="O533" i="15"/>
  <c r="Q533" i="15" s="1"/>
  <c r="N533" i="15"/>
  <c r="P533" i="15" s="1"/>
  <c r="AK532" i="15"/>
  <c r="AJ532" i="15"/>
  <c r="AI532" i="15"/>
  <c r="AH532" i="15"/>
  <c r="AG532" i="15"/>
  <c r="AF532" i="15"/>
  <c r="AE532" i="15"/>
  <c r="AD532" i="15"/>
  <c r="AC532" i="15"/>
  <c r="AB532" i="15"/>
  <c r="O532" i="15"/>
  <c r="Q532" i="15" s="1"/>
  <c r="N532" i="15"/>
  <c r="P532" i="15" s="1"/>
  <c r="O531" i="15"/>
  <c r="Q531" i="15" s="1"/>
  <c r="N531" i="15"/>
  <c r="P531" i="15" s="1"/>
  <c r="O530" i="15"/>
  <c r="Q530" i="15" s="1"/>
  <c r="N530" i="15"/>
  <c r="P530" i="15" s="1"/>
  <c r="P529" i="15"/>
  <c r="O529" i="15"/>
  <c r="Q529" i="15" s="1"/>
  <c r="N529" i="15"/>
  <c r="O528" i="15"/>
  <c r="Q528" i="15" s="1"/>
  <c r="N528" i="15"/>
  <c r="P528" i="15" s="1"/>
  <c r="O527" i="15"/>
  <c r="Q527" i="15" s="1"/>
  <c r="N527" i="15"/>
  <c r="P527" i="15" s="1"/>
  <c r="P526" i="15"/>
  <c r="O526" i="15"/>
  <c r="Q526" i="15" s="1"/>
  <c r="N526" i="15"/>
  <c r="Q525" i="15"/>
  <c r="N525" i="15"/>
  <c r="P525" i="15" s="1"/>
  <c r="Q524" i="15"/>
  <c r="O524" i="15"/>
  <c r="N524" i="15"/>
  <c r="P524" i="15" s="1"/>
  <c r="O523" i="15"/>
  <c r="Q523" i="15" s="1"/>
  <c r="N523" i="15"/>
  <c r="P523" i="15" s="1"/>
  <c r="AK522" i="15"/>
  <c r="AJ522" i="15"/>
  <c r="AI522" i="15"/>
  <c r="AH522" i="15"/>
  <c r="AG522" i="15"/>
  <c r="O522" i="15"/>
  <c r="Q522" i="15" s="1"/>
  <c r="N522" i="15"/>
  <c r="P522" i="15" s="1"/>
  <c r="O521" i="15"/>
  <c r="Q521" i="15" s="1"/>
  <c r="N521" i="15"/>
  <c r="P521" i="15" s="1"/>
  <c r="AF520" i="15"/>
  <c r="AE520" i="15"/>
  <c r="AD520" i="15"/>
  <c r="AC520" i="15"/>
  <c r="AB520" i="15"/>
  <c r="Z520" i="15"/>
  <c r="M520" i="15"/>
  <c r="M550" i="15" s="1"/>
  <c r="L520" i="15"/>
  <c r="K520" i="15"/>
  <c r="J520" i="15"/>
  <c r="J550" i="15" s="1"/>
  <c r="I520" i="15"/>
  <c r="H520" i="15"/>
  <c r="AK518" i="15"/>
  <c r="AJ518" i="15"/>
  <c r="AI518" i="15"/>
  <c r="AH518" i="15"/>
  <c r="AG518" i="15"/>
  <c r="O518" i="15"/>
  <c r="Q518" i="15" s="1"/>
  <c r="N518" i="15"/>
  <c r="P518" i="15" s="1"/>
  <c r="AK517" i="15"/>
  <c r="AK520" i="15" s="1"/>
  <c r="AJ517" i="15"/>
  <c r="AI517" i="15"/>
  <c r="AI520" i="15" s="1"/>
  <c r="AH517" i="15"/>
  <c r="AG517" i="15"/>
  <c r="AG520" i="15" s="1"/>
  <c r="Q517" i="15"/>
  <c r="P517" i="15"/>
  <c r="O517" i="15"/>
  <c r="N517" i="15"/>
  <c r="O516" i="15"/>
  <c r="Q516" i="15" s="1"/>
  <c r="N516" i="15"/>
  <c r="P516" i="15" s="1"/>
  <c r="AK514" i="15"/>
  <c r="AJ514" i="15"/>
  <c r="AI514" i="15"/>
  <c r="AH514" i="15"/>
  <c r="AG514" i="15"/>
  <c r="O514" i="15"/>
  <c r="Q514" i="15" s="1"/>
  <c r="N514" i="15"/>
  <c r="P514" i="15" s="1"/>
  <c r="O513" i="15"/>
  <c r="Q513" i="15" s="1"/>
  <c r="N513" i="15"/>
  <c r="P513" i="15" s="1"/>
  <c r="O512" i="15"/>
  <c r="Q512" i="15" s="1"/>
  <c r="N512" i="15"/>
  <c r="P512" i="15" s="1"/>
  <c r="Q511" i="15"/>
  <c r="O511" i="15"/>
  <c r="N511" i="15"/>
  <c r="P511" i="15" s="1"/>
  <c r="O510" i="15"/>
  <c r="Q510" i="15" s="1"/>
  <c r="N510" i="15"/>
  <c r="P510" i="15" s="1"/>
  <c r="O509" i="15"/>
  <c r="Q509" i="15" s="1"/>
  <c r="N509" i="15"/>
  <c r="P509" i="15" s="1"/>
  <c r="O508" i="15"/>
  <c r="Q508" i="15" s="1"/>
  <c r="N508" i="15"/>
  <c r="P508" i="15" s="1"/>
  <c r="AK507" i="15"/>
  <c r="AJ507" i="15"/>
  <c r="AI507" i="15"/>
  <c r="AH507" i="15"/>
  <c r="AG507" i="15"/>
  <c r="O507" i="15"/>
  <c r="Q507" i="15" s="1"/>
  <c r="N507" i="15"/>
  <c r="P507" i="15" s="1"/>
  <c r="P506" i="15"/>
  <c r="O506" i="15"/>
  <c r="Q506" i="15" s="1"/>
  <c r="N506" i="15"/>
  <c r="AK505" i="15"/>
  <c r="AJ505" i="15"/>
  <c r="AI505" i="15"/>
  <c r="AH505" i="15"/>
  <c r="AG505" i="15"/>
  <c r="AF505" i="15"/>
  <c r="AE505" i="15"/>
  <c r="AD505" i="15"/>
  <c r="AC505" i="15"/>
  <c r="AB505" i="15"/>
  <c r="O505" i="15"/>
  <c r="Q505" i="15" s="1"/>
  <c r="N505" i="15"/>
  <c r="P505" i="15" s="1"/>
  <c r="O504" i="15"/>
  <c r="Q504" i="15" s="1"/>
  <c r="N504" i="15"/>
  <c r="P504" i="15" s="1"/>
  <c r="O503" i="15"/>
  <c r="Q503" i="15" s="1"/>
  <c r="N503" i="15"/>
  <c r="P503" i="15" s="1"/>
  <c r="Q502" i="15"/>
  <c r="O502" i="15"/>
  <c r="N502" i="15"/>
  <c r="P502" i="15" s="1"/>
  <c r="O501" i="15"/>
  <c r="Q501" i="15" s="1"/>
  <c r="N501" i="15"/>
  <c r="P501" i="15" s="1"/>
  <c r="AK500" i="15"/>
  <c r="AJ500" i="15"/>
  <c r="AG500" i="15"/>
  <c r="AF500" i="15"/>
  <c r="O500" i="15"/>
  <c r="Q500" i="15" s="1"/>
  <c r="N500" i="15"/>
  <c r="P500" i="15" s="1"/>
  <c r="O499" i="15"/>
  <c r="Q499" i="15" s="1"/>
  <c r="N499" i="15"/>
  <c r="P499" i="15" s="1"/>
  <c r="Q498" i="15"/>
  <c r="O498" i="15"/>
  <c r="N498" i="15"/>
  <c r="P498" i="15" s="1"/>
  <c r="Q496" i="15"/>
  <c r="O496" i="15"/>
  <c r="N496" i="15"/>
  <c r="P496" i="15" s="1"/>
  <c r="O495" i="15"/>
  <c r="Q495" i="15" s="1"/>
  <c r="N495" i="15"/>
  <c r="P495" i="15" s="1"/>
  <c r="P494" i="15"/>
  <c r="O494" i="15"/>
  <c r="Q494" i="15" s="1"/>
  <c r="N494" i="15"/>
  <c r="O493" i="15"/>
  <c r="Q493" i="15" s="1"/>
  <c r="N493" i="15"/>
  <c r="P493" i="15" s="1"/>
  <c r="P492" i="15"/>
  <c r="O492" i="15"/>
  <c r="Q492" i="15" s="1"/>
  <c r="N492" i="15"/>
  <c r="O491" i="15"/>
  <c r="Q491" i="15" s="1"/>
  <c r="N491" i="15"/>
  <c r="P491" i="15" s="1"/>
  <c r="Q490" i="15"/>
  <c r="P490" i="15"/>
  <c r="Z488" i="15"/>
  <c r="M488" i="15"/>
  <c r="L488" i="15"/>
  <c r="K488" i="15"/>
  <c r="J488" i="15"/>
  <c r="N488" i="15" s="1"/>
  <c r="P488" i="15" s="1"/>
  <c r="I488" i="15"/>
  <c r="O488" i="15" s="1"/>
  <c r="Q488" i="15" s="1"/>
  <c r="H488" i="15"/>
  <c r="AK487" i="15"/>
  <c r="AJ487" i="15"/>
  <c r="AI487" i="15"/>
  <c r="AH487" i="15"/>
  <c r="AG487" i="15"/>
  <c r="AF487" i="15"/>
  <c r="AE487" i="15"/>
  <c r="AD487" i="15"/>
  <c r="AC487" i="15"/>
  <c r="AB487" i="15"/>
  <c r="O487" i="15"/>
  <c r="Q487" i="15" s="1"/>
  <c r="N487" i="15"/>
  <c r="P487" i="15" s="1"/>
  <c r="AK486" i="15"/>
  <c r="AJ486" i="15"/>
  <c r="AI486" i="15"/>
  <c r="AH486" i="15"/>
  <c r="AG486" i="15"/>
  <c r="AF486" i="15"/>
  <c r="AB486" i="15"/>
  <c r="O486" i="15"/>
  <c r="Q486" i="15" s="1"/>
  <c r="N486" i="15"/>
  <c r="P486" i="15" s="1"/>
  <c r="AK485" i="15"/>
  <c r="AJ485" i="15"/>
  <c r="AI485" i="15"/>
  <c r="AH485" i="15"/>
  <c r="AG485" i="15"/>
  <c r="AF485" i="15"/>
  <c r="AB485" i="15"/>
  <c r="Q485" i="15"/>
  <c r="O485" i="15"/>
  <c r="N485" i="15"/>
  <c r="P485" i="15" s="1"/>
  <c r="AK484" i="15"/>
  <c r="AJ484" i="15"/>
  <c r="AI484" i="15"/>
  <c r="AH484" i="15"/>
  <c r="AG484" i="15"/>
  <c r="AF484" i="15"/>
  <c r="AE484" i="15"/>
  <c r="AE488" i="15" s="1"/>
  <c r="AD484" i="15"/>
  <c r="AC484" i="15"/>
  <c r="AB484" i="15"/>
  <c r="O484" i="15"/>
  <c r="Q484" i="15" s="1"/>
  <c r="N484" i="15"/>
  <c r="P484" i="15" s="1"/>
  <c r="AK483" i="15"/>
  <c r="AJ483" i="15"/>
  <c r="AI483" i="15"/>
  <c r="AH483" i="15"/>
  <c r="AG483" i="15"/>
  <c r="AF483" i="15"/>
  <c r="AB483" i="15"/>
  <c r="O483" i="15"/>
  <c r="Q483" i="15" s="1"/>
  <c r="N483" i="15"/>
  <c r="P483" i="15" s="1"/>
  <c r="AK482" i="15"/>
  <c r="AJ482" i="15"/>
  <c r="AI482" i="15"/>
  <c r="AI488" i="15" s="1"/>
  <c r="AH482" i="15"/>
  <c r="AG482" i="15"/>
  <c r="AF482" i="15"/>
  <c r="AB482" i="15"/>
  <c r="P482" i="15"/>
  <c r="O482" i="15"/>
  <c r="Q482" i="15" s="1"/>
  <c r="N482" i="15"/>
  <c r="AK481" i="15"/>
  <c r="AJ481" i="15"/>
  <c r="AI481" i="15"/>
  <c r="AH481" i="15"/>
  <c r="AG481" i="15"/>
  <c r="AG488" i="15" s="1"/>
  <c r="AF481" i="15"/>
  <c r="AE481" i="15"/>
  <c r="AD481" i="15"/>
  <c r="AC481" i="15"/>
  <c r="AB481" i="15"/>
  <c r="AB488" i="15" s="1"/>
  <c r="O481" i="15"/>
  <c r="Q481" i="15" s="1"/>
  <c r="N481" i="15"/>
  <c r="P481" i="15" s="1"/>
  <c r="Z479" i="15"/>
  <c r="O479" i="15"/>
  <c r="Q479" i="15" s="1"/>
  <c r="M479" i="15"/>
  <c r="L479" i="15"/>
  <c r="K479" i="15"/>
  <c r="J479" i="15"/>
  <c r="I479" i="15"/>
  <c r="H479" i="15"/>
  <c r="AK478" i="15"/>
  <c r="AJ478" i="15"/>
  <c r="AI478" i="15"/>
  <c r="AH478" i="15"/>
  <c r="AG478" i="15"/>
  <c r="AF478" i="15"/>
  <c r="AE478" i="15"/>
  <c r="AD478" i="15"/>
  <c r="AC478" i="15"/>
  <c r="AB478" i="15"/>
  <c r="O478" i="15"/>
  <c r="Q478" i="15" s="1"/>
  <c r="N478" i="15"/>
  <c r="P478" i="15" s="1"/>
  <c r="AK477" i="15"/>
  <c r="AJ477" i="15"/>
  <c r="AI477" i="15"/>
  <c r="AH477" i="15"/>
  <c r="AG477" i="15"/>
  <c r="AF477" i="15"/>
  <c r="AE477" i="15"/>
  <c r="AD477" i="15"/>
  <c r="AC477" i="15"/>
  <c r="AB477" i="15"/>
  <c r="O477" i="15"/>
  <c r="Q477" i="15" s="1"/>
  <c r="N477" i="15"/>
  <c r="P477" i="15" s="1"/>
  <c r="O476" i="15"/>
  <c r="Q476" i="15" s="1"/>
  <c r="N476" i="15"/>
  <c r="P476" i="15" s="1"/>
  <c r="AK475" i="15"/>
  <c r="AJ475" i="15"/>
  <c r="AI475" i="15"/>
  <c r="AH475" i="15"/>
  <c r="AG475" i="15"/>
  <c r="AE475" i="15"/>
  <c r="AD475" i="15"/>
  <c r="AC475" i="15"/>
  <c r="AB475" i="15"/>
  <c r="O475" i="15"/>
  <c r="Q475" i="15" s="1"/>
  <c r="N475" i="15"/>
  <c r="P475" i="15" s="1"/>
  <c r="AK474" i="15"/>
  <c r="AJ474" i="15"/>
  <c r="AI474" i="15"/>
  <c r="AH474" i="15"/>
  <c r="AG474" i="15"/>
  <c r="AF474" i="15"/>
  <c r="AE474" i="15"/>
  <c r="AE479" i="15" s="1"/>
  <c r="AD474" i="15"/>
  <c r="AD479" i="15" s="1"/>
  <c r="AC474" i="15"/>
  <c r="AB474" i="15"/>
  <c r="O474" i="15"/>
  <c r="Q474" i="15" s="1"/>
  <c r="N474" i="15"/>
  <c r="P474" i="15" s="1"/>
  <c r="AK473" i="15"/>
  <c r="AJ473" i="15"/>
  <c r="AI473" i="15"/>
  <c r="AH473" i="15"/>
  <c r="AG473" i="15"/>
  <c r="AF473" i="15"/>
  <c r="AB473" i="15"/>
  <c r="Q473" i="15"/>
  <c r="O473" i="15"/>
  <c r="N473" i="15"/>
  <c r="P473" i="15" s="1"/>
  <c r="AK472" i="15"/>
  <c r="AJ472" i="15"/>
  <c r="AI472" i="15"/>
  <c r="AH472" i="15"/>
  <c r="AG472" i="15"/>
  <c r="AF472" i="15"/>
  <c r="AB472" i="15"/>
  <c r="O472" i="15"/>
  <c r="Q472" i="15" s="1"/>
  <c r="N472" i="15"/>
  <c r="P472" i="15" s="1"/>
  <c r="AK471" i="15"/>
  <c r="AJ471" i="15"/>
  <c r="AI471" i="15"/>
  <c r="AH471" i="15"/>
  <c r="AG471" i="15"/>
  <c r="AF471" i="15"/>
  <c r="AB471" i="15"/>
  <c r="O471" i="15"/>
  <c r="Q471" i="15" s="1"/>
  <c r="N471" i="15"/>
  <c r="P471" i="15" s="1"/>
  <c r="AE469" i="15"/>
  <c r="Z469" i="15"/>
  <c r="M469" i="15"/>
  <c r="L469" i="15"/>
  <c r="K469" i="15"/>
  <c r="J469" i="15"/>
  <c r="N469" i="15" s="1"/>
  <c r="P469" i="15" s="1"/>
  <c r="I469" i="15"/>
  <c r="O469" i="15" s="1"/>
  <c r="Q469" i="15" s="1"/>
  <c r="H469" i="15"/>
  <c r="AK468" i="15"/>
  <c r="AJ468" i="15"/>
  <c r="AI468" i="15"/>
  <c r="AH468" i="15"/>
  <c r="AG468" i="15"/>
  <c r="AD468" i="15"/>
  <c r="AC468" i="15"/>
  <c r="AB468" i="15"/>
  <c r="P468" i="15"/>
  <c r="O468" i="15"/>
  <c r="Q468" i="15" s="1"/>
  <c r="N468" i="15"/>
  <c r="AK467" i="15"/>
  <c r="AJ467" i="15"/>
  <c r="AI467" i="15"/>
  <c r="AH467" i="15"/>
  <c r="AG467" i="15"/>
  <c r="AF467" i="15"/>
  <c r="AB467" i="15"/>
  <c r="O467" i="15"/>
  <c r="Q467" i="15" s="1"/>
  <c r="N467" i="15"/>
  <c r="P467" i="15" s="1"/>
  <c r="AK466" i="15"/>
  <c r="AK469" i="15" s="1"/>
  <c r="AJ466" i="15"/>
  <c r="AJ469" i="15" s="1"/>
  <c r="AI466" i="15"/>
  <c r="AH466" i="15"/>
  <c r="AG466" i="15"/>
  <c r="AF466" i="15"/>
  <c r="AF469" i="15" s="1"/>
  <c r="AE466" i="15"/>
  <c r="AD466" i="15"/>
  <c r="AD469" i="15" s="1"/>
  <c r="AC466" i="15"/>
  <c r="AC469" i="15" s="1"/>
  <c r="AB466" i="15"/>
  <c r="AB469" i="15" s="1"/>
  <c r="O466" i="15"/>
  <c r="Q466" i="15" s="1"/>
  <c r="N466" i="15"/>
  <c r="P466" i="15" s="1"/>
  <c r="Q465" i="15"/>
  <c r="P465" i="15"/>
  <c r="Z464" i="15"/>
  <c r="M464" i="15"/>
  <c r="L464" i="15"/>
  <c r="K464" i="15"/>
  <c r="J464" i="15"/>
  <c r="I464" i="15"/>
  <c r="O464" i="15" s="1"/>
  <c r="Q464" i="15" s="1"/>
  <c r="H464" i="15"/>
  <c r="N464" i="15" s="1"/>
  <c r="P464" i="15" s="1"/>
  <c r="AK463" i="15"/>
  <c r="AJ463" i="15"/>
  <c r="AI463" i="15"/>
  <c r="O463" i="15"/>
  <c r="Q463" i="15" s="1"/>
  <c r="N463" i="15"/>
  <c r="P463" i="15" s="1"/>
  <c r="P462" i="15"/>
  <c r="O462" i="15"/>
  <c r="Q462" i="15" s="1"/>
  <c r="N462" i="15"/>
  <c r="AK461" i="15"/>
  <c r="AJ461" i="15"/>
  <c r="AI461" i="15"/>
  <c r="AG461" i="15"/>
  <c r="AF461" i="15"/>
  <c r="AB461" i="15"/>
  <c r="O461" i="15"/>
  <c r="Q461" i="15" s="1"/>
  <c r="N461" i="15"/>
  <c r="P461" i="15" s="1"/>
  <c r="AK460" i="15"/>
  <c r="AJ460" i="15"/>
  <c r="AI460" i="15"/>
  <c r="AG460" i="15"/>
  <c r="AF460" i="15"/>
  <c r="AB460" i="15"/>
  <c r="O460" i="15"/>
  <c r="Q460" i="15" s="1"/>
  <c r="N460" i="15"/>
  <c r="P460" i="15" s="1"/>
  <c r="AK459" i="15"/>
  <c r="AJ459" i="15"/>
  <c r="AI459" i="15"/>
  <c r="AG459" i="15"/>
  <c r="AF459" i="15"/>
  <c r="AB459" i="15"/>
  <c r="Q459" i="15"/>
  <c r="O459" i="15"/>
  <c r="N459" i="15"/>
  <c r="P459" i="15" s="1"/>
  <c r="AK458" i="15"/>
  <c r="AJ458" i="15"/>
  <c r="AI458" i="15"/>
  <c r="AF458" i="15"/>
  <c r="AE458" i="15"/>
  <c r="AB458" i="15"/>
  <c r="O458" i="15"/>
  <c r="Q458" i="15" s="1"/>
  <c r="N458" i="15"/>
  <c r="P458" i="15" s="1"/>
  <c r="AK457" i="15"/>
  <c r="AJ457" i="15"/>
  <c r="AI457" i="15"/>
  <c r="AG457" i="15"/>
  <c r="AF457" i="15"/>
  <c r="AB457" i="15"/>
  <c r="O457" i="15"/>
  <c r="Q457" i="15" s="1"/>
  <c r="N457" i="15"/>
  <c r="P457" i="15" s="1"/>
  <c r="L455" i="15"/>
  <c r="J455" i="15"/>
  <c r="AH454" i="15"/>
  <c r="AH455" i="15" s="1"/>
  <c r="AG454" i="15"/>
  <c r="AG455" i="15" s="1"/>
  <c r="AF454" i="15"/>
  <c r="AF455" i="15" s="1"/>
  <c r="Z454" i="15"/>
  <c r="Z455" i="15" s="1"/>
  <c r="M454" i="15"/>
  <c r="M455" i="15" s="1"/>
  <c r="L454" i="15"/>
  <c r="K454" i="15"/>
  <c r="K455" i="15" s="1"/>
  <c r="J454" i="15"/>
  <c r="I454" i="15"/>
  <c r="O454" i="15" s="1"/>
  <c r="Q454" i="15" s="1"/>
  <c r="H454" i="15"/>
  <c r="N454" i="15" s="1"/>
  <c r="P454" i="15" s="1"/>
  <c r="AK453" i="15"/>
  <c r="AJ453" i="15"/>
  <c r="AI453" i="15"/>
  <c r="AB453" i="15"/>
  <c r="P453" i="15"/>
  <c r="O453" i="15"/>
  <c r="Q453" i="15" s="1"/>
  <c r="N453" i="15"/>
  <c r="O452" i="15"/>
  <c r="Q452" i="15" s="1"/>
  <c r="N452" i="15"/>
  <c r="P452" i="15" s="1"/>
  <c r="Q451" i="15"/>
  <c r="O451" i="15"/>
  <c r="N451" i="15"/>
  <c r="P451" i="15" s="1"/>
  <c r="P450" i="15"/>
  <c r="O450" i="15"/>
  <c r="Q450" i="15" s="1"/>
  <c r="N450" i="15"/>
  <c r="O449" i="15"/>
  <c r="Q449" i="15" s="1"/>
  <c r="N449" i="15"/>
  <c r="P449" i="15" s="1"/>
  <c r="O448" i="15"/>
  <c r="Q448" i="15" s="1"/>
  <c r="N448" i="15"/>
  <c r="P448" i="15" s="1"/>
  <c r="O447" i="15"/>
  <c r="Q447" i="15" s="1"/>
  <c r="N447" i="15"/>
  <c r="P447" i="15" s="1"/>
  <c r="O446" i="15"/>
  <c r="Q446" i="15" s="1"/>
  <c r="N446" i="15"/>
  <c r="P446" i="15" s="1"/>
  <c r="O445" i="15"/>
  <c r="Q445" i="15" s="1"/>
  <c r="N445" i="15"/>
  <c r="P445" i="15" s="1"/>
  <c r="O444" i="15"/>
  <c r="Q444" i="15" s="1"/>
  <c r="N444" i="15"/>
  <c r="P444" i="15" s="1"/>
  <c r="AK441" i="15"/>
  <c r="AJ441" i="15"/>
  <c r="AI441" i="15"/>
  <c r="AH441" i="15"/>
  <c r="AG441" i="15"/>
  <c r="AF441" i="15"/>
  <c r="AE441" i="15"/>
  <c r="AD441" i="15"/>
  <c r="AC441" i="15"/>
  <c r="AB441" i="15"/>
  <c r="Z441" i="15"/>
  <c r="M441" i="15"/>
  <c r="M489" i="15" s="1"/>
  <c r="L441" i="15"/>
  <c r="K441" i="15"/>
  <c r="J441" i="15"/>
  <c r="I441" i="15"/>
  <c r="H441" i="15"/>
  <c r="O440" i="15"/>
  <c r="Q440" i="15" s="1"/>
  <c r="N440" i="15"/>
  <c r="P440" i="15" s="1"/>
  <c r="O439" i="15"/>
  <c r="Q439" i="15" s="1"/>
  <c r="N439" i="15"/>
  <c r="P439" i="15" s="1"/>
  <c r="P438" i="15"/>
  <c r="O438" i="15"/>
  <c r="Q438" i="15" s="1"/>
  <c r="N438" i="15"/>
  <c r="O437" i="15"/>
  <c r="Q437" i="15" s="1"/>
  <c r="N437" i="15"/>
  <c r="P437" i="15" s="1"/>
  <c r="Q436" i="15"/>
  <c r="P436" i="15"/>
  <c r="O436" i="15"/>
  <c r="N436" i="15"/>
  <c r="O435" i="15"/>
  <c r="Q435" i="15" s="1"/>
  <c r="N435" i="15"/>
  <c r="P435" i="15" s="1"/>
  <c r="O434" i="15"/>
  <c r="Q434" i="15" s="1"/>
  <c r="N434" i="15"/>
  <c r="P434" i="15" s="1"/>
  <c r="O433" i="15"/>
  <c r="Q433" i="15" s="1"/>
  <c r="N433" i="15"/>
  <c r="P433" i="15" s="1"/>
  <c r="P432" i="15"/>
  <c r="O432" i="15"/>
  <c r="Q432" i="15" s="1"/>
  <c r="N432" i="15"/>
  <c r="O431" i="15"/>
  <c r="Q431" i="15" s="1"/>
  <c r="N431" i="15"/>
  <c r="P431" i="15" s="1"/>
  <c r="Q430" i="15"/>
  <c r="P430" i="15"/>
  <c r="Q429" i="15"/>
  <c r="P429" i="15"/>
  <c r="AK427" i="15"/>
  <c r="AJ427" i="15"/>
  <c r="AI427" i="15"/>
  <c r="AH427" i="15"/>
  <c r="AG427" i="15"/>
  <c r="AF427" i="15"/>
  <c r="AE427" i="15"/>
  <c r="AD427" i="15"/>
  <c r="AC427" i="15"/>
  <c r="AB427" i="15"/>
  <c r="Z427" i="15"/>
  <c r="Q427" i="15"/>
  <c r="N427" i="15"/>
  <c r="P427" i="15" s="1"/>
  <c r="L427" i="15"/>
  <c r="J427" i="15"/>
  <c r="H427" i="15"/>
  <c r="Q426" i="15"/>
  <c r="N426" i="15"/>
  <c r="P426" i="15" s="1"/>
  <c r="Q425" i="15"/>
  <c r="P425" i="15"/>
  <c r="N425" i="15"/>
  <c r="Z423" i="15"/>
  <c r="Z428" i="15" s="1"/>
  <c r="O422" i="15"/>
  <c r="Q422" i="15" s="1"/>
  <c r="N422" i="15"/>
  <c r="P422" i="15" s="1"/>
  <c r="O421" i="15"/>
  <c r="Q421" i="15" s="1"/>
  <c r="N421" i="15"/>
  <c r="P421" i="15" s="1"/>
  <c r="Q420" i="15"/>
  <c r="O420" i="15"/>
  <c r="N420" i="15"/>
  <c r="P420" i="15" s="1"/>
  <c r="O419" i="15"/>
  <c r="Q419" i="15" s="1"/>
  <c r="N419" i="15"/>
  <c r="P419" i="15" s="1"/>
  <c r="O418" i="15"/>
  <c r="Q418" i="15" s="1"/>
  <c r="N418" i="15"/>
  <c r="P418" i="15" s="1"/>
  <c r="O417" i="15"/>
  <c r="Q417" i="15" s="1"/>
  <c r="N417" i="15"/>
  <c r="P417" i="15" s="1"/>
  <c r="O416" i="15"/>
  <c r="Q416" i="15" s="1"/>
  <c r="N416" i="15"/>
  <c r="P416" i="15" s="1"/>
  <c r="O415" i="15"/>
  <c r="Q415" i="15" s="1"/>
  <c r="N415" i="15"/>
  <c r="P415" i="15" s="1"/>
  <c r="O414" i="15"/>
  <c r="Q414" i="15" s="1"/>
  <c r="N414" i="15"/>
  <c r="P414" i="15" s="1"/>
  <c r="Q413" i="15"/>
  <c r="N413" i="15"/>
  <c r="P413" i="15" s="1"/>
  <c r="Q412" i="15"/>
  <c r="P412" i="15"/>
  <c r="O412" i="15"/>
  <c r="N412" i="15"/>
  <c r="O411" i="15"/>
  <c r="Q411" i="15" s="1"/>
  <c r="N411" i="15"/>
  <c r="P411" i="15" s="1"/>
  <c r="O410" i="15"/>
  <c r="Q410" i="15" s="1"/>
  <c r="N410" i="15"/>
  <c r="P410" i="15" s="1"/>
  <c r="O409" i="15"/>
  <c r="Q409" i="15" s="1"/>
  <c r="N409" i="15"/>
  <c r="P409" i="15" s="1"/>
  <c r="Q408" i="15"/>
  <c r="O408" i="15"/>
  <c r="N408" i="15"/>
  <c r="P408" i="15" s="1"/>
  <c r="O407" i="15"/>
  <c r="Q407" i="15" s="1"/>
  <c r="N407" i="15"/>
  <c r="P407" i="15" s="1"/>
  <c r="Q406" i="15"/>
  <c r="P406" i="15"/>
  <c r="N406" i="15"/>
  <c r="M405" i="15"/>
  <c r="M423" i="15" s="1"/>
  <c r="M428" i="15" s="1"/>
  <c r="L405" i="15"/>
  <c r="L423" i="15" s="1"/>
  <c r="K405" i="15"/>
  <c r="K423" i="15" s="1"/>
  <c r="K428" i="15" s="1"/>
  <c r="J405" i="15"/>
  <c r="J423" i="15" s="1"/>
  <c r="J428" i="15" s="1"/>
  <c r="I405" i="15"/>
  <c r="I423" i="15" s="1"/>
  <c r="H405" i="15"/>
  <c r="O404" i="15"/>
  <c r="Q404" i="15" s="1"/>
  <c r="N404" i="15"/>
  <c r="P404" i="15" s="1"/>
  <c r="AK402" i="15"/>
  <c r="AJ402" i="15"/>
  <c r="AJ423" i="15" s="1"/>
  <c r="AI402" i="15"/>
  <c r="AI423" i="15" s="1"/>
  <c r="AI428" i="15" s="1"/>
  <c r="AH402" i="15"/>
  <c r="AH423" i="15" s="1"/>
  <c r="AG402" i="15"/>
  <c r="AG423" i="15" s="1"/>
  <c r="AG428" i="15" s="1"/>
  <c r="AF402" i="15"/>
  <c r="AF423" i="15" s="1"/>
  <c r="AF428" i="15" s="1"/>
  <c r="Q402" i="15"/>
  <c r="P402" i="15"/>
  <c r="O402" i="15"/>
  <c r="N402" i="15"/>
  <c r="AE401" i="15"/>
  <c r="AE423" i="15" s="1"/>
  <c r="AE428" i="15" s="1"/>
  <c r="AD401" i="15"/>
  <c r="AD423" i="15" s="1"/>
  <c r="AC401" i="15"/>
  <c r="AC423" i="15" s="1"/>
  <c r="AC428" i="15" s="1"/>
  <c r="AB401" i="15"/>
  <c r="AB423" i="15" s="1"/>
  <c r="AB428" i="15" s="1"/>
  <c r="O401" i="15"/>
  <c r="Q401" i="15" s="1"/>
  <c r="N401" i="15"/>
  <c r="P401" i="15" s="1"/>
  <c r="O400" i="15"/>
  <c r="Q400" i="15" s="1"/>
  <c r="N400" i="15"/>
  <c r="P400" i="15" s="1"/>
  <c r="O399" i="15"/>
  <c r="Q399" i="15" s="1"/>
  <c r="N399" i="15"/>
  <c r="P399" i="15" s="1"/>
  <c r="O398" i="15"/>
  <c r="Q398" i="15" s="1"/>
  <c r="N398" i="15"/>
  <c r="P398" i="15" s="1"/>
  <c r="Q397" i="15"/>
  <c r="P397" i="15"/>
  <c r="O397" i="15"/>
  <c r="N397" i="15"/>
  <c r="O396" i="15"/>
  <c r="Q396" i="15" s="1"/>
  <c r="N396" i="15"/>
  <c r="P396" i="15" s="1"/>
  <c r="O395" i="15"/>
  <c r="Q395" i="15" s="1"/>
  <c r="N395" i="15"/>
  <c r="P395" i="15" s="1"/>
  <c r="O394" i="15"/>
  <c r="Q394" i="15" s="1"/>
  <c r="N394" i="15"/>
  <c r="P394" i="15" s="1"/>
  <c r="P393" i="15"/>
  <c r="O393" i="15"/>
  <c r="Q393" i="15" s="1"/>
  <c r="N393" i="15"/>
  <c r="O392" i="15"/>
  <c r="Q392" i="15" s="1"/>
  <c r="N392" i="15"/>
  <c r="P392" i="15" s="1"/>
  <c r="Q391" i="15"/>
  <c r="O391" i="15"/>
  <c r="N391" i="15"/>
  <c r="P391" i="15" s="1"/>
  <c r="O390" i="15"/>
  <c r="Q390" i="15" s="1"/>
  <c r="N390" i="15"/>
  <c r="P390" i="15" s="1"/>
  <c r="O389" i="15"/>
  <c r="Q389" i="15" s="1"/>
  <c r="N389" i="15"/>
  <c r="P389" i="15" s="1"/>
  <c r="O388" i="15"/>
  <c r="Q388" i="15" s="1"/>
  <c r="N388" i="15"/>
  <c r="P388" i="15" s="1"/>
  <c r="O387" i="15"/>
  <c r="Q387" i="15" s="1"/>
  <c r="N387" i="15"/>
  <c r="P387" i="15" s="1"/>
  <c r="O385" i="15"/>
  <c r="Q385" i="15" s="1"/>
  <c r="N385" i="15"/>
  <c r="P385" i="15" s="1"/>
  <c r="AK384" i="15"/>
  <c r="AK423" i="15" s="1"/>
  <c r="Q384" i="15"/>
  <c r="P384" i="15"/>
  <c r="O384" i="15"/>
  <c r="N384" i="15"/>
  <c r="Q383" i="15"/>
  <c r="P383" i="15"/>
  <c r="N383" i="15"/>
  <c r="O382" i="15"/>
  <c r="Q382" i="15" s="1"/>
  <c r="N382" i="15"/>
  <c r="P382" i="15" s="1"/>
  <c r="O381" i="15"/>
  <c r="Q381" i="15" s="1"/>
  <c r="N381" i="15"/>
  <c r="P381" i="15" s="1"/>
  <c r="O380" i="15"/>
  <c r="Q380" i="15" s="1"/>
  <c r="N380" i="15"/>
  <c r="P380" i="15" s="1"/>
  <c r="O379" i="15"/>
  <c r="Q379" i="15" s="1"/>
  <c r="N379" i="15"/>
  <c r="P379" i="15" s="1"/>
  <c r="AF376" i="15"/>
  <c r="Z376" i="15"/>
  <c r="M376" i="15"/>
  <c r="L376" i="15"/>
  <c r="K376" i="15"/>
  <c r="O376" i="15" s="1"/>
  <c r="Q376" i="15" s="1"/>
  <c r="J376" i="15"/>
  <c r="I376" i="15"/>
  <c r="H376" i="15"/>
  <c r="AK375" i="15"/>
  <c r="AJ375" i="15"/>
  <c r="AI375" i="15"/>
  <c r="AH375" i="15"/>
  <c r="AG375" i="15"/>
  <c r="AF375" i="15"/>
  <c r="AE375" i="15"/>
  <c r="AD375" i="15"/>
  <c r="AC375" i="15"/>
  <c r="AB375" i="15"/>
  <c r="O375" i="15"/>
  <c r="Q375" i="15" s="1"/>
  <c r="N375" i="15"/>
  <c r="P375" i="15" s="1"/>
  <c r="AK374" i="15"/>
  <c r="AJ374" i="15"/>
  <c r="AJ376" i="15" s="1"/>
  <c r="AI374" i="15"/>
  <c r="AH374" i="15"/>
  <c r="AG374" i="15"/>
  <c r="AF374" i="15"/>
  <c r="AE374" i="15"/>
  <c r="AD374" i="15"/>
  <c r="AD376" i="15" s="1"/>
  <c r="AC374" i="15"/>
  <c r="AB374" i="15"/>
  <c r="Q374" i="15"/>
  <c r="O374" i="15"/>
  <c r="N374" i="15"/>
  <c r="P374" i="15" s="1"/>
  <c r="AK373" i="15"/>
  <c r="AK376" i="15" s="1"/>
  <c r="AJ373" i="15"/>
  <c r="AI373" i="15"/>
  <c r="AH373" i="15"/>
  <c r="AH376" i="15" s="1"/>
  <c r="AG373" i="15"/>
  <c r="AG376" i="15" s="1"/>
  <c r="AF373" i="15"/>
  <c r="AE373" i="15"/>
  <c r="AE376" i="15" s="1"/>
  <c r="AD373" i="15"/>
  <c r="AC373" i="15"/>
  <c r="AC376" i="15" s="1"/>
  <c r="AB373" i="15"/>
  <c r="AB376" i="15" s="1"/>
  <c r="O373" i="15"/>
  <c r="Q373" i="15" s="1"/>
  <c r="N373" i="15"/>
  <c r="P373" i="15" s="1"/>
  <c r="Q372" i="15"/>
  <c r="P372" i="15"/>
  <c r="AF371" i="15"/>
  <c r="Z371" i="15"/>
  <c r="M371" i="15"/>
  <c r="L371" i="15"/>
  <c r="K371" i="15"/>
  <c r="J371" i="15"/>
  <c r="I371" i="15"/>
  <c r="H371" i="15"/>
  <c r="O370" i="15"/>
  <c r="Q370" i="15" s="1"/>
  <c r="N370" i="15"/>
  <c r="P370" i="15" s="1"/>
  <c r="Q369" i="15"/>
  <c r="O369" i="15"/>
  <c r="N369" i="15"/>
  <c r="P369" i="15" s="1"/>
  <c r="O368" i="15"/>
  <c r="Q368" i="15" s="1"/>
  <c r="N368" i="15"/>
  <c r="P368" i="15" s="1"/>
  <c r="AK367" i="15"/>
  <c r="AK371" i="15" s="1"/>
  <c r="AJ367" i="15"/>
  <c r="AJ371" i="15" s="1"/>
  <c r="AI367" i="15"/>
  <c r="AI371" i="15" s="1"/>
  <c r="AH367" i="15"/>
  <c r="AH371" i="15" s="1"/>
  <c r="AG367" i="15"/>
  <c r="AG371" i="15" s="1"/>
  <c r="AF367" i="15"/>
  <c r="AE367" i="15"/>
  <c r="AE371" i="15" s="1"/>
  <c r="AD367" i="15"/>
  <c r="AD371" i="15" s="1"/>
  <c r="AC367" i="15"/>
  <c r="AC371" i="15" s="1"/>
  <c r="AB367" i="15"/>
  <c r="AB371" i="15" s="1"/>
  <c r="O367" i="15"/>
  <c r="Q367" i="15" s="1"/>
  <c r="N367" i="15"/>
  <c r="P367" i="15" s="1"/>
  <c r="P366" i="15"/>
  <c r="O366" i="15"/>
  <c r="Q366" i="15" s="1"/>
  <c r="N366" i="15"/>
  <c r="AG363" i="15"/>
  <c r="O362" i="15"/>
  <c r="Q362" i="15" s="1"/>
  <c r="N362" i="15"/>
  <c r="P362" i="15" s="1"/>
  <c r="AK361" i="15"/>
  <c r="AJ361" i="15"/>
  <c r="AI361" i="15"/>
  <c r="AH361" i="15"/>
  <c r="AG361" i="15"/>
  <c r="AF361" i="15"/>
  <c r="AE361" i="15"/>
  <c r="AD361" i="15"/>
  <c r="AC361" i="15"/>
  <c r="AB361" i="15"/>
  <c r="Z361" i="15"/>
  <c r="M361" i="15"/>
  <c r="L361" i="15"/>
  <c r="K361" i="15"/>
  <c r="J361" i="15"/>
  <c r="I361" i="15"/>
  <c r="H361" i="15"/>
  <c r="O360" i="15"/>
  <c r="Q360" i="15" s="1"/>
  <c r="N360" i="15"/>
  <c r="P360" i="15" s="1"/>
  <c r="O359" i="15"/>
  <c r="Q359" i="15" s="1"/>
  <c r="N359" i="15"/>
  <c r="P359" i="15" s="1"/>
  <c r="O357" i="15"/>
  <c r="Q357" i="15" s="1"/>
  <c r="N357" i="15"/>
  <c r="P357" i="15" s="1"/>
  <c r="O356" i="15"/>
  <c r="Q356" i="15" s="1"/>
  <c r="N356" i="15"/>
  <c r="P356" i="15" s="1"/>
  <c r="O355" i="15"/>
  <c r="Q355" i="15" s="1"/>
  <c r="N355" i="15"/>
  <c r="P355" i="15" s="1"/>
  <c r="P354" i="15"/>
  <c r="O354" i="15"/>
  <c r="Q354" i="15" s="1"/>
  <c r="N354" i="15"/>
  <c r="O353" i="15"/>
  <c r="Q353" i="15" s="1"/>
  <c r="N353" i="15"/>
  <c r="P353" i="15" s="1"/>
  <c r="O352" i="15"/>
  <c r="Q352" i="15" s="1"/>
  <c r="N352" i="15"/>
  <c r="P352" i="15" s="1"/>
  <c r="Q351" i="15"/>
  <c r="P351" i="15"/>
  <c r="O351" i="15"/>
  <c r="N351" i="15"/>
  <c r="AK350" i="15"/>
  <c r="AJ350" i="15"/>
  <c r="AI350" i="15"/>
  <c r="AH350" i="15"/>
  <c r="AG350" i="15"/>
  <c r="O350" i="15"/>
  <c r="Q350" i="15" s="1"/>
  <c r="N350" i="15"/>
  <c r="P350" i="15" s="1"/>
  <c r="Q349" i="15"/>
  <c r="P349" i="15"/>
  <c r="O349" i="15"/>
  <c r="N349" i="15"/>
  <c r="O348" i="15"/>
  <c r="Q348" i="15" s="1"/>
  <c r="N348" i="15"/>
  <c r="P348" i="15" s="1"/>
  <c r="P347" i="15"/>
  <c r="O347" i="15"/>
  <c r="Q347" i="15" s="1"/>
  <c r="N347" i="15"/>
  <c r="P346" i="15"/>
  <c r="O346" i="15"/>
  <c r="Q346" i="15" s="1"/>
  <c r="N346" i="15"/>
  <c r="Q345" i="15"/>
  <c r="N345" i="15"/>
  <c r="P345" i="15" s="1"/>
  <c r="O344" i="15"/>
  <c r="Q344" i="15" s="1"/>
  <c r="N344" i="15"/>
  <c r="P344" i="15" s="1"/>
  <c r="Q343" i="15"/>
  <c r="O343" i="15"/>
  <c r="N343" i="15"/>
  <c r="P343" i="15" s="1"/>
  <c r="AK342" i="15"/>
  <c r="AK363" i="15" s="1"/>
  <c r="AJ342" i="15"/>
  <c r="AI342" i="15"/>
  <c r="AH342" i="15"/>
  <c r="AG342" i="15"/>
  <c r="AF342" i="15"/>
  <c r="AE342" i="15"/>
  <c r="AE363" i="15" s="1"/>
  <c r="AD342" i="15"/>
  <c r="AD363" i="15" s="1"/>
  <c r="AC342" i="15"/>
  <c r="AC363" i="15" s="1"/>
  <c r="AB342" i="15"/>
  <c r="AB363" i="15" s="1"/>
  <c r="Z342" i="15"/>
  <c r="Z363" i="15" s="1"/>
  <c r="M342" i="15"/>
  <c r="M363" i="15" s="1"/>
  <c r="L342" i="15"/>
  <c r="L363" i="15" s="1"/>
  <c r="K342" i="15"/>
  <c r="J342" i="15"/>
  <c r="J363" i="15" s="1"/>
  <c r="I342" i="15"/>
  <c r="H342" i="15"/>
  <c r="H363" i="15" s="1"/>
  <c r="P341" i="15"/>
  <c r="O341" i="15"/>
  <c r="Q341" i="15" s="1"/>
  <c r="N341" i="15"/>
  <c r="O339" i="15"/>
  <c r="Q339" i="15" s="1"/>
  <c r="N339" i="15"/>
  <c r="P339" i="15" s="1"/>
  <c r="Q338" i="15"/>
  <c r="P338" i="15"/>
  <c r="N338" i="15"/>
  <c r="Q337" i="15"/>
  <c r="O337" i="15"/>
  <c r="N337" i="15"/>
  <c r="P337" i="15" s="1"/>
  <c r="Q336" i="15"/>
  <c r="N336" i="15"/>
  <c r="P336" i="15" s="1"/>
  <c r="O332" i="15"/>
  <c r="Q332" i="15" s="1"/>
  <c r="N332" i="15"/>
  <c r="P332" i="15" s="1"/>
  <c r="AK331" i="15"/>
  <c r="AJ331" i="15"/>
  <c r="AI331" i="15"/>
  <c r="AH331" i="15"/>
  <c r="AG331" i="15"/>
  <c r="AF331" i="15"/>
  <c r="AE331" i="15"/>
  <c r="AD331" i="15"/>
  <c r="AC331" i="15"/>
  <c r="AB331" i="15"/>
  <c r="Z331" i="15"/>
  <c r="M331" i="15"/>
  <c r="L331" i="15"/>
  <c r="K331" i="15"/>
  <c r="J331" i="15"/>
  <c r="I331" i="15"/>
  <c r="H331" i="15"/>
  <c r="N331" i="15" s="1"/>
  <c r="P331" i="15" s="1"/>
  <c r="O330" i="15"/>
  <c r="Q330" i="15" s="1"/>
  <c r="N330" i="15"/>
  <c r="P330" i="15" s="1"/>
  <c r="AK328" i="15"/>
  <c r="AJ328" i="15"/>
  <c r="AI328" i="15"/>
  <c r="AH328" i="15"/>
  <c r="AG328" i="15"/>
  <c r="AF328" i="15"/>
  <c r="AE328" i="15"/>
  <c r="AD328" i="15"/>
  <c r="AC328" i="15"/>
  <c r="AB328" i="15"/>
  <c r="Z328" i="15"/>
  <c r="M328" i="15"/>
  <c r="L328" i="15"/>
  <c r="K328" i="15"/>
  <c r="J328" i="15"/>
  <c r="I328" i="15"/>
  <c r="O328" i="15" s="1"/>
  <c r="Q328" i="15" s="1"/>
  <c r="H328" i="15"/>
  <c r="Q326" i="15"/>
  <c r="P326" i="15"/>
  <c r="O326" i="15"/>
  <c r="N326" i="15"/>
  <c r="Q325" i="15"/>
  <c r="O325" i="15"/>
  <c r="N325" i="15"/>
  <c r="P325" i="15" s="1"/>
  <c r="Q324" i="15"/>
  <c r="O324" i="15"/>
  <c r="N324" i="15"/>
  <c r="P324" i="15" s="1"/>
  <c r="Q323" i="15"/>
  <c r="P323" i="15"/>
  <c r="O323" i="15"/>
  <c r="N323" i="15"/>
  <c r="O322" i="15"/>
  <c r="Q322" i="15" s="1"/>
  <c r="N322" i="15"/>
  <c r="P322" i="15" s="1"/>
  <c r="O321" i="15"/>
  <c r="Q321" i="15" s="1"/>
  <c r="N321" i="15"/>
  <c r="P321" i="15" s="1"/>
  <c r="AK319" i="15"/>
  <c r="AJ319" i="15"/>
  <c r="AI319" i="15"/>
  <c r="AH319" i="15"/>
  <c r="AG319" i="15"/>
  <c r="AF319" i="15"/>
  <c r="AE319" i="15"/>
  <c r="AD319" i="15"/>
  <c r="AC319" i="15"/>
  <c r="AB319" i="15"/>
  <c r="Z319" i="15"/>
  <c r="M319" i="15"/>
  <c r="L319" i="15"/>
  <c r="K319" i="15"/>
  <c r="J319" i="15"/>
  <c r="I319" i="15"/>
  <c r="O319" i="15" s="1"/>
  <c r="Q319" i="15" s="1"/>
  <c r="H319" i="15"/>
  <c r="O318" i="15"/>
  <c r="Q318" i="15" s="1"/>
  <c r="N318" i="15"/>
  <c r="P318" i="15" s="1"/>
  <c r="O317" i="15"/>
  <c r="Q317" i="15" s="1"/>
  <c r="N317" i="15"/>
  <c r="P317" i="15" s="1"/>
  <c r="P316" i="15"/>
  <c r="O316" i="15"/>
  <c r="Q316" i="15" s="1"/>
  <c r="N316" i="15"/>
  <c r="O315" i="15"/>
  <c r="Q315" i="15" s="1"/>
  <c r="N315" i="15"/>
  <c r="P315" i="15" s="1"/>
  <c r="Q314" i="15"/>
  <c r="O314" i="15"/>
  <c r="N314" i="15"/>
  <c r="P314" i="15" s="1"/>
  <c r="O313" i="15"/>
  <c r="Q313" i="15" s="1"/>
  <c r="N313" i="15"/>
  <c r="P313" i="15" s="1"/>
  <c r="O312" i="15"/>
  <c r="Q312" i="15" s="1"/>
  <c r="N312" i="15"/>
  <c r="P312" i="15" s="1"/>
  <c r="Q311" i="15"/>
  <c r="O311" i="15"/>
  <c r="N311" i="15"/>
  <c r="P311" i="15" s="1"/>
  <c r="P310" i="15"/>
  <c r="O310" i="15"/>
  <c r="Q310" i="15" s="1"/>
  <c r="N310" i="15"/>
  <c r="O309" i="15"/>
  <c r="Q309" i="15" s="1"/>
  <c r="N309" i="15"/>
  <c r="P309" i="15" s="1"/>
  <c r="AK307" i="15"/>
  <c r="AJ307" i="15"/>
  <c r="AI307" i="15"/>
  <c r="AH307" i="15"/>
  <c r="AG307" i="15"/>
  <c r="AF307" i="15"/>
  <c r="AE307" i="15"/>
  <c r="AD307" i="15"/>
  <c r="AC307" i="15"/>
  <c r="AB307" i="15"/>
  <c r="Z307" i="15"/>
  <c r="M307" i="15"/>
  <c r="L307" i="15"/>
  <c r="K307" i="15"/>
  <c r="J307" i="15"/>
  <c r="I307" i="15"/>
  <c r="H307" i="15"/>
  <c r="O306" i="15"/>
  <c r="Q306" i="15" s="1"/>
  <c r="N306" i="15"/>
  <c r="P306" i="15" s="1"/>
  <c r="O305" i="15"/>
  <c r="Q305" i="15" s="1"/>
  <c r="N305" i="15"/>
  <c r="P305" i="15" s="1"/>
  <c r="Q304" i="15"/>
  <c r="P304" i="15"/>
  <c r="O304" i="15"/>
  <c r="N304" i="15"/>
  <c r="O303" i="15"/>
  <c r="Q303" i="15" s="1"/>
  <c r="N303" i="15"/>
  <c r="P303" i="15" s="1"/>
  <c r="AK301" i="15"/>
  <c r="AJ301" i="15"/>
  <c r="AI301" i="15"/>
  <c r="AH301" i="15"/>
  <c r="AG301" i="15"/>
  <c r="AF301" i="15"/>
  <c r="AE301" i="15"/>
  <c r="AD301" i="15"/>
  <c r="AC301" i="15"/>
  <c r="AB301" i="15"/>
  <c r="Z301" i="15"/>
  <c r="N301" i="15"/>
  <c r="P301" i="15" s="1"/>
  <c r="M301" i="15"/>
  <c r="L301" i="15"/>
  <c r="K301" i="15"/>
  <c r="J301" i="15"/>
  <c r="I301" i="15"/>
  <c r="O301" i="15" s="1"/>
  <c r="Q301" i="15" s="1"/>
  <c r="H301" i="15"/>
  <c r="P300" i="15"/>
  <c r="O300" i="15"/>
  <c r="Q300" i="15" s="1"/>
  <c r="N300" i="15"/>
  <c r="O299" i="15"/>
  <c r="Q299" i="15" s="1"/>
  <c r="N299" i="15"/>
  <c r="P299" i="15" s="1"/>
  <c r="Q298" i="15"/>
  <c r="O298" i="15"/>
  <c r="N298" i="15"/>
  <c r="P298" i="15" s="1"/>
  <c r="P297" i="15"/>
  <c r="O297" i="15"/>
  <c r="Q297" i="15" s="1"/>
  <c r="N297" i="15"/>
  <c r="P296" i="15"/>
  <c r="O296" i="15"/>
  <c r="Q296" i="15" s="1"/>
  <c r="N296" i="15"/>
  <c r="Q295" i="15"/>
  <c r="P295" i="15"/>
  <c r="O295" i="15"/>
  <c r="N295" i="15"/>
  <c r="O294" i="15"/>
  <c r="Q294" i="15" s="1"/>
  <c r="N294" i="15"/>
  <c r="P294" i="15" s="1"/>
  <c r="P293" i="15"/>
  <c r="O293" i="15"/>
  <c r="Q293" i="15" s="1"/>
  <c r="N293" i="15"/>
  <c r="O292" i="15"/>
  <c r="Q292" i="15" s="1"/>
  <c r="N292" i="15"/>
  <c r="P292" i="15" s="1"/>
  <c r="P291" i="15"/>
  <c r="O291" i="15"/>
  <c r="Q291" i="15" s="1"/>
  <c r="N291" i="15"/>
  <c r="O290" i="15"/>
  <c r="Q290" i="15" s="1"/>
  <c r="N290" i="15"/>
  <c r="P290" i="15" s="1"/>
  <c r="AK288" i="15"/>
  <c r="AJ288" i="15"/>
  <c r="AI288" i="15"/>
  <c r="AH288" i="15"/>
  <c r="AG288" i="15"/>
  <c r="AF288" i="15"/>
  <c r="AE288" i="15"/>
  <c r="AD288" i="15"/>
  <c r="AC288" i="15"/>
  <c r="AB288" i="15"/>
  <c r="Z288" i="15"/>
  <c r="M288" i="15"/>
  <c r="L288" i="15"/>
  <c r="K288" i="15"/>
  <c r="J288" i="15"/>
  <c r="I288" i="15"/>
  <c r="H288" i="15"/>
  <c r="O287" i="15"/>
  <c r="Q287" i="15" s="1"/>
  <c r="N287" i="15"/>
  <c r="P287" i="15" s="1"/>
  <c r="Q286" i="15"/>
  <c r="O286" i="15"/>
  <c r="N286" i="15"/>
  <c r="P286" i="15" s="1"/>
  <c r="Q285" i="15"/>
  <c r="P285" i="15"/>
  <c r="O285" i="15"/>
  <c r="N285" i="15"/>
  <c r="O284" i="15"/>
  <c r="Q284" i="15" s="1"/>
  <c r="N284" i="15"/>
  <c r="P284" i="15" s="1"/>
  <c r="Q283" i="15"/>
  <c r="O283" i="15"/>
  <c r="N283" i="15"/>
  <c r="P283" i="15" s="1"/>
  <c r="O282" i="15"/>
  <c r="Q282" i="15" s="1"/>
  <c r="N282" i="15"/>
  <c r="P282" i="15" s="1"/>
  <c r="Q281" i="15"/>
  <c r="P281" i="15"/>
  <c r="AK280" i="15"/>
  <c r="AJ280" i="15"/>
  <c r="AI280" i="15"/>
  <c r="AH280" i="15"/>
  <c r="AG280" i="15"/>
  <c r="AF280" i="15"/>
  <c r="AE280" i="15"/>
  <c r="AD280" i="15"/>
  <c r="AC280" i="15"/>
  <c r="AB280" i="15"/>
  <c r="Z280" i="15"/>
  <c r="M280" i="15"/>
  <c r="L280" i="15"/>
  <c r="K280" i="15"/>
  <c r="J280" i="15"/>
  <c r="N280" i="15" s="1"/>
  <c r="P280" i="15" s="1"/>
  <c r="I280" i="15"/>
  <c r="O280" i="15" s="1"/>
  <c r="Q280" i="15" s="1"/>
  <c r="H280" i="15"/>
  <c r="O279" i="15"/>
  <c r="Q279" i="15" s="1"/>
  <c r="N279" i="15"/>
  <c r="P279" i="15" s="1"/>
  <c r="Q278" i="15"/>
  <c r="P278" i="15"/>
  <c r="O278" i="15"/>
  <c r="N278" i="15"/>
  <c r="O277" i="15"/>
  <c r="Q277" i="15" s="1"/>
  <c r="N277" i="15"/>
  <c r="P277" i="15" s="1"/>
  <c r="P276" i="15"/>
  <c r="O276" i="15"/>
  <c r="Q276" i="15" s="1"/>
  <c r="N276" i="15"/>
  <c r="P275" i="15"/>
  <c r="O275" i="15"/>
  <c r="Q275" i="15" s="1"/>
  <c r="N275" i="15"/>
  <c r="P274" i="15"/>
  <c r="O274" i="15"/>
  <c r="Q274" i="15" s="1"/>
  <c r="N274" i="15"/>
  <c r="O273" i="15"/>
  <c r="Q273" i="15" s="1"/>
  <c r="N273" i="15"/>
  <c r="P273" i="15" s="1"/>
  <c r="Q272" i="15"/>
  <c r="O272" i="15"/>
  <c r="N272" i="15"/>
  <c r="P272" i="15" s="1"/>
  <c r="P271" i="15"/>
  <c r="O271" i="15"/>
  <c r="Q271" i="15" s="1"/>
  <c r="N271" i="15"/>
  <c r="O270" i="15"/>
  <c r="Q270" i="15" s="1"/>
  <c r="N270" i="15"/>
  <c r="P270" i="15" s="1"/>
  <c r="Q269" i="15"/>
  <c r="O269" i="15"/>
  <c r="N269" i="15"/>
  <c r="P269" i="15" s="1"/>
  <c r="O268" i="15"/>
  <c r="Q268" i="15" s="1"/>
  <c r="N268" i="15"/>
  <c r="P268" i="15" s="1"/>
  <c r="O267" i="15"/>
  <c r="Q267" i="15" s="1"/>
  <c r="N267" i="15"/>
  <c r="P267" i="15" s="1"/>
  <c r="O266" i="15"/>
  <c r="Q266" i="15" s="1"/>
  <c r="N266" i="15"/>
  <c r="P266" i="15" s="1"/>
  <c r="O265" i="15"/>
  <c r="Q265" i="15" s="1"/>
  <c r="N265" i="15"/>
  <c r="P265" i="15" s="1"/>
  <c r="AK263" i="15"/>
  <c r="AJ263" i="15"/>
  <c r="AI263" i="15"/>
  <c r="AH263" i="15"/>
  <c r="AG263" i="15"/>
  <c r="AF263" i="15"/>
  <c r="AE263" i="15"/>
  <c r="AD263" i="15"/>
  <c r="AC263" i="15"/>
  <c r="AB263" i="15"/>
  <c r="Z263" i="15"/>
  <c r="O263" i="15"/>
  <c r="Q263" i="15" s="1"/>
  <c r="M263" i="15"/>
  <c r="L263" i="15"/>
  <c r="K263" i="15"/>
  <c r="J263" i="15"/>
  <c r="N263" i="15" s="1"/>
  <c r="P263" i="15" s="1"/>
  <c r="I263" i="15"/>
  <c r="H263" i="15"/>
  <c r="O262" i="15"/>
  <c r="Q262" i="15" s="1"/>
  <c r="N262" i="15"/>
  <c r="P262" i="15" s="1"/>
  <c r="Q261" i="15"/>
  <c r="P261" i="15"/>
  <c r="O261" i="15"/>
  <c r="N261" i="15"/>
  <c r="O260" i="15"/>
  <c r="Q260" i="15" s="1"/>
  <c r="N260" i="15"/>
  <c r="P260" i="15" s="1"/>
  <c r="Q259" i="15"/>
  <c r="P259" i="15"/>
  <c r="O259" i="15"/>
  <c r="N259" i="15"/>
  <c r="Q258" i="15"/>
  <c r="P258" i="15"/>
  <c r="AK257" i="15"/>
  <c r="AJ257" i="15"/>
  <c r="AI257" i="15"/>
  <c r="AH257" i="15"/>
  <c r="AG257" i="15"/>
  <c r="AF257" i="15"/>
  <c r="AE257" i="15"/>
  <c r="AD257" i="15"/>
  <c r="AC257" i="15"/>
  <c r="AB257" i="15"/>
  <c r="Z257" i="15"/>
  <c r="M257" i="15"/>
  <c r="L257" i="15"/>
  <c r="K257" i="15"/>
  <c r="J257" i="15"/>
  <c r="I257" i="15"/>
  <c r="H257" i="15"/>
  <c r="O256" i="15"/>
  <c r="Q256" i="15" s="1"/>
  <c r="N256" i="15"/>
  <c r="P256" i="15" s="1"/>
  <c r="Q255" i="15"/>
  <c r="P255" i="15"/>
  <c r="O255" i="15"/>
  <c r="N255" i="15"/>
  <c r="Q254" i="15"/>
  <c r="N254" i="15"/>
  <c r="P254" i="15" s="1"/>
  <c r="Q253" i="15"/>
  <c r="O253" i="15"/>
  <c r="N253" i="15"/>
  <c r="P253" i="15" s="1"/>
  <c r="O252" i="15"/>
  <c r="Q252" i="15" s="1"/>
  <c r="N252" i="15"/>
  <c r="P252" i="15" s="1"/>
  <c r="O251" i="15"/>
  <c r="Q251" i="15" s="1"/>
  <c r="N251" i="15"/>
  <c r="P251" i="15" s="1"/>
  <c r="Q250" i="15"/>
  <c r="N250" i="15"/>
  <c r="P250" i="15" s="1"/>
  <c r="O249" i="15"/>
  <c r="Q249" i="15" s="1"/>
  <c r="N249" i="15"/>
  <c r="P249" i="15" s="1"/>
  <c r="P248" i="15"/>
  <c r="O248" i="15"/>
  <c r="Q248" i="15" s="1"/>
  <c r="N248" i="15"/>
  <c r="O247" i="15"/>
  <c r="Q247" i="15" s="1"/>
  <c r="N247" i="15"/>
  <c r="P247" i="15" s="1"/>
  <c r="Q246" i="15"/>
  <c r="O246" i="15"/>
  <c r="N246" i="15"/>
  <c r="P246" i="15" s="1"/>
  <c r="O245" i="15"/>
  <c r="Q245" i="15" s="1"/>
  <c r="N245" i="15"/>
  <c r="P245" i="15" s="1"/>
  <c r="Q244" i="15"/>
  <c r="P244" i="15"/>
  <c r="N244" i="15"/>
  <c r="O243" i="15"/>
  <c r="Q243" i="15" s="1"/>
  <c r="N243" i="15"/>
  <c r="P243" i="15" s="1"/>
  <c r="O242" i="15"/>
  <c r="Q242" i="15" s="1"/>
  <c r="N242" i="15"/>
  <c r="P242" i="15" s="1"/>
  <c r="O241" i="15"/>
  <c r="Q241" i="15" s="1"/>
  <c r="N241" i="15"/>
  <c r="P241" i="15" s="1"/>
  <c r="O240" i="15"/>
  <c r="Q240" i="15" s="1"/>
  <c r="N240" i="15"/>
  <c r="P240" i="15" s="1"/>
  <c r="Q239" i="15"/>
  <c r="O239" i="15"/>
  <c r="N239" i="15"/>
  <c r="P239" i="15" s="1"/>
  <c r="Q238" i="15"/>
  <c r="P238" i="15"/>
  <c r="O238" i="15"/>
  <c r="N238" i="15"/>
  <c r="O237" i="15"/>
  <c r="Q237" i="15" s="1"/>
  <c r="N237" i="15"/>
  <c r="P237" i="15" s="1"/>
  <c r="Q236" i="15"/>
  <c r="O236" i="15"/>
  <c r="N236" i="15"/>
  <c r="P236" i="15" s="1"/>
  <c r="AK234" i="15"/>
  <c r="AJ234" i="15"/>
  <c r="AI234" i="15"/>
  <c r="AH234" i="15"/>
  <c r="AG234" i="15"/>
  <c r="AF234" i="15"/>
  <c r="AE234" i="15"/>
  <c r="AD234" i="15"/>
  <c r="AC234" i="15"/>
  <c r="AB234" i="15"/>
  <c r="Z234" i="15"/>
  <c r="M234" i="15"/>
  <c r="L234" i="15"/>
  <c r="K234" i="15"/>
  <c r="O234" i="15" s="1"/>
  <c r="Q234" i="15" s="1"/>
  <c r="J234" i="15"/>
  <c r="I234" i="15"/>
  <c r="H234" i="15"/>
  <c r="O233" i="15"/>
  <c r="Q233" i="15" s="1"/>
  <c r="N233" i="15"/>
  <c r="P233" i="15" s="1"/>
  <c r="Q232" i="15"/>
  <c r="P232" i="15"/>
  <c r="O232" i="15"/>
  <c r="N232" i="15"/>
  <c r="O231" i="15"/>
  <c r="Q231" i="15" s="1"/>
  <c r="N231" i="15"/>
  <c r="P231" i="15" s="1"/>
  <c r="P230" i="15"/>
  <c r="O230" i="15"/>
  <c r="Q230" i="15" s="1"/>
  <c r="N230" i="15"/>
  <c r="Q229" i="15"/>
  <c r="P229" i="15"/>
  <c r="P228" i="15"/>
  <c r="O228" i="15"/>
  <c r="Q228" i="15" s="1"/>
  <c r="N228" i="15"/>
  <c r="AK227" i="15"/>
  <c r="AJ227" i="15"/>
  <c r="AI227" i="15"/>
  <c r="AH227" i="15"/>
  <c r="AG227" i="15"/>
  <c r="AF227" i="15"/>
  <c r="AE227" i="15"/>
  <c r="AD227" i="15"/>
  <c r="AC227" i="15"/>
  <c r="AB227" i="15"/>
  <c r="AK225" i="15"/>
  <c r="AD225" i="15"/>
  <c r="Z225" i="15"/>
  <c r="M225" i="15"/>
  <c r="L225" i="15"/>
  <c r="K225" i="15"/>
  <c r="J225" i="15"/>
  <c r="I225" i="15"/>
  <c r="H225" i="15"/>
  <c r="O224" i="15"/>
  <c r="Q224" i="15" s="1"/>
  <c r="N224" i="15"/>
  <c r="P224" i="15" s="1"/>
  <c r="AK223" i="15"/>
  <c r="AJ223" i="15"/>
  <c r="AJ225" i="15" s="1"/>
  <c r="AI223" i="15"/>
  <c r="AI225" i="15" s="1"/>
  <c r="AH223" i="15"/>
  <c r="AH225" i="15" s="1"/>
  <c r="AG223" i="15"/>
  <c r="AG225" i="15" s="1"/>
  <c r="AF223" i="15"/>
  <c r="AF225" i="15" s="1"/>
  <c r="AE223" i="15"/>
  <c r="AE225" i="15" s="1"/>
  <c r="AD223" i="15"/>
  <c r="AC223" i="15"/>
  <c r="AC225" i="15" s="1"/>
  <c r="AB223" i="15"/>
  <c r="AB225" i="15" s="1"/>
  <c r="Q223" i="15"/>
  <c r="O223" i="15"/>
  <c r="N223" i="15"/>
  <c r="P223" i="15" s="1"/>
  <c r="AK218" i="15"/>
  <c r="AJ218" i="15"/>
  <c r="AI218" i="15"/>
  <c r="AH218" i="15"/>
  <c r="AG218" i="15"/>
  <c r="Q218" i="15"/>
  <c r="L218" i="15"/>
  <c r="J218" i="15"/>
  <c r="H218" i="15"/>
  <c r="Q217" i="15"/>
  <c r="N217" i="15"/>
  <c r="P217" i="15" s="1"/>
  <c r="AK215" i="15"/>
  <c r="AJ215" i="15"/>
  <c r="AJ219" i="15" s="1"/>
  <c r="AI215" i="15"/>
  <c r="AI219" i="15" s="1"/>
  <c r="AH215" i="15"/>
  <c r="AH219" i="15" s="1"/>
  <c r="AG215" i="15"/>
  <c r="AF215" i="15"/>
  <c r="AF219" i="15" s="1"/>
  <c r="AE215" i="15"/>
  <c r="AE219" i="15" s="1"/>
  <c r="AD215" i="15"/>
  <c r="AD219" i="15" s="1"/>
  <c r="AC215" i="15"/>
  <c r="AC219" i="15" s="1"/>
  <c r="AB215" i="15"/>
  <c r="AB219" i="15" s="1"/>
  <c r="Z215" i="15"/>
  <c r="Z219" i="15" s="1"/>
  <c r="M215" i="15"/>
  <c r="M219" i="15" s="1"/>
  <c r="L215" i="15"/>
  <c r="L219" i="15" s="1"/>
  <c r="K215" i="15"/>
  <c r="K219" i="15" s="1"/>
  <c r="J215" i="15"/>
  <c r="I215" i="15"/>
  <c r="H215" i="15"/>
  <c r="H219" i="15" s="1"/>
  <c r="O214" i="15"/>
  <c r="Q214" i="15" s="1"/>
  <c r="N214" i="15"/>
  <c r="P214" i="15" s="1"/>
  <c r="Q213" i="15"/>
  <c r="O213" i="15"/>
  <c r="N213" i="15"/>
  <c r="P213" i="15" s="1"/>
  <c r="Q212" i="15"/>
  <c r="N212" i="15"/>
  <c r="P212" i="15" s="1"/>
  <c r="O211" i="15"/>
  <c r="Q211" i="15" s="1"/>
  <c r="N211" i="15"/>
  <c r="P211" i="15" s="1"/>
  <c r="Q210" i="15"/>
  <c r="O210" i="15"/>
  <c r="N210" i="15"/>
  <c r="P210" i="15" s="1"/>
  <c r="AK207" i="15"/>
  <c r="AJ207" i="15"/>
  <c r="AI207" i="15"/>
  <c r="AH207" i="15"/>
  <c r="AG207" i="15"/>
  <c r="AF207" i="15"/>
  <c r="AE207" i="15"/>
  <c r="AD207" i="15"/>
  <c r="AC207" i="15"/>
  <c r="AB207" i="15"/>
  <c r="Z207" i="15"/>
  <c r="M207" i="15"/>
  <c r="L207" i="15"/>
  <c r="K207" i="15"/>
  <c r="J207" i="15"/>
  <c r="I207" i="15"/>
  <c r="H207" i="15"/>
  <c r="Q206" i="15"/>
  <c r="O206" i="15"/>
  <c r="N206" i="15"/>
  <c r="P206" i="15" s="1"/>
  <c r="Q205" i="15"/>
  <c r="O205" i="15"/>
  <c r="N205" i="15"/>
  <c r="P205" i="15" s="1"/>
  <c r="Q204" i="15"/>
  <c r="N204" i="15"/>
  <c r="P204" i="15" s="1"/>
  <c r="Q203" i="15"/>
  <c r="O203" i="15"/>
  <c r="N203" i="15"/>
  <c r="P203" i="15" s="1"/>
  <c r="AK201" i="15"/>
  <c r="AJ201" i="15"/>
  <c r="AI201" i="15"/>
  <c r="AH201" i="15"/>
  <c r="AG201" i="15"/>
  <c r="AF201" i="15"/>
  <c r="AE201" i="15"/>
  <c r="AD201" i="15"/>
  <c r="AC201" i="15"/>
  <c r="AB201" i="15"/>
  <c r="Z201" i="15"/>
  <c r="M201" i="15"/>
  <c r="L201" i="15"/>
  <c r="N201" i="15" s="1"/>
  <c r="P201" i="15" s="1"/>
  <c r="K201" i="15"/>
  <c r="J201" i="15"/>
  <c r="I201" i="15"/>
  <c r="H201" i="15"/>
  <c r="O200" i="15"/>
  <c r="Q200" i="15" s="1"/>
  <c r="N200" i="15"/>
  <c r="P200" i="15" s="1"/>
  <c r="AK198" i="15"/>
  <c r="Z198" i="15"/>
  <c r="O198" i="15"/>
  <c r="Q198" i="15" s="1"/>
  <c r="M198" i="15"/>
  <c r="L198" i="15"/>
  <c r="K198" i="15"/>
  <c r="J198" i="15"/>
  <c r="I198" i="15"/>
  <c r="H198" i="15"/>
  <c r="N198" i="15" s="1"/>
  <c r="P198" i="15" s="1"/>
  <c r="O197" i="15"/>
  <c r="Q197" i="15" s="1"/>
  <c r="N197" i="15"/>
  <c r="P197" i="15" s="1"/>
  <c r="AK196" i="15"/>
  <c r="AJ196" i="15"/>
  <c r="AI196" i="15"/>
  <c r="AH196" i="15"/>
  <c r="AG196" i="15"/>
  <c r="AF196" i="15"/>
  <c r="AE196" i="15"/>
  <c r="AD196" i="15"/>
  <c r="AC196" i="15"/>
  <c r="AB196" i="15"/>
  <c r="P196" i="15"/>
  <c r="O196" i="15"/>
  <c r="Q196" i="15" s="1"/>
  <c r="N196" i="15"/>
  <c r="AK195" i="15"/>
  <c r="AJ195" i="15"/>
  <c r="AJ198" i="15" s="1"/>
  <c r="AI195" i="15"/>
  <c r="AH195" i="15"/>
  <c r="AG195" i="15"/>
  <c r="AF195" i="15"/>
  <c r="AE195" i="15"/>
  <c r="AD195" i="15"/>
  <c r="AC195" i="15"/>
  <c r="AB195" i="15"/>
  <c r="Q195" i="15"/>
  <c r="O195" i="15"/>
  <c r="N195" i="15"/>
  <c r="P195" i="15" s="1"/>
  <c r="P194" i="15"/>
  <c r="O194" i="15"/>
  <c r="Q194" i="15" s="1"/>
  <c r="N194" i="15"/>
  <c r="AK193" i="15"/>
  <c r="AJ193" i="15"/>
  <c r="AI193" i="15"/>
  <c r="AH193" i="15"/>
  <c r="AH198" i="15" s="1"/>
  <c r="AG193" i="15"/>
  <c r="AG198" i="15" s="1"/>
  <c r="AF193" i="15"/>
  <c r="AE193" i="15"/>
  <c r="AE198" i="15" s="1"/>
  <c r="AD193" i="15"/>
  <c r="AC193" i="15"/>
  <c r="AB193" i="15"/>
  <c r="Q193" i="15"/>
  <c r="O193" i="15"/>
  <c r="N193" i="15"/>
  <c r="P193" i="15" s="1"/>
  <c r="AK191" i="15"/>
  <c r="AJ191" i="15"/>
  <c r="AI191" i="15"/>
  <c r="AH191" i="15"/>
  <c r="AG191" i="15"/>
  <c r="AF191" i="15"/>
  <c r="AE191" i="15"/>
  <c r="AD191" i="15"/>
  <c r="AC191" i="15"/>
  <c r="AB191" i="15"/>
  <c r="Z191" i="15"/>
  <c r="M191" i="15"/>
  <c r="L191" i="15"/>
  <c r="K191" i="15"/>
  <c r="J191" i="15"/>
  <c r="I191" i="15"/>
  <c r="H191" i="15"/>
  <c r="N191" i="15" s="1"/>
  <c r="P191" i="15" s="1"/>
  <c r="O190" i="15"/>
  <c r="Q190" i="15" s="1"/>
  <c r="N190" i="15"/>
  <c r="P190" i="15" s="1"/>
  <c r="Q189" i="15"/>
  <c r="P189" i="15"/>
  <c r="AB188" i="15"/>
  <c r="Z188" i="15"/>
  <c r="M188" i="15"/>
  <c r="L188" i="15"/>
  <c r="K188" i="15"/>
  <c r="O188" i="15" s="1"/>
  <c r="Q188" i="15" s="1"/>
  <c r="J188" i="15"/>
  <c r="I188" i="15"/>
  <c r="H188" i="15"/>
  <c r="N188" i="15" s="1"/>
  <c r="P188" i="15" s="1"/>
  <c r="O187" i="15"/>
  <c r="Q187" i="15" s="1"/>
  <c r="N187" i="15"/>
  <c r="P187" i="15" s="1"/>
  <c r="Q186" i="15"/>
  <c r="P186" i="15"/>
  <c r="O186" i="15"/>
  <c r="N186" i="15"/>
  <c r="AK185" i="15"/>
  <c r="AK188" i="15" s="1"/>
  <c r="AJ185" i="15"/>
  <c r="AJ188" i="15" s="1"/>
  <c r="AI185" i="15"/>
  <c r="AI188" i="15" s="1"/>
  <c r="AH185" i="15"/>
  <c r="AH188" i="15" s="1"/>
  <c r="AG185" i="15"/>
  <c r="AG188" i="15" s="1"/>
  <c r="AF185" i="15"/>
  <c r="AF188" i="15" s="1"/>
  <c r="AE185" i="15"/>
  <c r="AE188" i="15" s="1"/>
  <c r="AD185" i="15"/>
  <c r="AD188" i="15" s="1"/>
  <c r="AC185" i="15"/>
  <c r="AC188" i="15" s="1"/>
  <c r="AB185" i="15"/>
  <c r="O185" i="15"/>
  <c r="Q185" i="15" s="1"/>
  <c r="N185" i="15"/>
  <c r="P185" i="15" s="1"/>
  <c r="AO184" i="15"/>
  <c r="Q184" i="15"/>
  <c r="P184" i="15"/>
  <c r="AH182" i="15"/>
  <c r="AC182" i="15"/>
  <c r="AB182" i="15"/>
  <c r="Z182" i="15"/>
  <c r="M182" i="15"/>
  <c r="L182" i="15"/>
  <c r="K182" i="15"/>
  <c r="J182" i="15"/>
  <c r="I182" i="15"/>
  <c r="H182" i="15"/>
  <c r="N182" i="15" s="1"/>
  <c r="P182" i="15" s="1"/>
  <c r="Q181" i="15"/>
  <c r="O181" i="15"/>
  <c r="N181" i="15"/>
  <c r="P181" i="15" s="1"/>
  <c r="O180" i="15"/>
  <c r="Q180" i="15" s="1"/>
  <c r="N180" i="15"/>
  <c r="P180" i="15" s="1"/>
  <c r="AQ179" i="15"/>
  <c r="O179" i="15"/>
  <c r="Q179" i="15" s="1"/>
  <c r="N179" i="15"/>
  <c r="P179" i="15" s="1"/>
  <c r="AQ178" i="15"/>
  <c r="AQ180" i="15" s="1"/>
  <c r="P178" i="15"/>
  <c r="O178" i="15"/>
  <c r="Q178" i="15" s="1"/>
  <c r="N178" i="15"/>
  <c r="AQ177" i="15"/>
  <c r="O177" i="15"/>
  <c r="Q177" i="15" s="1"/>
  <c r="N177" i="15"/>
  <c r="P177" i="15" s="1"/>
  <c r="AK176" i="15"/>
  <c r="AJ176" i="15"/>
  <c r="AI176" i="15"/>
  <c r="AH176" i="15"/>
  <c r="AG176" i="15"/>
  <c r="Q176" i="15"/>
  <c r="P176" i="15"/>
  <c r="O176" i="15"/>
  <c r="N176" i="15"/>
  <c r="O175" i="15"/>
  <c r="Q175" i="15" s="1"/>
  <c r="N175" i="15"/>
  <c r="P175" i="15" s="1"/>
  <c r="O174" i="15"/>
  <c r="Q174" i="15" s="1"/>
  <c r="N174" i="15"/>
  <c r="P174" i="15" s="1"/>
  <c r="AK173" i="15"/>
  <c r="AJ173" i="15"/>
  <c r="AI173" i="15"/>
  <c r="AH173" i="15"/>
  <c r="AG173" i="15"/>
  <c r="AF173" i="15"/>
  <c r="AE173" i="15"/>
  <c r="AE182" i="15" s="1"/>
  <c r="AD173" i="15"/>
  <c r="AD182" i="15" s="1"/>
  <c r="AC173" i="15"/>
  <c r="AB173" i="15"/>
  <c r="P173" i="15"/>
  <c r="O173" i="15"/>
  <c r="Q173" i="15" s="1"/>
  <c r="N173" i="15"/>
  <c r="AJ172" i="15"/>
  <c r="AJ182" i="15" s="1"/>
  <c r="AI172" i="15"/>
  <c r="AI182" i="15" s="1"/>
  <c r="AH172" i="15"/>
  <c r="AG172" i="15"/>
  <c r="AG182" i="15" s="1"/>
  <c r="AF172" i="15"/>
  <c r="AF182" i="15" s="1"/>
  <c r="Q172" i="15"/>
  <c r="O172" i="15"/>
  <c r="N172" i="15"/>
  <c r="P172" i="15" s="1"/>
  <c r="Q171" i="15"/>
  <c r="P171" i="15"/>
  <c r="O169" i="15"/>
  <c r="Q169" i="15" s="1"/>
  <c r="N169" i="15"/>
  <c r="P169" i="15" s="1"/>
  <c r="AK168" i="15"/>
  <c r="AJ168" i="15"/>
  <c r="AI168" i="15"/>
  <c r="AH168" i="15"/>
  <c r="AG168" i="15"/>
  <c r="AF168" i="15"/>
  <c r="AE168" i="15"/>
  <c r="AD168" i="15"/>
  <c r="AC168" i="15"/>
  <c r="AB168" i="15"/>
  <c r="Z168" i="15"/>
  <c r="M168" i="15"/>
  <c r="L168" i="15"/>
  <c r="K168" i="15"/>
  <c r="J168" i="15"/>
  <c r="I168" i="15"/>
  <c r="H168" i="15"/>
  <c r="O167" i="15"/>
  <c r="Q167" i="15" s="1"/>
  <c r="N167" i="15"/>
  <c r="P167" i="15" s="1"/>
  <c r="O166" i="15"/>
  <c r="Q166" i="15" s="1"/>
  <c r="N166" i="15"/>
  <c r="P166" i="15" s="1"/>
  <c r="Q165" i="15"/>
  <c r="P165" i="15"/>
  <c r="AK164" i="15"/>
  <c r="AJ164" i="15"/>
  <c r="AI164" i="15"/>
  <c r="AH164" i="15"/>
  <c r="AG164" i="15"/>
  <c r="AF164" i="15"/>
  <c r="AE164" i="15"/>
  <c r="AD164" i="15"/>
  <c r="AC164" i="15"/>
  <c r="AB164" i="15"/>
  <c r="Z164" i="15"/>
  <c r="M164" i="15"/>
  <c r="O164" i="15" s="1"/>
  <c r="Q164" i="15" s="1"/>
  <c r="L164" i="15"/>
  <c r="K164" i="15"/>
  <c r="J164" i="15"/>
  <c r="I164" i="15"/>
  <c r="H164" i="15"/>
  <c r="O163" i="15"/>
  <c r="Q163" i="15" s="1"/>
  <c r="N163" i="15"/>
  <c r="P163" i="15" s="1"/>
  <c r="O162" i="15"/>
  <c r="Q162" i="15" s="1"/>
  <c r="N162" i="15"/>
  <c r="P162" i="15" s="1"/>
  <c r="O161" i="15"/>
  <c r="Q161" i="15" s="1"/>
  <c r="N161" i="15"/>
  <c r="P161" i="15" s="1"/>
  <c r="Q160" i="15"/>
  <c r="P160" i="15"/>
  <c r="AK159" i="15"/>
  <c r="AJ159" i="15"/>
  <c r="AI159" i="15"/>
  <c r="AH159" i="15"/>
  <c r="AG159" i="15"/>
  <c r="AF159" i="15"/>
  <c r="AE159" i="15"/>
  <c r="AD159" i="15"/>
  <c r="AC159" i="15"/>
  <c r="AB159" i="15"/>
  <c r="Z159" i="15"/>
  <c r="M159" i="15"/>
  <c r="L159" i="15"/>
  <c r="K159" i="15"/>
  <c r="J159" i="15"/>
  <c r="I159" i="15"/>
  <c r="H159" i="15"/>
  <c r="O158" i="15"/>
  <c r="Q158" i="15" s="1"/>
  <c r="N158" i="15"/>
  <c r="P158" i="15" s="1"/>
  <c r="Q157" i="15"/>
  <c r="P157" i="15"/>
  <c r="AK156" i="15"/>
  <c r="AJ156" i="15"/>
  <c r="AI156" i="15"/>
  <c r="AH156" i="15"/>
  <c r="AG156" i="15"/>
  <c r="AF156" i="15"/>
  <c r="AE156" i="15"/>
  <c r="AD156" i="15"/>
  <c r="AC156" i="15"/>
  <c r="AB156" i="15"/>
  <c r="Z156" i="15"/>
  <c r="M156" i="15"/>
  <c r="O156" i="15" s="1"/>
  <c r="Q156" i="15" s="1"/>
  <c r="L156" i="15"/>
  <c r="K156" i="15"/>
  <c r="J156" i="15"/>
  <c r="I156" i="15"/>
  <c r="H156" i="15"/>
  <c r="O155" i="15"/>
  <c r="Q155" i="15" s="1"/>
  <c r="N155" i="15"/>
  <c r="P155" i="15" s="1"/>
  <c r="O154" i="15"/>
  <c r="Q154" i="15" s="1"/>
  <c r="N154" i="15"/>
  <c r="P154" i="15" s="1"/>
  <c r="O153" i="15"/>
  <c r="Q153" i="15" s="1"/>
  <c r="N153" i="15"/>
  <c r="P153" i="15" s="1"/>
  <c r="Q152" i="15"/>
  <c r="P152" i="15"/>
  <c r="AK151" i="15"/>
  <c r="AJ151" i="15"/>
  <c r="AI151" i="15"/>
  <c r="AH151" i="15"/>
  <c r="AG151" i="15"/>
  <c r="AF151" i="15"/>
  <c r="AE151" i="15"/>
  <c r="AD151" i="15"/>
  <c r="AC151" i="15"/>
  <c r="AB151" i="15"/>
  <c r="Z151" i="15"/>
  <c r="M151" i="15"/>
  <c r="L151" i="15"/>
  <c r="K151" i="15"/>
  <c r="J151" i="15"/>
  <c r="I151" i="15"/>
  <c r="H151" i="15"/>
  <c r="O150" i="15"/>
  <c r="Q150" i="15" s="1"/>
  <c r="N150" i="15"/>
  <c r="P150" i="15" s="1"/>
  <c r="O149" i="15"/>
  <c r="Q149" i="15" s="1"/>
  <c r="N149" i="15"/>
  <c r="P149" i="15" s="1"/>
  <c r="O148" i="15"/>
  <c r="Q148" i="15" s="1"/>
  <c r="N148" i="15"/>
  <c r="P148" i="15" s="1"/>
  <c r="O147" i="15"/>
  <c r="Q147" i="15" s="1"/>
  <c r="N147" i="15"/>
  <c r="P147" i="15" s="1"/>
  <c r="O146" i="15"/>
  <c r="Q146" i="15" s="1"/>
  <c r="N146" i="15"/>
  <c r="P146" i="15" s="1"/>
  <c r="Q145" i="15"/>
  <c r="P145" i="15"/>
  <c r="AE144" i="15"/>
  <c r="AD144" i="15"/>
  <c r="AC144" i="15"/>
  <c r="AB144" i="15"/>
  <c r="Z144" i="15"/>
  <c r="M144" i="15"/>
  <c r="L144" i="15"/>
  <c r="K144" i="15"/>
  <c r="J144" i="15"/>
  <c r="I144" i="15"/>
  <c r="H144" i="15"/>
  <c r="AK143" i="15"/>
  <c r="AK144" i="15" s="1"/>
  <c r="AJ143" i="15"/>
  <c r="AJ144" i="15" s="1"/>
  <c r="AI143" i="15"/>
  <c r="AI144" i="15" s="1"/>
  <c r="AH143" i="15"/>
  <c r="AH144" i="15" s="1"/>
  <c r="AG143" i="15"/>
  <c r="AG144" i="15" s="1"/>
  <c r="AF143" i="15"/>
  <c r="AF144" i="15" s="1"/>
  <c r="O143" i="15"/>
  <c r="Q143" i="15" s="1"/>
  <c r="N143" i="15"/>
  <c r="P143" i="15" s="1"/>
  <c r="Q142" i="15"/>
  <c r="P142" i="15"/>
  <c r="AK141" i="15"/>
  <c r="AJ141" i="15"/>
  <c r="AI141" i="15"/>
  <c r="AH141" i="15"/>
  <c r="AG141" i="15"/>
  <c r="AF141" i="15"/>
  <c r="AE141" i="15"/>
  <c r="AD141" i="15"/>
  <c r="AC141" i="15"/>
  <c r="AB141" i="15"/>
  <c r="Z141" i="15"/>
  <c r="M141" i="15"/>
  <c r="L141" i="15"/>
  <c r="K141" i="15"/>
  <c r="J141" i="15"/>
  <c r="I141" i="15"/>
  <c r="H141" i="15"/>
  <c r="O140" i="15"/>
  <c r="Q140" i="15" s="1"/>
  <c r="N140" i="15"/>
  <c r="P140" i="15" s="1"/>
  <c r="O139" i="15"/>
  <c r="Q139" i="15" s="1"/>
  <c r="N139" i="15"/>
  <c r="P139" i="15" s="1"/>
  <c r="O138" i="15"/>
  <c r="Q138" i="15" s="1"/>
  <c r="N138" i="15"/>
  <c r="P138" i="15" s="1"/>
  <c r="O137" i="15"/>
  <c r="Q137" i="15" s="1"/>
  <c r="N137" i="15"/>
  <c r="P137" i="15" s="1"/>
  <c r="Q136" i="15"/>
  <c r="P136" i="15"/>
  <c r="AK135" i="15"/>
  <c r="AJ135" i="15"/>
  <c r="AI135" i="15"/>
  <c r="AH135" i="15"/>
  <c r="AG135" i="15"/>
  <c r="AF135" i="15"/>
  <c r="AE135" i="15"/>
  <c r="AD135" i="15"/>
  <c r="AC135" i="15"/>
  <c r="AB135" i="15"/>
  <c r="Z135" i="15"/>
  <c r="M135" i="15"/>
  <c r="L135" i="15"/>
  <c r="K135" i="15"/>
  <c r="J135" i="15"/>
  <c r="I135" i="15"/>
  <c r="H135" i="15"/>
  <c r="N135" i="15" s="1"/>
  <c r="P135" i="15" s="1"/>
  <c r="O134" i="15"/>
  <c r="Q134" i="15" s="1"/>
  <c r="N134" i="15"/>
  <c r="P134" i="15" s="1"/>
  <c r="O133" i="15"/>
  <c r="Q133" i="15" s="1"/>
  <c r="N133" i="15"/>
  <c r="P133" i="15" s="1"/>
  <c r="O132" i="15"/>
  <c r="Q132" i="15" s="1"/>
  <c r="N132" i="15"/>
  <c r="P132" i="15" s="1"/>
  <c r="Q131" i="15"/>
  <c r="P131" i="15"/>
  <c r="AK130" i="15"/>
  <c r="AJ130" i="15"/>
  <c r="AI130" i="15"/>
  <c r="AH130" i="15"/>
  <c r="AG130" i="15"/>
  <c r="AF130" i="15"/>
  <c r="AE130" i="15"/>
  <c r="AD130" i="15"/>
  <c r="AC130" i="15"/>
  <c r="AB130" i="15"/>
  <c r="Z130" i="15"/>
  <c r="M130" i="15"/>
  <c r="L130" i="15"/>
  <c r="K130" i="15"/>
  <c r="J130" i="15"/>
  <c r="I130" i="15"/>
  <c r="O130" i="15" s="1"/>
  <c r="Q130" i="15" s="1"/>
  <c r="H130" i="15"/>
  <c r="O129" i="15"/>
  <c r="Q129" i="15" s="1"/>
  <c r="N129" i="15"/>
  <c r="P129" i="15" s="1"/>
  <c r="O128" i="15"/>
  <c r="Q128" i="15" s="1"/>
  <c r="N128" i="15"/>
  <c r="P128" i="15" s="1"/>
  <c r="O127" i="15"/>
  <c r="Q127" i="15" s="1"/>
  <c r="N127" i="15"/>
  <c r="P127" i="15" s="1"/>
  <c r="O126" i="15"/>
  <c r="Q126" i="15" s="1"/>
  <c r="N126" i="15"/>
  <c r="P126" i="15" s="1"/>
  <c r="Q125" i="15"/>
  <c r="P125" i="15"/>
  <c r="AK124" i="15"/>
  <c r="AJ124" i="15"/>
  <c r="AI124" i="15"/>
  <c r="AH124" i="15"/>
  <c r="AG124" i="15"/>
  <c r="AF124" i="15"/>
  <c r="AE124" i="15"/>
  <c r="AD124" i="15"/>
  <c r="AC124" i="15"/>
  <c r="AB124" i="15"/>
  <c r="Z124" i="15"/>
  <c r="M124" i="15"/>
  <c r="L124" i="15"/>
  <c r="K124" i="15"/>
  <c r="J124" i="15"/>
  <c r="I124" i="15"/>
  <c r="H124" i="15"/>
  <c r="O123" i="15"/>
  <c r="Q123" i="15" s="1"/>
  <c r="N123" i="15"/>
  <c r="P123" i="15" s="1"/>
  <c r="O122" i="15"/>
  <c r="Q122" i="15" s="1"/>
  <c r="N122" i="15"/>
  <c r="P122" i="15" s="1"/>
  <c r="O121" i="15"/>
  <c r="Q121" i="15" s="1"/>
  <c r="N121" i="15"/>
  <c r="P121" i="15" s="1"/>
  <c r="O120" i="15"/>
  <c r="Q120" i="15" s="1"/>
  <c r="N120" i="15"/>
  <c r="P120" i="15" s="1"/>
  <c r="O119" i="15"/>
  <c r="Q119" i="15" s="1"/>
  <c r="N119" i="15"/>
  <c r="P119" i="15" s="1"/>
  <c r="Q118" i="15"/>
  <c r="P118" i="15"/>
  <c r="Q117" i="15"/>
  <c r="P117" i="15"/>
  <c r="M115" i="15"/>
  <c r="L115" i="15"/>
  <c r="K115" i="15"/>
  <c r="J115" i="15"/>
  <c r="I115" i="15"/>
  <c r="H115" i="15"/>
  <c r="N115" i="15" s="1"/>
  <c r="P115" i="15" s="1"/>
  <c r="Q114" i="15"/>
  <c r="P114" i="15"/>
  <c r="O114" i="15"/>
  <c r="N114" i="15"/>
  <c r="O113" i="15"/>
  <c r="Q113" i="15" s="1"/>
  <c r="N113" i="15"/>
  <c r="P113" i="15" s="1"/>
  <c r="Q112" i="15"/>
  <c r="P112" i="15"/>
  <c r="AK111" i="15"/>
  <c r="AJ111" i="15"/>
  <c r="AI111" i="15"/>
  <c r="AH111" i="15"/>
  <c r="AG111" i="15"/>
  <c r="AF111" i="15"/>
  <c r="AE111" i="15"/>
  <c r="AD111" i="15"/>
  <c r="AC111" i="15"/>
  <c r="AB111" i="15"/>
  <c r="Z111" i="15"/>
  <c r="M111" i="15"/>
  <c r="L111" i="15"/>
  <c r="K111" i="15"/>
  <c r="J111" i="15"/>
  <c r="I111" i="15"/>
  <c r="H111" i="15"/>
  <c r="N111" i="15" s="1"/>
  <c r="P111" i="15" s="1"/>
  <c r="O110" i="15"/>
  <c r="Q110" i="15" s="1"/>
  <c r="N110" i="15"/>
  <c r="P110" i="15" s="1"/>
  <c r="P109" i="15"/>
  <c r="O109" i="15"/>
  <c r="Q109" i="15" s="1"/>
  <c r="N109" i="15"/>
  <c r="O108" i="15"/>
  <c r="Q108" i="15" s="1"/>
  <c r="N108" i="15"/>
  <c r="P108" i="15" s="1"/>
  <c r="Q107" i="15"/>
  <c r="P107" i="15"/>
  <c r="O107" i="15"/>
  <c r="N107" i="15"/>
  <c r="O106" i="15"/>
  <c r="Q106" i="15" s="1"/>
  <c r="N106" i="15"/>
  <c r="P106" i="15" s="1"/>
  <c r="O105" i="15"/>
  <c r="Q105" i="15" s="1"/>
  <c r="N105" i="15"/>
  <c r="P105" i="15" s="1"/>
  <c r="P104" i="15"/>
  <c r="O104" i="15"/>
  <c r="Q104" i="15" s="1"/>
  <c r="N104" i="15"/>
  <c r="Q103" i="15"/>
  <c r="P103" i="15"/>
  <c r="AK102" i="15"/>
  <c r="AJ102" i="15"/>
  <c r="AI102" i="15"/>
  <c r="AH102" i="15"/>
  <c r="AG102" i="15"/>
  <c r="AF102" i="15"/>
  <c r="AE102" i="15"/>
  <c r="AD102" i="15"/>
  <c r="AC102" i="15"/>
  <c r="AB102" i="15"/>
  <c r="Z102" i="15"/>
  <c r="M102" i="15"/>
  <c r="L102" i="15"/>
  <c r="K102" i="15"/>
  <c r="J102" i="15"/>
  <c r="N102" i="15" s="1"/>
  <c r="P102" i="15" s="1"/>
  <c r="I102" i="15"/>
  <c r="H102" i="15"/>
  <c r="O100" i="15"/>
  <c r="Q100" i="15" s="1"/>
  <c r="N100" i="15"/>
  <c r="P100" i="15" s="1"/>
  <c r="Q99" i="15"/>
  <c r="P99" i="15"/>
  <c r="O99" i="15"/>
  <c r="N99" i="15"/>
  <c r="O98" i="15"/>
  <c r="Q98" i="15" s="1"/>
  <c r="N98" i="15"/>
  <c r="P98" i="15" s="1"/>
  <c r="O97" i="15"/>
  <c r="Q97" i="15" s="1"/>
  <c r="N97" i="15"/>
  <c r="P97" i="15" s="1"/>
  <c r="Q96" i="15"/>
  <c r="O96" i="15"/>
  <c r="N96" i="15"/>
  <c r="P96" i="15" s="1"/>
  <c r="P95" i="15"/>
  <c r="O95" i="15"/>
  <c r="Q95" i="15" s="1"/>
  <c r="N95" i="15"/>
  <c r="O94" i="15"/>
  <c r="Q94" i="15" s="1"/>
  <c r="N94" i="15"/>
  <c r="P94" i="15" s="1"/>
  <c r="Q93" i="15"/>
  <c r="P93" i="15"/>
  <c r="O93" i="15"/>
  <c r="N93" i="15"/>
  <c r="O92" i="15"/>
  <c r="Q92" i="15" s="1"/>
  <c r="N92" i="15"/>
  <c r="P92" i="15" s="1"/>
  <c r="AK90" i="15"/>
  <c r="AJ90" i="15"/>
  <c r="AI90" i="15"/>
  <c r="AH90" i="15"/>
  <c r="AG90" i="15"/>
  <c r="AF90" i="15"/>
  <c r="AE90" i="15"/>
  <c r="AD90" i="15"/>
  <c r="AC90" i="15"/>
  <c r="AB90" i="15"/>
  <c r="Z90" i="15"/>
  <c r="N90" i="15"/>
  <c r="P90" i="15" s="1"/>
  <c r="M90" i="15"/>
  <c r="L90" i="15"/>
  <c r="K90" i="15"/>
  <c r="J90" i="15"/>
  <c r="I90" i="15"/>
  <c r="H90" i="15"/>
  <c r="Q89" i="15"/>
  <c r="P89" i="15"/>
  <c r="O89" i="15"/>
  <c r="N89" i="15"/>
  <c r="O88" i="15"/>
  <c r="Q88" i="15" s="1"/>
  <c r="N88" i="15"/>
  <c r="P88" i="15" s="1"/>
  <c r="Q87" i="15"/>
  <c r="O87" i="15"/>
  <c r="N87" i="15"/>
  <c r="P87" i="15" s="1"/>
  <c r="P86" i="15"/>
  <c r="O86" i="15"/>
  <c r="Q86" i="15" s="1"/>
  <c r="N86" i="15"/>
  <c r="AK84" i="15"/>
  <c r="AJ84" i="15"/>
  <c r="AI84" i="15"/>
  <c r="AH84" i="15"/>
  <c r="AG84" i="15"/>
  <c r="AF84" i="15"/>
  <c r="AE84" i="15"/>
  <c r="AD84" i="15"/>
  <c r="AC84" i="15"/>
  <c r="AB84" i="15"/>
  <c r="Z84" i="15"/>
  <c r="M84" i="15"/>
  <c r="L84" i="15"/>
  <c r="K84" i="15"/>
  <c r="J84" i="15"/>
  <c r="N84" i="15" s="1"/>
  <c r="P84" i="15" s="1"/>
  <c r="I84" i="15"/>
  <c r="O84" i="15" s="1"/>
  <c r="Q84" i="15" s="1"/>
  <c r="H84" i="15"/>
  <c r="O83" i="15"/>
  <c r="Q83" i="15" s="1"/>
  <c r="N83" i="15"/>
  <c r="P83" i="15" s="1"/>
  <c r="Q82" i="15"/>
  <c r="P82" i="15"/>
  <c r="O82" i="15"/>
  <c r="N82" i="15"/>
  <c r="Q81" i="15"/>
  <c r="P81" i="15"/>
  <c r="P80" i="15"/>
  <c r="O80" i="15"/>
  <c r="Q80" i="15" s="1"/>
  <c r="N80" i="15"/>
  <c r="O79" i="15"/>
  <c r="Q79" i="15" s="1"/>
  <c r="N79" i="15"/>
  <c r="P79" i="15" s="1"/>
  <c r="Q78" i="15"/>
  <c r="P78" i="15"/>
  <c r="O78" i="15"/>
  <c r="N78" i="15"/>
  <c r="O77" i="15"/>
  <c r="Q77" i="15" s="1"/>
  <c r="N77" i="15"/>
  <c r="P77" i="15" s="1"/>
  <c r="O76" i="15"/>
  <c r="Q76" i="15" s="1"/>
  <c r="N76" i="15"/>
  <c r="P76" i="15" s="1"/>
  <c r="O75" i="15"/>
  <c r="Q75" i="15" s="1"/>
  <c r="N75" i="15"/>
  <c r="P75" i="15" s="1"/>
  <c r="P74" i="15"/>
  <c r="O74" i="15"/>
  <c r="Q74" i="15" s="1"/>
  <c r="N74" i="15"/>
  <c r="O73" i="15"/>
  <c r="Q73" i="15" s="1"/>
  <c r="N73" i="15"/>
  <c r="P73" i="15" s="1"/>
  <c r="AK71" i="15"/>
  <c r="AJ71" i="15"/>
  <c r="AI71" i="15"/>
  <c r="AH71" i="15"/>
  <c r="AG71" i="15"/>
  <c r="AF71" i="15"/>
  <c r="AE71" i="15"/>
  <c r="AD71" i="15"/>
  <c r="AC71" i="15"/>
  <c r="AB71" i="15"/>
  <c r="Z71" i="15"/>
  <c r="M71" i="15"/>
  <c r="L71" i="15"/>
  <c r="K71" i="15"/>
  <c r="O71" i="15" s="1"/>
  <c r="Q71" i="15" s="1"/>
  <c r="J71" i="15"/>
  <c r="I71" i="15"/>
  <c r="H71" i="15"/>
  <c r="O70" i="15"/>
  <c r="Q70" i="15" s="1"/>
  <c r="N70" i="15"/>
  <c r="P70" i="15" s="1"/>
  <c r="O69" i="15"/>
  <c r="Q69" i="15" s="1"/>
  <c r="N69" i="15"/>
  <c r="P69" i="15" s="1"/>
  <c r="P68" i="15"/>
  <c r="O68" i="15"/>
  <c r="Q68" i="15" s="1"/>
  <c r="N68" i="15"/>
  <c r="O67" i="15"/>
  <c r="Q67" i="15" s="1"/>
  <c r="N67" i="15"/>
  <c r="P67" i="15" s="1"/>
  <c r="Q66" i="15"/>
  <c r="O66" i="15"/>
  <c r="N66" i="15"/>
  <c r="P66" i="15" s="1"/>
  <c r="O65" i="15"/>
  <c r="Q65" i="15" s="1"/>
  <c r="N65" i="15"/>
  <c r="P65" i="15" s="1"/>
  <c r="P63" i="15"/>
  <c r="O63" i="15"/>
  <c r="Q63" i="15" s="1"/>
  <c r="N63" i="15"/>
  <c r="AK62" i="15"/>
  <c r="AJ62" i="15"/>
  <c r="AI62" i="15"/>
  <c r="AH62" i="15"/>
  <c r="AG62" i="15"/>
  <c r="AF62" i="15"/>
  <c r="AE62" i="15"/>
  <c r="AD62" i="15"/>
  <c r="AC62" i="15"/>
  <c r="AB62" i="15"/>
  <c r="Z62" i="15"/>
  <c r="M62" i="15"/>
  <c r="L62" i="15"/>
  <c r="K62" i="15"/>
  <c r="J62" i="15"/>
  <c r="I62" i="15"/>
  <c r="H62" i="15"/>
  <c r="O61" i="15"/>
  <c r="Q61" i="15" s="1"/>
  <c r="N61" i="15"/>
  <c r="P61" i="15" s="1"/>
  <c r="O60" i="15"/>
  <c r="Q60" i="15" s="1"/>
  <c r="N60" i="15"/>
  <c r="P60" i="15" s="1"/>
  <c r="Q59" i="15"/>
  <c r="O59" i="15"/>
  <c r="N59" i="15"/>
  <c r="P59" i="15" s="1"/>
  <c r="Q58" i="15"/>
  <c r="P58" i="15"/>
  <c r="O58" i="15"/>
  <c r="N58" i="15"/>
  <c r="O57" i="15"/>
  <c r="Q57" i="15" s="1"/>
  <c r="N57" i="15"/>
  <c r="P57" i="15" s="1"/>
  <c r="Q56" i="15"/>
  <c r="O56" i="15"/>
  <c r="N56" i="15"/>
  <c r="P56" i="15" s="1"/>
  <c r="O55" i="15"/>
  <c r="Q55" i="15" s="1"/>
  <c r="N55" i="15"/>
  <c r="P55" i="15" s="1"/>
  <c r="O54" i="15"/>
  <c r="Q54" i="15" s="1"/>
  <c r="N54" i="15"/>
  <c r="P54" i="15" s="1"/>
  <c r="Q53" i="15"/>
  <c r="O53" i="15"/>
  <c r="N53" i="15"/>
  <c r="P53" i="15" s="1"/>
  <c r="Q52" i="15"/>
  <c r="P52" i="15"/>
  <c r="O52" i="15"/>
  <c r="N52" i="15"/>
  <c r="O51" i="15"/>
  <c r="Q51" i="15" s="1"/>
  <c r="N51" i="15"/>
  <c r="P51" i="15" s="1"/>
  <c r="Q50" i="15"/>
  <c r="O50" i="15"/>
  <c r="N50" i="15"/>
  <c r="P50" i="15" s="1"/>
  <c r="O49" i="15"/>
  <c r="Q49" i="15" s="1"/>
  <c r="N49" i="15"/>
  <c r="P49" i="15" s="1"/>
  <c r="O48" i="15"/>
  <c r="Q48" i="15" s="1"/>
  <c r="N48" i="15"/>
  <c r="P48" i="15" s="1"/>
  <c r="Q47" i="15"/>
  <c r="O47" i="15"/>
  <c r="N47" i="15"/>
  <c r="P47" i="15" s="1"/>
  <c r="AK45" i="15"/>
  <c r="AJ45" i="15"/>
  <c r="AI45" i="15"/>
  <c r="AH45" i="15"/>
  <c r="AG45" i="15"/>
  <c r="AF45" i="15"/>
  <c r="AE45" i="15"/>
  <c r="AD45" i="15"/>
  <c r="AC45" i="15"/>
  <c r="AB45" i="15"/>
  <c r="Z45" i="15"/>
  <c r="M45" i="15"/>
  <c r="L45" i="15"/>
  <c r="K45" i="15"/>
  <c r="O45" i="15" s="1"/>
  <c r="Q45" i="15" s="1"/>
  <c r="J45" i="15"/>
  <c r="I45" i="15"/>
  <c r="H45" i="15"/>
  <c r="O44" i="15"/>
  <c r="Q44" i="15" s="1"/>
  <c r="N44" i="15"/>
  <c r="P44" i="15" s="1"/>
  <c r="Q43" i="15"/>
  <c r="O43" i="15"/>
  <c r="N43" i="15"/>
  <c r="P43" i="15" s="1"/>
  <c r="O42" i="15"/>
  <c r="Q42" i="15" s="1"/>
  <c r="N42" i="15"/>
  <c r="P42" i="15" s="1"/>
  <c r="O41" i="15"/>
  <c r="Q41" i="15" s="1"/>
  <c r="N41" i="15"/>
  <c r="P41" i="15" s="1"/>
  <c r="AK39" i="15"/>
  <c r="AJ39" i="15"/>
  <c r="AI39" i="15"/>
  <c r="AH39" i="15"/>
  <c r="AG39" i="15"/>
  <c r="AF39" i="15"/>
  <c r="AE39" i="15"/>
  <c r="AD39" i="15"/>
  <c r="AC39" i="15"/>
  <c r="AB39" i="15"/>
  <c r="Z39" i="15"/>
  <c r="M39" i="15"/>
  <c r="L39" i="15"/>
  <c r="K39" i="15"/>
  <c r="J39" i="15"/>
  <c r="N39" i="15" s="1"/>
  <c r="P39" i="15" s="1"/>
  <c r="I39" i="15"/>
  <c r="O39" i="15" s="1"/>
  <c r="Q39" i="15" s="1"/>
  <c r="H39" i="15"/>
  <c r="O38" i="15"/>
  <c r="Q38" i="15" s="1"/>
  <c r="N38" i="15"/>
  <c r="P38" i="15" s="1"/>
  <c r="O37" i="15"/>
  <c r="Q37" i="15" s="1"/>
  <c r="N37" i="15"/>
  <c r="P37" i="15" s="1"/>
  <c r="Q36" i="15"/>
  <c r="N36" i="15"/>
  <c r="P36" i="15" s="1"/>
  <c r="O35" i="15"/>
  <c r="Q35" i="15" s="1"/>
  <c r="N35" i="15"/>
  <c r="P35" i="15" s="1"/>
  <c r="Q34" i="15"/>
  <c r="P34" i="15"/>
  <c r="O34" i="15"/>
  <c r="N34" i="15"/>
  <c r="O33" i="15"/>
  <c r="Q33" i="15" s="1"/>
  <c r="N33" i="15"/>
  <c r="P33" i="15" s="1"/>
  <c r="O32" i="15"/>
  <c r="Q32" i="15" s="1"/>
  <c r="N32" i="15"/>
  <c r="P32" i="15" s="1"/>
  <c r="O31" i="15"/>
  <c r="Q31" i="15" s="1"/>
  <c r="N31" i="15"/>
  <c r="P31" i="15" s="1"/>
  <c r="O30" i="15"/>
  <c r="Q30" i="15" s="1"/>
  <c r="N30" i="15"/>
  <c r="P30" i="15" s="1"/>
  <c r="O29" i="15"/>
  <c r="Q29" i="15" s="1"/>
  <c r="N29" i="15"/>
  <c r="P29" i="15" s="1"/>
  <c r="O28" i="15"/>
  <c r="Q28" i="15" s="1"/>
  <c r="N28" i="15"/>
  <c r="P28" i="15" s="1"/>
  <c r="O27" i="15"/>
  <c r="Q27" i="15" s="1"/>
  <c r="N27" i="15"/>
  <c r="P27" i="15" s="1"/>
  <c r="O26" i="15"/>
  <c r="Q26" i="15" s="1"/>
  <c r="N26" i="15"/>
  <c r="P26" i="15" s="1"/>
  <c r="Q25" i="15"/>
  <c r="P25" i="15"/>
  <c r="O25" i="15"/>
  <c r="N25" i="15"/>
  <c r="O24" i="15"/>
  <c r="Q24" i="15" s="1"/>
  <c r="N24" i="15"/>
  <c r="P24" i="15" s="1"/>
  <c r="O23" i="15"/>
  <c r="Q23" i="15" s="1"/>
  <c r="N23" i="15"/>
  <c r="P23" i="15" s="1"/>
  <c r="O22" i="15"/>
  <c r="Q22" i="15" s="1"/>
  <c r="N22" i="15"/>
  <c r="P22" i="15" s="1"/>
  <c r="O21" i="15"/>
  <c r="Q21" i="15" s="1"/>
  <c r="N21" i="15"/>
  <c r="P21" i="15" s="1"/>
  <c r="O20" i="15"/>
  <c r="Q20" i="15" s="1"/>
  <c r="N20" i="15"/>
  <c r="P20" i="15" s="1"/>
  <c r="O19" i="15"/>
  <c r="Q19" i="15" s="1"/>
  <c r="N19" i="15"/>
  <c r="P19" i="15" s="1"/>
  <c r="O18" i="15"/>
  <c r="Q18" i="15" s="1"/>
  <c r="N18" i="15"/>
  <c r="P18" i="15" s="1"/>
  <c r="O17" i="15"/>
  <c r="Q17" i="15" s="1"/>
  <c r="N17" i="15"/>
  <c r="P17" i="15" s="1"/>
  <c r="AK15" i="15"/>
  <c r="AJ15" i="15"/>
  <c r="AJ116" i="15" s="1"/>
  <c r="AI15" i="15"/>
  <c r="AH15" i="15"/>
  <c r="AG15" i="15"/>
  <c r="AF15" i="15"/>
  <c r="AF116" i="15" s="1"/>
  <c r="AE15" i="15"/>
  <c r="AE116" i="15" s="1"/>
  <c r="AD15" i="15"/>
  <c r="AC15" i="15"/>
  <c r="AC116" i="15" s="1"/>
  <c r="AB15" i="15"/>
  <c r="Z15" i="15"/>
  <c r="M15" i="15"/>
  <c r="L15" i="15"/>
  <c r="K15" i="15"/>
  <c r="J15" i="15"/>
  <c r="J116" i="15" s="1"/>
  <c r="I15" i="15"/>
  <c r="H15" i="15"/>
  <c r="H116" i="15" s="1"/>
  <c r="O14" i="15"/>
  <c r="Q14" i="15" s="1"/>
  <c r="N14" i="15"/>
  <c r="P14" i="15" s="1"/>
  <c r="Q13" i="15"/>
  <c r="O13" i="15"/>
  <c r="N13" i="15"/>
  <c r="P13" i="15" s="1"/>
  <c r="P12" i="15"/>
  <c r="O12" i="15"/>
  <c r="Q12" i="15" s="1"/>
  <c r="N12" i="15"/>
  <c r="O11" i="15"/>
  <c r="Q11" i="15" s="1"/>
  <c r="N11" i="15"/>
  <c r="P11" i="15" s="1"/>
  <c r="O10" i="15"/>
  <c r="Q10" i="15" s="1"/>
  <c r="N10" i="15"/>
  <c r="P10" i="15" s="1"/>
  <c r="AP177" i="13"/>
  <c r="AP6" i="13" s="1"/>
  <c r="AP178" i="13"/>
  <c r="AP179" i="13"/>
  <c r="AP180" i="13"/>
  <c r="AP181" i="13"/>
  <c r="AN182" i="13"/>
  <c r="AN183" i="13"/>
  <c r="AP183" i="13"/>
  <c r="AN184" i="13"/>
  <c r="AN185" i="13"/>
  <c r="AP188" i="13"/>
  <c r="AP189" i="13"/>
  <c r="D71" i="14"/>
  <c r="B72" i="14" s="1"/>
  <c r="D69" i="14"/>
  <c r="B70" i="14" s="1"/>
  <c r="B73" i="14" s="1"/>
  <c r="D67" i="14"/>
  <c r="D66" i="14"/>
  <c r="D65" i="14"/>
  <c r="D68" i="14" s="1"/>
  <c r="B71" i="14" s="1"/>
  <c r="AK500" i="13"/>
  <c r="AK384" i="13"/>
  <c r="N144" i="15" l="1"/>
  <c r="P144" i="15" s="1"/>
  <c r="N151" i="15"/>
  <c r="P151" i="15" s="1"/>
  <c r="L170" i="15"/>
  <c r="AE170" i="15"/>
  <c r="N141" i="15"/>
  <c r="P141" i="15" s="1"/>
  <c r="O151" i="15"/>
  <c r="Q151" i="15" s="1"/>
  <c r="AM170" i="15"/>
  <c r="AB170" i="15"/>
  <c r="N164" i="15"/>
  <c r="P164" i="15" s="1"/>
  <c r="AM363" i="15"/>
  <c r="AM364" i="15" s="1"/>
  <c r="AQ188" i="15"/>
  <c r="AQ189" i="15" s="1"/>
  <c r="AO183" i="15"/>
  <c r="Z116" i="15"/>
  <c r="N45" i="15"/>
  <c r="P45" i="15" s="1"/>
  <c r="AF170" i="15"/>
  <c r="AJ170" i="15"/>
  <c r="AO185" i="15"/>
  <c r="AM172" i="15" s="1"/>
  <c r="AM182" i="15" s="1"/>
  <c r="AM183" i="15" s="1"/>
  <c r="AM220" i="15" s="1"/>
  <c r="AI198" i="15"/>
  <c r="AF363" i="15"/>
  <c r="AD428" i="15"/>
  <c r="I489" i="15"/>
  <c r="AC488" i="15"/>
  <c r="AH520" i="15"/>
  <c r="N578" i="15"/>
  <c r="P578" i="15" s="1"/>
  <c r="H489" i="15"/>
  <c r="N489" i="15" s="1"/>
  <c r="P489" i="15" s="1"/>
  <c r="H170" i="15"/>
  <c r="H183" i="15" s="1"/>
  <c r="AG170" i="15"/>
  <c r="AG183" i="15" s="1"/>
  <c r="AG220" i="15" s="1"/>
  <c r="O141" i="15"/>
  <c r="Q141" i="15" s="1"/>
  <c r="O201" i="15"/>
  <c r="Q201" i="15" s="1"/>
  <c r="AG219" i="15"/>
  <c r="N288" i="15"/>
  <c r="P288" i="15" s="1"/>
  <c r="J489" i="15"/>
  <c r="N479" i="15"/>
  <c r="P479" i="15" s="1"/>
  <c r="AD488" i="15"/>
  <c r="H550" i="15"/>
  <c r="N565" i="15"/>
  <c r="P565" i="15" s="1"/>
  <c r="AQ6" i="15"/>
  <c r="AB116" i="15"/>
  <c r="AB183" i="15" s="1"/>
  <c r="AB220" i="15" s="1"/>
  <c r="AB495" i="15" s="1"/>
  <c r="AB550" i="15" s="1"/>
  <c r="O111" i="15"/>
  <c r="Q111" i="15" s="1"/>
  <c r="O115" i="15"/>
  <c r="Q115" i="15" s="1"/>
  <c r="I170" i="15"/>
  <c r="O135" i="15"/>
  <c r="Q135" i="15" s="1"/>
  <c r="O144" i="15"/>
  <c r="Q144" i="15" s="1"/>
  <c r="O215" i="15"/>
  <c r="Q215" i="15" s="1"/>
  <c r="H333" i="15"/>
  <c r="AE333" i="15"/>
  <c r="AE364" i="15" s="1"/>
  <c r="O288" i="15"/>
  <c r="Q288" i="15" s="1"/>
  <c r="O342" i="15"/>
  <c r="Q342" i="15" s="1"/>
  <c r="AH363" i="15"/>
  <c r="O361" i="15"/>
  <c r="Q361" i="15" s="1"/>
  <c r="N371" i="15"/>
  <c r="P371" i="15" s="1"/>
  <c r="H455" i="15"/>
  <c r="N455" i="15" s="1"/>
  <c r="P455" i="15" s="1"/>
  <c r="AJ520" i="15"/>
  <c r="O520" i="15"/>
  <c r="Q520" i="15" s="1"/>
  <c r="I571" i="15"/>
  <c r="N62" i="15"/>
  <c r="P62" i="15" s="1"/>
  <c r="O102" i="15"/>
  <c r="Q102" i="15" s="1"/>
  <c r="J170" i="15"/>
  <c r="AI170" i="15"/>
  <c r="N156" i="15"/>
  <c r="P156" i="15" s="1"/>
  <c r="O159" i="15"/>
  <c r="Q159" i="15" s="1"/>
  <c r="AK182" i="15"/>
  <c r="AF198" i="15"/>
  <c r="N215" i="15"/>
  <c r="P215" i="15" s="1"/>
  <c r="N319" i="15"/>
  <c r="P319" i="15" s="1"/>
  <c r="AI363" i="15"/>
  <c r="O371" i="15"/>
  <c r="Q371" i="15" s="1"/>
  <c r="AI376" i="15"/>
  <c r="L489" i="15"/>
  <c r="I455" i="15"/>
  <c r="AF488" i="15"/>
  <c r="J571" i="15"/>
  <c r="J581" i="15" s="1"/>
  <c r="K170" i="15"/>
  <c r="J333" i="15"/>
  <c r="J364" i="15" s="1"/>
  <c r="J554" i="15" s="1"/>
  <c r="AJ363" i="15"/>
  <c r="K363" i="15"/>
  <c r="AC479" i="15"/>
  <c r="AB198" i="15"/>
  <c r="AN216" i="15"/>
  <c r="AK219" i="15"/>
  <c r="N441" i="15"/>
  <c r="P441" i="15" s="1"/>
  <c r="AH488" i="15"/>
  <c r="O570" i="15"/>
  <c r="Q570" i="15" s="1"/>
  <c r="AG116" i="15"/>
  <c r="O62" i="15"/>
  <c r="Q62" i="15" s="1"/>
  <c r="M170" i="15"/>
  <c r="N159" i="15"/>
  <c r="P159" i="15" s="1"/>
  <c r="O182" i="15"/>
  <c r="Q182" i="15" s="1"/>
  <c r="AC198" i="15"/>
  <c r="N207" i="15"/>
  <c r="P207" i="15" s="1"/>
  <c r="AI333" i="15"/>
  <c r="AI364" i="15" s="1"/>
  <c r="L428" i="15"/>
  <c r="O441" i="15"/>
  <c r="Q441" i="15" s="1"/>
  <c r="O549" i="15"/>
  <c r="Q549" i="15" s="1"/>
  <c r="M571" i="15"/>
  <c r="M581" i="15" s="1"/>
  <c r="I116" i="15"/>
  <c r="O116" i="15" s="1"/>
  <c r="Q116" i="15" s="1"/>
  <c r="AH116" i="15"/>
  <c r="AH183" i="15" s="1"/>
  <c r="AH220" i="15" s="1"/>
  <c r="Z170" i="15"/>
  <c r="AD198" i="15"/>
  <c r="O207" i="15"/>
  <c r="Q207" i="15" s="1"/>
  <c r="M333" i="15"/>
  <c r="M364" i="15" s="1"/>
  <c r="AJ333" i="15"/>
  <c r="Z489" i="15"/>
  <c r="AH469" i="15"/>
  <c r="AJ488" i="15"/>
  <c r="AK488" i="15"/>
  <c r="Z550" i="15"/>
  <c r="AD116" i="15"/>
  <c r="N15" i="15"/>
  <c r="P15" i="15" s="1"/>
  <c r="AI116" i="15"/>
  <c r="N168" i="15"/>
  <c r="P168" i="15" s="1"/>
  <c r="N218" i="15"/>
  <c r="P218" i="15" s="1"/>
  <c r="N234" i="15"/>
  <c r="P234" i="15" s="1"/>
  <c r="O257" i="15"/>
  <c r="Q257" i="15" s="1"/>
  <c r="N328" i="15"/>
  <c r="P328" i="15" s="1"/>
  <c r="I363" i="15"/>
  <c r="O363" i="15" s="1"/>
  <c r="Q363" i="15" s="1"/>
  <c r="AH428" i="15"/>
  <c r="AI469" i="15"/>
  <c r="K116" i="15"/>
  <c r="N71" i="15"/>
  <c r="P71" i="15" s="1"/>
  <c r="AC170" i="15"/>
  <c r="AC183" i="15" s="1"/>
  <c r="AC220" i="15" s="1"/>
  <c r="N130" i="15"/>
  <c r="P130" i="15" s="1"/>
  <c r="O168" i="15"/>
  <c r="Q168" i="15" s="1"/>
  <c r="O191" i="15"/>
  <c r="Q191" i="15" s="1"/>
  <c r="N257" i="15"/>
  <c r="P257" i="15" s="1"/>
  <c r="O307" i="15"/>
  <c r="Q307" i="15" s="1"/>
  <c r="N376" i="15"/>
  <c r="P376" i="15" s="1"/>
  <c r="L550" i="15"/>
  <c r="L116" i="15"/>
  <c r="AK116" i="15"/>
  <c r="M116" i="15"/>
  <c r="AD170" i="15"/>
  <c r="AJ428" i="15"/>
  <c r="O550" i="15"/>
  <c r="Q550" i="15" s="1"/>
  <c r="AH170" i="15"/>
  <c r="AF183" i="15"/>
  <c r="AF220" i="15" s="1"/>
  <c r="AK170" i="15"/>
  <c r="J183" i="15"/>
  <c r="AI183" i="15"/>
  <c r="AI220" i="15" s="1"/>
  <c r="AE183" i="15"/>
  <c r="AE220" i="15" s="1"/>
  <c r="AJ183" i="15"/>
  <c r="AJ220" i="15" s="1"/>
  <c r="O90" i="15"/>
  <c r="Q90" i="15" s="1"/>
  <c r="AK333" i="15"/>
  <c r="AK364" i="15" s="1"/>
  <c r="N124" i="15"/>
  <c r="P124" i="15" s="1"/>
  <c r="I428" i="15"/>
  <c r="O428" i="15" s="1"/>
  <c r="Q428" i="15" s="1"/>
  <c r="O423" i="15"/>
  <c r="Q423" i="15" s="1"/>
  <c r="AK428" i="15"/>
  <c r="K489" i="15"/>
  <c r="N405" i="15"/>
  <c r="P405" i="15" s="1"/>
  <c r="H423" i="15"/>
  <c r="O124" i="15"/>
  <c r="Q124" i="15" s="1"/>
  <c r="Z333" i="15"/>
  <c r="Z364" i="15" s="1"/>
  <c r="N307" i="15"/>
  <c r="P307" i="15" s="1"/>
  <c r="O455" i="15"/>
  <c r="Q455" i="15" s="1"/>
  <c r="N550" i="15"/>
  <c r="P550" i="15" s="1"/>
  <c r="O580" i="15"/>
  <c r="Q580" i="15" s="1"/>
  <c r="I219" i="15"/>
  <c r="O219" i="15" s="1"/>
  <c r="Q219" i="15" s="1"/>
  <c r="AB333" i="15"/>
  <c r="AB364" i="15" s="1"/>
  <c r="I581" i="15"/>
  <c r="J219" i="15"/>
  <c r="N219" i="15" s="1"/>
  <c r="P219" i="15" s="1"/>
  <c r="H364" i="15"/>
  <c r="AC333" i="15"/>
  <c r="AC364" i="15" s="1"/>
  <c r="I333" i="15"/>
  <c r="AD333" i="15"/>
  <c r="AD364" i="15" s="1"/>
  <c r="AG469" i="15"/>
  <c r="M554" i="15"/>
  <c r="K333" i="15"/>
  <c r="K364" i="15" s="1"/>
  <c r="K554" i="15" s="1"/>
  <c r="AF333" i="15"/>
  <c r="AF364" i="15" s="1"/>
  <c r="N225" i="15"/>
  <c r="P225" i="15" s="1"/>
  <c r="L333" i="15"/>
  <c r="L364" i="15" s="1"/>
  <c r="L554" i="15" s="1"/>
  <c r="AG333" i="15"/>
  <c r="AG364" i="15" s="1"/>
  <c r="O331" i="15"/>
  <c r="Q331" i="15" s="1"/>
  <c r="O15" i="15"/>
  <c r="Q15" i="15" s="1"/>
  <c r="O225" i="15"/>
  <c r="Q225" i="15" s="1"/>
  <c r="AH333" i="15"/>
  <c r="N363" i="15"/>
  <c r="P363" i="15" s="1"/>
  <c r="N361" i="15"/>
  <c r="P361" i="15" s="1"/>
  <c r="AJ364" i="15"/>
  <c r="O489" i="15"/>
  <c r="Q489" i="15" s="1"/>
  <c r="K581" i="15"/>
  <c r="N342" i="15"/>
  <c r="P342" i="15" s="1"/>
  <c r="O405" i="15"/>
  <c r="Q405" i="15" s="1"/>
  <c r="O578" i="15"/>
  <c r="Q578" i="15" s="1"/>
  <c r="O565" i="15"/>
  <c r="Q565" i="15" s="1"/>
  <c r="H571" i="15"/>
  <c r="N520" i="15"/>
  <c r="P520" i="15" s="1"/>
  <c r="H580" i="15"/>
  <c r="N580" i="15" s="1"/>
  <c r="P580" i="15" s="1"/>
  <c r="AK402" i="13"/>
  <c r="K183" i="15" l="1"/>
  <c r="K220" i="15" s="1"/>
  <c r="AD183" i="15"/>
  <c r="AD220" i="15" s="1"/>
  <c r="M183" i="15"/>
  <c r="M220" i="15" s="1"/>
  <c r="M555" i="15" s="1"/>
  <c r="M582" i="15" s="1"/>
  <c r="M1" i="15" s="1"/>
  <c r="L183" i="15"/>
  <c r="L220" i="15" s="1"/>
  <c r="L555" i="15" s="1"/>
  <c r="L582" i="15" s="1"/>
  <c r="L1" i="15" s="1"/>
  <c r="AM495" i="15"/>
  <c r="AM550" i="15" s="1"/>
  <c r="Z554" i="15"/>
  <c r="N116" i="15"/>
  <c r="P116" i="15" s="1"/>
  <c r="K555" i="15"/>
  <c r="K582" i="15" s="1"/>
  <c r="K1" i="15" s="1"/>
  <c r="O581" i="15"/>
  <c r="Q581" i="15" s="1"/>
  <c r="N170" i="15"/>
  <c r="P170" i="15" s="1"/>
  <c r="AK183" i="15"/>
  <c r="AK220" i="15" s="1"/>
  <c r="AK495" i="15" s="1"/>
  <c r="AK550" i="15" s="1"/>
  <c r="I183" i="15"/>
  <c r="O183" i="15" s="1"/>
  <c r="Q183" i="15" s="1"/>
  <c r="Z183" i="15"/>
  <c r="Z220" i="15" s="1"/>
  <c r="O571" i="15"/>
  <c r="Q571" i="15" s="1"/>
  <c r="O170" i="15"/>
  <c r="Q170" i="15" s="1"/>
  <c r="N364" i="15"/>
  <c r="P364" i="15" s="1"/>
  <c r="N333" i="15"/>
  <c r="P333" i="15" s="1"/>
  <c r="AH364" i="15"/>
  <c r="AC495" i="15"/>
  <c r="AC550" i="15" s="1"/>
  <c r="H220" i="15"/>
  <c r="AG495" i="15"/>
  <c r="AG550" i="15" s="1"/>
  <c r="J220" i="15"/>
  <c r="J555" i="15" s="1"/>
  <c r="J582" i="15" s="1"/>
  <c r="J1" i="15" s="1"/>
  <c r="AJ495" i="15"/>
  <c r="AJ550" i="15" s="1"/>
  <c r="AN376" i="15"/>
  <c r="AI495" i="15"/>
  <c r="AI550" i="15" s="1"/>
  <c r="AF495" i="15"/>
  <c r="AF550" i="15" s="1"/>
  <c r="AE495" i="15"/>
  <c r="AE550" i="15" s="1"/>
  <c r="O333" i="15"/>
  <c r="Q333" i="15" s="1"/>
  <c r="I364" i="15"/>
  <c r="N571" i="15"/>
  <c r="P571" i="15" s="1"/>
  <c r="H581" i="15"/>
  <c r="N581" i="15" s="1"/>
  <c r="P581" i="15" s="1"/>
  <c r="AD495" i="15"/>
  <c r="AD550" i="15" s="1"/>
  <c r="H428" i="15"/>
  <c r="N428" i="15" s="1"/>
  <c r="P428" i="15" s="1"/>
  <c r="N423" i="15"/>
  <c r="P423" i="15" s="1"/>
  <c r="AH495" i="15"/>
  <c r="AH550" i="15" s="1"/>
  <c r="AK553" i="13"/>
  <c r="AK549" i="13"/>
  <c r="AK533" i="13"/>
  <c r="AK532" i="13"/>
  <c r="AK522" i="13"/>
  <c r="AK518" i="13"/>
  <c r="AK517" i="13"/>
  <c r="AK514" i="13"/>
  <c r="AK507" i="13"/>
  <c r="AK505" i="13"/>
  <c r="AK487" i="13"/>
  <c r="AK486" i="13"/>
  <c r="AK485" i="13"/>
  <c r="AK484" i="13"/>
  <c r="AK483" i="13"/>
  <c r="AK482" i="13"/>
  <c r="AK481" i="13"/>
  <c r="AK478" i="13"/>
  <c r="AK477" i="13"/>
  <c r="AK475" i="13"/>
  <c r="AK474" i="13"/>
  <c r="AK473" i="13"/>
  <c r="AK472" i="13"/>
  <c r="AK471" i="13"/>
  <c r="AK468" i="13"/>
  <c r="AK467" i="13"/>
  <c r="AK466" i="13"/>
  <c r="AK463" i="13"/>
  <c r="AK461" i="13"/>
  <c r="AK460" i="13"/>
  <c r="AK459" i="13"/>
  <c r="AK458" i="13"/>
  <c r="AK457" i="13"/>
  <c r="AK453" i="13"/>
  <c r="AK441" i="13"/>
  <c r="AK427" i="13"/>
  <c r="AK423" i="13"/>
  <c r="AK375" i="13"/>
  <c r="AK374" i="13"/>
  <c r="AK373" i="13"/>
  <c r="AK367" i="13"/>
  <c r="AK371" i="13" s="1"/>
  <c r="AK361" i="13"/>
  <c r="AK350" i="13"/>
  <c r="AK342" i="13"/>
  <c r="AK331" i="13"/>
  <c r="AK328" i="13"/>
  <c r="AK319" i="13"/>
  <c r="AK307" i="13"/>
  <c r="AK301" i="13"/>
  <c r="AK288" i="13"/>
  <c r="AK280" i="13"/>
  <c r="AK263" i="13"/>
  <c r="AK257" i="13"/>
  <c r="AK234" i="13"/>
  <c r="AK227" i="13"/>
  <c r="AK223" i="13"/>
  <c r="AK225" i="13" s="1"/>
  <c r="AK218" i="13"/>
  <c r="AK215" i="13"/>
  <c r="AK207" i="13"/>
  <c r="AK201" i="13"/>
  <c r="AK196" i="13"/>
  <c r="AK195" i="13"/>
  <c r="AK193" i="13"/>
  <c r="AK198" i="13" s="1"/>
  <c r="AK191" i="13"/>
  <c r="AK185" i="13"/>
  <c r="AK188" i="13" s="1"/>
  <c r="AK176" i="13"/>
  <c r="AK173" i="13"/>
  <c r="AK168" i="13"/>
  <c r="AK164" i="13"/>
  <c r="AK159" i="13"/>
  <c r="AK156" i="13"/>
  <c r="AK151" i="13"/>
  <c r="AK143" i="13"/>
  <c r="AK144" i="13" s="1"/>
  <c r="AK141" i="13"/>
  <c r="AK135" i="13"/>
  <c r="AK130" i="13"/>
  <c r="AK124" i="13"/>
  <c r="AK111" i="13"/>
  <c r="AK102" i="13"/>
  <c r="AK90" i="13"/>
  <c r="AK84" i="13"/>
  <c r="AK71" i="13"/>
  <c r="AK62" i="13"/>
  <c r="AK45" i="13"/>
  <c r="AK39" i="13"/>
  <c r="AK15" i="13"/>
  <c r="O579" i="13"/>
  <c r="Q579" i="13" s="1"/>
  <c r="N579" i="13"/>
  <c r="P579" i="13" s="1"/>
  <c r="M578" i="13"/>
  <c r="M580" i="13" s="1"/>
  <c r="L578" i="13"/>
  <c r="L580" i="13" s="1"/>
  <c r="K578" i="13"/>
  <c r="K580" i="13" s="1"/>
  <c r="J578" i="13"/>
  <c r="J580" i="13" s="1"/>
  <c r="I578" i="13"/>
  <c r="I580" i="13" s="1"/>
  <c r="O580" i="13" s="1"/>
  <c r="Q580" i="13" s="1"/>
  <c r="H578" i="13"/>
  <c r="H580" i="13" s="1"/>
  <c r="O577" i="13"/>
  <c r="Q577" i="13" s="1"/>
  <c r="N577" i="13"/>
  <c r="P577" i="13" s="1"/>
  <c r="O576" i="13"/>
  <c r="Q576" i="13" s="1"/>
  <c r="N576" i="13"/>
  <c r="P576" i="13" s="1"/>
  <c r="O575" i="13"/>
  <c r="Q575" i="13" s="1"/>
  <c r="N575" i="13"/>
  <c r="P575" i="13" s="1"/>
  <c r="O574" i="13"/>
  <c r="Q574" i="13" s="1"/>
  <c r="N574" i="13"/>
  <c r="P574" i="13" s="1"/>
  <c r="M570" i="13"/>
  <c r="L570" i="13"/>
  <c r="K570" i="13"/>
  <c r="J570" i="13"/>
  <c r="I570" i="13"/>
  <c r="H570" i="13"/>
  <c r="O569" i="13"/>
  <c r="Q569" i="13" s="1"/>
  <c r="N569" i="13"/>
  <c r="P569" i="13" s="1"/>
  <c r="O568" i="13"/>
  <c r="Q568" i="13" s="1"/>
  <c r="N568" i="13"/>
  <c r="P568" i="13" s="1"/>
  <c r="O567" i="13"/>
  <c r="Q567" i="13" s="1"/>
  <c r="N567" i="13"/>
  <c r="P567" i="13" s="1"/>
  <c r="M565" i="13"/>
  <c r="L565" i="13"/>
  <c r="K565" i="13"/>
  <c r="J565" i="13"/>
  <c r="I565" i="13"/>
  <c r="H565" i="13"/>
  <c r="O564" i="13"/>
  <c r="Q564" i="13" s="1"/>
  <c r="N564" i="13"/>
  <c r="P564" i="13" s="1"/>
  <c r="O563" i="13"/>
  <c r="Q563" i="13" s="1"/>
  <c r="N563" i="13"/>
  <c r="P563" i="13" s="1"/>
  <c r="O562" i="13"/>
  <c r="Q562" i="13" s="1"/>
  <c r="N562" i="13"/>
  <c r="P562" i="13" s="1"/>
  <c r="O561" i="13"/>
  <c r="Q561" i="13" s="1"/>
  <c r="N561" i="13"/>
  <c r="P561" i="13" s="1"/>
  <c r="O560" i="13"/>
  <c r="Q560" i="13" s="1"/>
  <c r="N560" i="13"/>
  <c r="P560" i="13" s="1"/>
  <c r="O558" i="13"/>
  <c r="Q558" i="13" s="1"/>
  <c r="N558" i="13"/>
  <c r="P558" i="13" s="1"/>
  <c r="AJ553" i="13"/>
  <c r="AI553" i="13"/>
  <c r="AH553" i="13"/>
  <c r="AG553" i="13"/>
  <c r="AF553" i="13"/>
  <c r="AE553" i="13"/>
  <c r="AD553" i="13"/>
  <c r="AC553" i="13"/>
  <c r="AB553" i="13"/>
  <c r="Z553" i="13"/>
  <c r="M553" i="13"/>
  <c r="L553" i="13"/>
  <c r="K553" i="13"/>
  <c r="J553" i="13"/>
  <c r="I553" i="13"/>
  <c r="H553" i="13"/>
  <c r="O552" i="13"/>
  <c r="Q552" i="13" s="1"/>
  <c r="N552" i="13"/>
  <c r="P552" i="13" s="1"/>
  <c r="AJ549" i="13"/>
  <c r="AI549" i="13"/>
  <c r="AH549" i="13"/>
  <c r="AG549" i="13"/>
  <c r="AF549" i="13"/>
  <c r="AE549" i="13"/>
  <c r="AD549" i="13"/>
  <c r="AC549" i="13"/>
  <c r="AB549" i="13"/>
  <c r="Z549" i="13"/>
  <c r="Z550" i="13" s="1"/>
  <c r="M549" i="13"/>
  <c r="L549" i="13"/>
  <c r="K549" i="13"/>
  <c r="J549" i="13"/>
  <c r="I549" i="13"/>
  <c r="H549" i="13"/>
  <c r="O548" i="13"/>
  <c r="Q548" i="13" s="1"/>
  <c r="N548" i="13"/>
  <c r="P548" i="13" s="1"/>
  <c r="O547" i="13"/>
  <c r="Q547" i="13" s="1"/>
  <c r="N547" i="13"/>
  <c r="P547" i="13" s="1"/>
  <c r="O546" i="13"/>
  <c r="Q546" i="13" s="1"/>
  <c r="N546" i="13"/>
  <c r="P546" i="13" s="1"/>
  <c r="O544" i="13"/>
  <c r="Q544" i="13" s="1"/>
  <c r="N544" i="13"/>
  <c r="P544" i="13" s="1"/>
  <c r="Q543" i="13"/>
  <c r="N543" i="13"/>
  <c r="P543" i="13" s="1"/>
  <c r="O542" i="13"/>
  <c r="Q542" i="13" s="1"/>
  <c r="N542" i="13"/>
  <c r="P542" i="13" s="1"/>
  <c r="O541" i="13"/>
  <c r="Q541" i="13" s="1"/>
  <c r="N541" i="13"/>
  <c r="P541" i="13" s="1"/>
  <c r="O540" i="13"/>
  <c r="Q540" i="13" s="1"/>
  <c r="N540" i="13"/>
  <c r="P540" i="13" s="1"/>
  <c r="O539" i="13"/>
  <c r="Q539" i="13" s="1"/>
  <c r="N539" i="13"/>
  <c r="P539" i="13" s="1"/>
  <c r="O538" i="13"/>
  <c r="Q538" i="13" s="1"/>
  <c r="N538" i="13"/>
  <c r="P538" i="13" s="1"/>
  <c r="O537" i="13"/>
  <c r="Q537" i="13" s="1"/>
  <c r="N537" i="13"/>
  <c r="P537" i="13" s="1"/>
  <c r="O536" i="13"/>
  <c r="Q536" i="13" s="1"/>
  <c r="N536" i="13"/>
  <c r="P536" i="13" s="1"/>
  <c r="O535" i="13"/>
  <c r="Q535" i="13" s="1"/>
  <c r="N535" i="13"/>
  <c r="P535" i="13" s="1"/>
  <c r="AF534" i="13"/>
  <c r="AE534" i="13"/>
  <c r="AD534" i="13"/>
  <c r="AC534" i="13"/>
  <c r="AB534" i="13"/>
  <c r="O534" i="13"/>
  <c r="Q534" i="13" s="1"/>
  <c r="N534" i="13"/>
  <c r="P534" i="13" s="1"/>
  <c r="AJ533" i="13"/>
  <c r="AI533" i="13"/>
  <c r="AH533" i="13"/>
  <c r="AG533" i="13"/>
  <c r="O533" i="13"/>
  <c r="Q533" i="13" s="1"/>
  <c r="N533" i="13"/>
  <c r="P533" i="13" s="1"/>
  <c r="AJ532" i="13"/>
  <c r="AI532" i="13"/>
  <c r="AH532" i="13"/>
  <c r="AG532" i="13"/>
  <c r="AF532" i="13"/>
  <c r="AE532" i="13"/>
  <c r="AD532" i="13"/>
  <c r="AC532" i="13"/>
  <c r="AB532" i="13"/>
  <c r="O532" i="13"/>
  <c r="Q532" i="13" s="1"/>
  <c r="N532" i="13"/>
  <c r="P532" i="13" s="1"/>
  <c r="O531" i="13"/>
  <c r="Q531" i="13" s="1"/>
  <c r="N531" i="13"/>
  <c r="P531" i="13" s="1"/>
  <c r="O530" i="13"/>
  <c r="Q530" i="13" s="1"/>
  <c r="N530" i="13"/>
  <c r="P530" i="13" s="1"/>
  <c r="O529" i="13"/>
  <c r="Q529" i="13" s="1"/>
  <c r="N529" i="13"/>
  <c r="P529" i="13" s="1"/>
  <c r="O528" i="13"/>
  <c r="Q528" i="13" s="1"/>
  <c r="N528" i="13"/>
  <c r="P528" i="13" s="1"/>
  <c r="O527" i="13"/>
  <c r="Q527" i="13" s="1"/>
  <c r="N527" i="13"/>
  <c r="P527" i="13" s="1"/>
  <c r="O526" i="13"/>
  <c r="Q526" i="13" s="1"/>
  <c r="N526" i="13"/>
  <c r="P526" i="13" s="1"/>
  <c r="Q525" i="13"/>
  <c r="N525" i="13"/>
  <c r="P525" i="13" s="1"/>
  <c r="O524" i="13"/>
  <c r="Q524" i="13" s="1"/>
  <c r="N524" i="13"/>
  <c r="P524" i="13" s="1"/>
  <c r="O523" i="13"/>
  <c r="Q523" i="13" s="1"/>
  <c r="N523" i="13"/>
  <c r="P523" i="13" s="1"/>
  <c r="AJ522" i="13"/>
  <c r="AI522" i="13"/>
  <c r="AH522" i="13"/>
  <c r="AG522" i="13"/>
  <c r="O522" i="13"/>
  <c r="Q522" i="13" s="1"/>
  <c r="N522" i="13"/>
  <c r="P522" i="13" s="1"/>
  <c r="O521" i="13"/>
  <c r="Q521" i="13" s="1"/>
  <c r="N521" i="13"/>
  <c r="P521" i="13" s="1"/>
  <c r="AF520" i="13"/>
  <c r="AE520" i="13"/>
  <c r="AD520" i="13"/>
  <c r="AC520" i="13"/>
  <c r="AB520" i="13"/>
  <c r="Z520" i="13"/>
  <c r="M520" i="13"/>
  <c r="L520" i="13"/>
  <c r="K520" i="13"/>
  <c r="J520" i="13"/>
  <c r="I520" i="13"/>
  <c r="H520" i="13"/>
  <c r="AJ518" i="13"/>
  <c r="AI518" i="13"/>
  <c r="AH518" i="13"/>
  <c r="AG518" i="13"/>
  <c r="O518" i="13"/>
  <c r="Q518" i="13" s="1"/>
  <c r="N518" i="13"/>
  <c r="P518" i="13" s="1"/>
  <c r="AJ517" i="13"/>
  <c r="AI517" i="13"/>
  <c r="AH517" i="13"/>
  <c r="AG517" i="13"/>
  <c r="O517" i="13"/>
  <c r="Q517" i="13" s="1"/>
  <c r="N517" i="13"/>
  <c r="P517" i="13" s="1"/>
  <c r="O516" i="13"/>
  <c r="Q516" i="13" s="1"/>
  <c r="N516" i="13"/>
  <c r="P516" i="13" s="1"/>
  <c r="AJ514" i="13"/>
  <c r="AI514" i="13"/>
  <c r="AH514" i="13"/>
  <c r="AG514" i="13"/>
  <c r="O514" i="13"/>
  <c r="Q514" i="13" s="1"/>
  <c r="N514" i="13"/>
  <c r="P514" i="13" s="1"/>
  <c r="O513" i="13"/>
  <c r="Q513" i="13" s="1"/>
  <c r="N513" i="13"/>
  <c r="P513" i="13" s="1"/>
  <c r="O512" i="13"/>
  <c r="Q512" i="13" s="1"/>
  <c r="N512" i="13"/>
  <c r="P512" i="13" s="1"/>
  <c r="O511" i="13"/>
  <c r="Q511" i="13" s="1"/>
  <c r="N511" i="13"/>
  <c r="P511" i="13" s="1"/>
  <c r="O510" i="13"/>
  <c r="Q510" i="13" s="1"/>
  <c r="N510" i="13"/>
  <c r="P510" i="13" s="1"/>
  <c r="O509" i="13"/>
  <c r="Q509" i="13" s="1"/>
  <c r="N509" i="13"/>
  <c r="P509" i="13" s="1"/>
  <c r="O508" i="13"/>
  <c r="Q508" i="13" s="1"/>
  <c r="N508" i="13"/>
  <c r="P508" i="13" s="1"/>
  <c r="AJ507" i="13"/>
  <c r="AI507" i="13"/>
  <c r="AH507" i="13"/>
  <c r="AG507" i="13"/>
  <c r="O507" i="13"/>
  <c r="Q507" i="13" s="1"/>
  <c r="N507" i="13"/>
  <c r="P507" i="13" s="1"/>
  <c r="O506" i="13"/>
  <c r="Q506" i="13" s="1"/>
  <c r="N506" i="13"/>
  <c r="P506" i="13" s="1"/>
  <c r="AJ505" i="13"/>
  <c r="AI505" i="13"/>
  <c r="AH505" i="13"/>
  <c r="AG505" i="13"/>
  <c r="AF505" i="13"/>
  <c r="AE505" i="13"/>
  <c r="AD505" i="13"/>
  <c r="AC505" i="13"/>
  <c r="AB505" i="13"/>
  <c r="O505" i="13"/>
  <c r="Q505" i="13" s="1"/>
  <c r="N505" i="13"/>
  <c r="P505" i="13" s="1"/>
  <c r="O504" i="13"/>
  <c r="Q504" i="13" s="1"/>
  <c r="N504" i="13"/>
  <c r="P504" i="13" s="1"/>
  <c r="O503" i="13"/>
  <c r="Q503" i="13" s="1"/>
  <c r="N503" i="13"/>
  <c r="P503" i="13" s="1"/>
  <c r="O502" i="13"/>
  <c r="Q502" i="13" s="1"/>
  <c r="N502" i="13"/>
  <c r="P502" i="13" s="1"/>
  <c r="O501" i="13"/>
  <c r="Q501" i="13" s="1"/>
  <c r="N501" i="13"/>
  <c r="P501" i="13" s="1"/>
  <c r="AJ500" i="13"/>
  <c r="AG500" i="13"/>
  <c r="AF500" i="13"/>
  <c r="O500" i="13"/>
  <c r="Q500" i="13" s="1"/>
  <c r="N500" i="13"/>
  <c r="P500" i="13" s="1"/>
  <c r="O499" i="13"/>
  <c r="Q499" i="13" s="1"/>
  <c r="N499" i="13"/>
  <c r="P499" i="13" s="1"/>
  <c r="O498" i="13"/>
  <c r="Q498" i="13" s="1"/>
  <c r="N498" i="13"/>
  <c r="P498" i="13" s="1"/>
  <c r="O496" i="13"/>
  <c r="Q496" i="13" s="1"/>
  <c r="N496" i="13"/>
  <c r="P496" i="13" s="1"/>
  <c r="O495" i="13"/>
  <c r="Q495" i="13" s="1"/>
  <c r="N495" i="13"/>
  <c r="P495" i="13" s="1"/>
  <c r="O494" i="13"/>
  <c r="Q494" i="13" s="1"/>
  <c r="N494" i="13"/>
  <c r="P494" i="13" s="1"/>
  <c r="O493" i="13"/>
  <c r="Q493" i="13" s="1"/>
  <c r="N493" i="13"/>
  <c r="P493" i="13" s="1"/>
  <c r="O492" i="13"/>
  <c r="Q492" i="13" s="1"/>
  <c r="N492" i="13"/>
  <c r="P492" i="13" s="1"/>
  <c r="O491" i="13"/>
  <c r="Q491" i="13" s="1"/>
  <c r="N491" i="13"/>
  <c r="P491" i="13" s="1"/>
  <c r="Q490" i="13"/>
  <c r="P490" i="13"/>
  <c r="Z488" i="13"/>
  <c r="M488" i="13"/>
  <c r="L488" i="13"/>
  <c r="K488" i="13"/>
  <c r="J488" i="13"/>
  <c r="I488" i="13"/>
  <c r="H488" i="13"/>
  <c r="AJ487" i="13"/>
  <c r="AI487" i="13"/>
  <c r="AH487" i="13"/>
  <c r="AG487" i="13"/>
  <c r="AF487" i="13"/>
  <c r="AE487" i="13"/>
  <c r="AD487" i="13"/>
  <c r="AC487" i="13"/>
  <c r="AB487" i="13"/>
  <c r="O487" i="13"/>
  <c r="Q487" i="13" s="1"/>
  <c r="N487" i="13"/>
  <c r="P487" i="13" s="1"/>
  <c r="AJ486" i="13"/>
  <c r="AI486" i="13"/>
  <c r="AH486" i="13"/>
  <c r="AG486" i="13"/>
  <c r="AF486" i="13"/>
  <c r="AB486" i="13"/>
  <c r="O486" i="13"/>
  <c r="Q486" i="13" s="1"/>
  <c r="N486" i="13"/>
  <c r="P486" i="13" s="1"/>
  <c r="AJ485" i="13"/>
  <c r="AI485" i="13"/>
  <c r="AH485" i="13"/>
  <c r="AG485" i="13"/>
  <c r="AF485" i="13"/>
  <c r="AB485" i="13"/>
  <c r="O485" i="13"/>
  <c r="Q485" i="13" s="1"/>
  <c r="N485" i="13"/>
  <c r="P485" i="13" s="1"/>
  <c r="AJ484" i="13"/>
  <c r="AI484" i="13"/>
  <c r="AH484" i="13"/>
  <c r="AG484" i="13"/>
  <c r="AF484" i="13"/>
  <c r="AE484" i="13"/>
  <c r="AD484" i="13"/>
  <c r="AC484" i="13"/>
  <c r="AB484" i="13"/>
  <c r="O484" i="13"/>
  <c r="Q484" i="13" s="1"/>
  <c r="N484" i="13"/>
  <c r="P484" i="13" s="1"/>
  <c r="AJ483" i="13"/>
  <c r="AI483" i="13"/>
  <c r="AH483" i="13"/>
  <c r="AG483" i="13"/>
  <c r="AF483" i="13"/>
  <c r="AB483" i="13"/>
  <c r="O483" i="13"/>
  <c r="Q483" i="13" s="1"/>
  <c r="N483" i="13"/>
  <c r="P483" i="13" s="1"/>
  <c r="AJ482" i="13"/>
  <c r="AI482" i="13"/>
  <c r="AH482" i="13"/>
  <c r="AG482" i="13"/>
  <c r="AF482" i="13"/>
  <c r="AB482" i="13"/>
  <c r="O482" i="13"/>
  <c r="Q482" i="13" s="1"/>
  <c r="N482" i="13"/>
  <c r="P482" i="13" s="1"/>
  <c r="AJ481" i="13"/>
  <c r="AI481" i="13"/>
  <c r="AH481" i="13"/>
  <c r="AG481" i="13"/>
  <c r="AF481" i="13"/>
  <c r="AE481" i="13"/>
  <c r="AD481" i="13"/>
  <c r="AC481" i="13"/>
  <c r="AB481" i="13"/>
  <c r="O481" i="13"/>
  <c r="Q481" i="13" s="1"/>
  <c r="N481" i="13"/>
  <c r="P481" i="13" s="1"/>
  <c r="AO479" i="13"/>
  <c r="Z479" i="13"/>
  <c r="M479" i="13"/>
  <c r="L479" i="13"/>
  <c r="K479" i="13"/>
  <c r="J479" i="13"/>
  <c r="I479" i="13"/>
  <c r="O479" i="13" s="1"/>
  <c r="Q479" i="13" s="1"/>
  <c r="H479" i="13"/>
  <c r="N479" i="13" s="1"/>
  <c r="P479" i="13" s="1"/>
  <c r="AJ478" i="13"/>
  <c r="AI478" i="13"/>
  <c r="AH478" i="13"/>
  <c r="AG478" i="13"/>
  <c r="AF478" i="13"/>
  <c r="AE478" i="13"/>
  <c r="AD478" i="13"/>
  <c r="AC478" i="13"/>
  <c r="AB478" i="13"/>
  <c r="O478" i="13"/>
  <c r="Q478" i="13" s="1"/>
  <c r="N478" i="13"/>
  <c r="P478" i="13" s="1"/>
  <c r="AJ477" i="13"/>
  <c r="AI477" i="13"/>
  <c r="AH477" i="13"/>
  <c r="AG477" i="13"/>
  <c r="AF477" i="13"/>
  <c r="AE477" i="13"/>
  <c r="AD477" i="13"/>
  <c r="AC477" i="13"/>
  <c r="AB477" i="13"/>
  <c r="O477" i="13"/>
  <c r="Q477" i="13" s="1"/>
  <c r="N477" i="13"/>
  <c r="P477" i="13" s="1"/>
  <c r="O476" i="13"/>
  <c r="Q476" i="13" s="1"/>
  <c r="N476" i="13"/>
  <c r="P476" i="13" s="1"/>
  <c r="AJ475" i="13"/>
  <c r="AI475" i="13"/>
  <c r="AH475" i="13"/>
  <c r="AG475" i="13"/>
  <c r="AE475" i="13"/>
  <c r="AD475" i="13"/>
  <c r="AC475" i="13"/>
  <c r="AB475" i="13"/>
  <c r="O475" i="13"/>
  <c r="Q475" i="13" s="1"/>
  <c r="N475" i="13"/>
  <c r="P475" i="13" s="1"/>
  <c r="AJ474" i="13"/>
  <c r="AI474" i="13"/>
  <c r="AH474" i="13"/>
  <c r="AG474" i="13"/>
  <c r="AF474" i="13"/>
  <c r="AE474" i="13"/>
  <c r="AD474" i="13"/>
  <c r="AC474" i="13"/>
  <c r="AB474" i="13"/>
  <c r="O474" i="13"/>
  <c r="Q474" i="13" s="1"/>
  <c r="N474" i="13"/>
  <c r="P474" i="13" s="1"/>
  <c r="AJ473" i="13"/>
  <c r="AI473" i="13"/>
  <c r="AH473" i="13"/>
  <c r="AG473" i="13"/>
  <c r="AF473" i="13"/>
  <c r="AB473" i="13"/>
  <c r="O473" i="13"/>
  <c r="Q473" i="13" s="1"/>
  <c r="N473" i="13"/>
  <c r="P473" i="13" s="1"/>
  <c r="AJ472" i="13"/>
  <c r="AI472" i="13"/>
  <c r="AH472" i="13"/>
  <c r="AG472" i="13"/>
  <c r="AF472" i="13"/>
  <c r="AB472" i="13"/>
  <c r="O472" i="13"/>
  <c r="Q472" i="13" s="1"/>
  <c r="N472" i="13"/>
  <c r="P472" i="13" s="1"/>
  <c r="AJ471" i="13"/>
  <c r="AI471" i="13"/>
  <c r="AH471" i="13"/>
  <c r="AG471" i="13"/>
  <c r="AF471" i="13"/>
  <c r="AB471" i="13"/>
  <c r="O471" i="13"/>
  <c r="Q471" i="13" s="1"/>
  <c r="N471" i="13"/>
  <c r="P471" i="13" s="1"/>
  <c r="Z469" i="13"/>
  <c r="M469" i="13"/>
  <c r="L469" i="13"/>
  <c r="K469" i="13"/>
  <c r="J469" i="13"/>
  <c r="I469" i="13"/>
  <c r="H469" i="13"/>
  <c r="AJ468" i="13"/>
  <c r="AI468" i="13"/>
  <c r="AH468" i="13"/>
  <c r="AG468" i="13"/>
  <c r="AD468" i="13"/>
  <c r="AC468" i="13"/>
  <c r="AB468" i="13"/>
  <c r="O468" i="13"/>
  <c r="Q468" i="13" s="1"/>
  <c r="N468" i="13"/>
  <c r="P468" i="13" s="1"/>
  <c r="AJ467" i="13"/>
  <c r="AI467" i="13"/>
  <c r="AH467" i="13"/>
  <c r="AG467" i="13"/>
  <c r="AF467" i="13"/>
  <c r="AB467" i="13"/>
  <c r="O467" i="13"/>
  <c r="Q467" i="13" s="1"/>
  <c r="N467" i="13"/>
  <c r="P467" i="13" s="1"/>
  <c r="AJ466" i="13"/>
  <c r="AI466" i="13"/>
  <c r="AH466" i="13"/>
  <c r="AG466" i="13"/>
  <c r="AF466" i="13"/>
  <c r="AE466" i="13"/>
  <c r="AE469" i="13" s="1"/>
  <c r="AD466" i="13"/>
  <c r="AC466" i="13"/>
  <c r="AB466" i="13"/>
  <c r="O466" i="13"/>
  <c r="Q466" i="13" s="1"/>
  <c r="N466" i="13"/>
  <c r="P466" i="13" s="1"/>
  <c r="Q465" i="13"/>
  <c r="P465" i="13"/>
  <c r="Z464" i="13"/>
  <c r="M464" i="13"/>
  <c r="L464" i="13"/>
  <c r="K464" i="13"/>
  <c r="J464" i="13"/>
  <c r="I464" i="13"/>
  <c r="H464" i="13"/>
  <c r="AJ463" i="13"/>
  <c r="AI463" i="13"/>
  <c r="O463" i="13"/>
  <c r="Q463" i="13" s="1"/>
  <c r="N463" i="13"/>
  <c r="P463" i="13" s="1"/>
  <c r="O462" i="13"/>
  <c r="Q462" i="13" s="1"/>
  <c r="N462" i="13"/>
  <c r="P462" i="13" s="1"/>
  <c r="AJ461" i="13"/>
  <c r="AI461" i="13"/>
  <c r="AG461" i="13"/>
  <c r="AF461" i="13"/>
  <c r="AB461" i="13"/>
  <c r="O461" i="13"/>
  <c r="Q461" i="13" s="1"/>
  <c r="N461" i="13"/>
  <c r="P461" i="13" s="1"/>
  <c r="AJ460" i="13"/>
  <c r="AI460" i="13"/>
  <c r="AG460" i="13"/>
  <c r="AF460" i="13"/>
  <c r="AB460" i="13"/>
  <c r="O460" i="13"/>
  <c r="Q460" i="13" s="1"/>
  <c r="N460" i="13"/>
  <c r="P460" i="13" s="1"/>
  <c r="AJ459" i="13"/>
  <c r="AI459" i="13"/>
  <c r="AG459" i="13"/>
  <c r="AF459" i="13"/>
  <c r="AB459" i="13"/>
  <c r="O459" i="13"/>
  <c r="Q459" i="13" s="1"/>
  <c r="N459" i="13"/>
  <c r="P459" i="13" s="1"/>
  <c r="AJ458" i="13"/>
  <c r="AI458" i="13"/>
  <c r="AF458" i="13"/>
  <c r="AE458" i="13"/>
  <c r="AB458" i="13"/>
  <c r="O458" i="13"/>
  <c r="Q458" i="13" s="1"/>
  <c r="N458" i="13"/>
  <c r="P458" i="13" s="1"/>
  <c r="AJ457" i="13"/>
  <c r="AI457" i="13"/>
  <c r="AG457" i="13"/>
  <c r="AF457" i="13"/>
  <c r="AB457" i="13"/>
  <c r="O457" i="13"/>
  <c r="Q457" i="13" s="1"/>
  <c r="N457" i="13"/>
  <c r="P457" i="13" s="1"/>
  <c r="AH454" i="13"/>
  <c r="AH455" i="13" s="1"/>
  <c r="AG454" i="13"/>
  <c r="AG455" i="13" s="1"/>
  <c r="AF454" i="13"/>
  <c r="AF455" i="13" s="1"/>
  <c r="Z454" i="13"/>
  <c r="Z455" i="13" s="1"/>
  <c r="M454" i="13"/>
  <c r="M455" i="13" s="1"/>
  <c r="L454" i="13"/>
  <c r="K454" i="13"/>
  <c r="K455" i="13" s="1"/>
  <c r="J454" i="13"/>
  <c r="J455" i="13" s="1"/>
  <c r="I454" i="13"/>
  <c r="I455" i="13" s="1"/>
  <c r="H454" i="13"/>
  <c r="H455" i="13" s="1"/>
  <c r="AJ453" i="13"/>
  <c r="AI453" i="13"/>
  <c r="AB453" i="13"/>
  <c r="O453" i="13"/>
  <c r="Q453" i="13" s="1"/>
  <c r="N453" i="13"/>
  <c r="P453" i="13" s="1"/>
  <c r="O452" i="13"/>
  <c r="Q452" i="13" s="1"/>
  <c r="N452" i="13"/>
  <c r="P452" i="13" s="1"/>
  <c r="O451" i="13"/>
  <c r="Q451" i="13" s="1"/>
  <c r="N451" i="13"/>
  <c r="P451" i="13" s="1"/>
  <c r="O450" i="13"/>
  <c r="Q450" i="13" s="1"/>
  <c r="N450" i="13"/>
  <c r="P450" i="13" s="1"/>
  <c r="O449" i="13"/>
  <c r="Q449" i="13" s="1"/>
  <c r="N449" i="13"/>
  <c r="P449" i="13" s="1"/>
  <c r="O448" i="13"/>
  <c r="Q448" i="13" s="1"/>
  <c r="N448" i="13"/>
  <c r="P448" i="13" s="1"/>
  <c r="O447" i="13"/>
  <c r="Q447" i="13" s="1"/>
  <c r="N447" i="13"/>
  <c r="P447" i="13" s="1"/>
  <c r="O446" i="13"/>
  <c r="Q446" i="13" s="1"/>
  <c r="N446" i="13"/>
  <c r="P446" i="13" s="1"/>
  <c r="O445" i="13"/>
  <c r="Q445" i="13" s="1"/>
  <c r="N445" i="13"/>
  <c r="P445" i="13" s="1"/>
  <c r="O444" i="13"/>
  <c r="Q444" i="13" s="1"/>
  <c r="N444" i="13"/>
  <c r="P444" i="13" s="1"/>
  <c r="AJ441" i="13"/>
  <c r="AI441" i="13"/>
  <c r="AH441" i="13"/>
  <c r="AG441" i="13"/>
  <c r="AF441" i="13"/>
  <c r="AE441" i="13"/>
  <c r="AD441" i="13"/>
  <c r="AC441" i="13"/>
  <c r="AB441" i="13"/>
  <c r="Z441" i="13"/>
  <c r="M441" i="13"/>
  <c r="L441" i="13"/>
  <c r="K441" i="13"/>
  <c r="J441" i="13"/>
  <c r="I441" i="13"/>
  <c r="H441" i="13"/>
  <c r="O440" i="13"/>
  <c r="Q440" i="13" s="1"/>
  <c r="N440" i="13"/>
  <c r="P440" i="13" s="1"/>
  <c r="O439" i="13"/>
  <c r="Q439" i="13" s="1"/>
  <c r="N439" i="13"/>
  <c r="P439" i="13" s="1"/>
  <c r="O438" i="13"/>
  <c r="Q438" i="13" s="1"/>
  <c r="N438" i="13"/>
  <c r="P438" i="13" s="1"/>
  <c r="O437" i="13"/>
  <c r="Q437" i="13" s="1"/>
  <c r="N437" i="13"/>
  <c r="P437" i="13" s="1"/>
  <c r="O436" i="13"/>
  <c r="Q436" i="13" s="1"/>
  <c r="N436" i="13"/>
  <c r="P436" i="13" s="1"/>
  <c r="O435" i="13"/>
  <c r="Q435" i="13" s="1"/>
  <c r="N435" i="13"/>
  <c r="P435" i="13" s="1"/>
  <c r="O434" i="13"/>
  <c r="Q434" i="13" s="1"/>
  <c r="N434" i="13"/>
  <c r="P434" i="13" s="1"/>
  <c r="O433" i="13"/>
  <c r="Q433" i="13" s="1"/>
  <c r="N433" i="13"/>
  <c r="P433" i="13" s="1"/>
  <c r="O432" i="13"/>
  <c r="Q432" i="13" s="1"/>
  <c r="N432" i="13"/>
  <c r="P432" i="13" s="1"/>
  <c r="O431" i="13"/>
  <c r="Q431" i="13" s="1"/>
  <c r="N431" i="13"/>
  <c r="P431" i="13" s="1"/>
  <c r="Q430" i="13"/>
  <c r="P430" i="13"/>
  <c r="Q429" i="13"/>
  <c r="P429" i="13"/>
  <c r="AJ427" i="13"/>
  <c r="AI427" i="13"/>
  <c r="AH427" i="13"/>
  <c r="AG427" i="13"/>
  <c r="AF427" i="13"/>
  <c r="AE427" i="13"/>
  <c r="AD427" i="13"/>
  <c r="AC427" i="13"/>
  <c r="AB427" i="13"/>
  <c r="Z427" i="13"/>
  <c r="Q427" i="13"/>
  <c r="L427" i="13"/>
  <c r="J427" i="13"/>
  <c r="H427" i="13"/>
  <c r="Q426" i="13"/>
  <c r="N426" i="13"/>
  <c r="P426" i="13" s="1"/>
  <c r="Q425" i="13"/>
  <c r="N425" i="13"/>
  <c r="P425" i="13" s="1"/>
  <c r="Z423" i="13"/>
  <c r="O422" i="13"/>
  <c r="Q422" i="13" s="1"/>
  <c r="N422" i="13"/>
  <c r="P422" i="13" s="1"/>
  <c r="O421" i="13"/>
  <c r="Q421" i="13" s="1"/>
  <c r="N421" i="13"/>
  <c r="P421" i="13" s="1"/>
  <c r="O420" i="13"/>
  <c r="Q420" i="13" s="1"/>
  <c r="N420" i="13"/>
  <c r="P420" i="13" s="1"/>
  <c r="O419" i="13"/>
  <c r="Q419" i="13" s="1"/>
  <c r="N419" i="13"/>
  <c r="P419" i="13" s="1"/>
  <c r="O418" i="13"/>
  <c r="Q418" i="13" s="1"/>
  <c r="N418" i="13"/>
  <c r="P418" i="13" s="1"/>
  <c r="O417" i="13"/>
  <c r="Q417" i="13" s="1"/>
  <c r="N417" i="13"/>
  <c r="P417" i="13" s="1"/>
  <c r="O416" i="13"/>
  <c r="Q416" i="13" s="1"/>
  <c r="N416" i="13"/>
  <c r="P416" i="13" s="1"/>
  <c r="O415" i="13"/>
  <c r="Q415" i="13" s="1"/>
  <c r="N415" i="13"/>
  <c r="P415" i="13" s="1"/>
  <c r="O414" i="13"/>
  <c r="Q414" i="13" s="1"/>
  <c r="N414" i="13"/>
  <c r="P414" i="13" s="1"/>
  <c r="Q413" i="13"/>
  <c r="N413" i="13"/>
  <c r="P413" i="13" s="1"/>
  <c r="O412" i="13"/>
  <c r="Q412" i="13" s="1"/>
  <c r="N412" i="13"/>
  <c r="P412" i="13" s="1"/>
  <c r="O411" i="13"/>
  <c r="Q411" i="13" s="1"/>
  <c r="N411" i="13"/>
  <c r="P411" i="13" s="1"/>
  <c r="O410" i="13"/>
  <c r="Q410" i="13" s="1"/>
  <c r="N410" i="13"/>
  <c r="P410" i="13" s="1"/>
  <c r="O409" i="13"/>
  <c r="Q409" i="13" s="1"/>
  <c r="N409" i="13"/>
  <c r="P409" i="13" s="1"/>
  <c r="O408" i="13"/>
  <c r="Q408" i="13" s="1"/>
  <c r="N408" i="13"/>
  <c r="P408" i="13" s="1"/>
  <c r="O407" i="13"/>
  <c r="Q407" i="13" s="1"/>
  <c r="N407" i="13"/>
  <c r="P407" i="13" s="1"/>
  <c r="Q406" i="13"/>
  <c r="N406" i="13"/>
  <c r="P406" i="13" s="1"/>
  <c r="M405" i="13"/>
  <c r="M423" i="13" s="1"/>
  <c r="M428" i="13" s="1"/>
  <c r="L405" i="13"/>
  <c r="L423" i="13" s="1"/>
  <c r="K405" i="13"/>
  <c r="K423" i="13" s="1"/>
  <c r="K428" i="13" s="1"/>
  <c r="J405" i="13"/>
  <c r="J423" i="13" s="1"/>
  <c r="I405" i="13"/>
  <c r="I423" i="13" s="1"/>
  <c r="H405" i="13"/>
  <c r="O404" i="13"/>
  <c r="Q404" i="13" s="1"/>
  <c r="N404" i="13"/>
  <c r="P404" i="13" s="1"/>
  <c r="AJ402" i="13"/>
  <c r="AJ423" i="13" s="1"/>
  <c r="AI402" i="13"/>
  <c r="AI423" i="13" s="1"/>
  <c r="AH402" i="13"/>
  <c r="AH423" i="13" s="1"/>
  <c r="AG402" i="13"/>
  <c r="AG423" i="13" s="1"/>
  <c r="AF402" i="13"/>
  <c r="AF423" i="13" s="1"/>
  <c r="O402" i="13"/>
  <c r="Q402" i="13" s="1"/>
  <c r="N402" i="13"/>
  <c r="P402" i="13" s="1"/>
  <c r="AE401" i="13"/>
  <c r="AE423" i="13" s="1"/>
  <c r="AD401" i="13"/>
  <c r="AD423" i="13" s="1"/>
  <c r="AC401" i="13"/>
  <c r="AC423" i="13" s="1"/>
  <c r="AB401" i="13"/>
  <c r="AB423" i="13" s="1"/>
  <c r="O401" i="13"/>
  <c r="Q401" i="13" s="1"/>
  <c r="N401" i="13"/>
  <c r="P401" i="13" s="1"/>
  <c r="O400" i="13"/>
  <c r="Q400" i="13" s="1"/>
  <c r="N400" i="13"/>
  <c r="P400" i="13" s="1"/>
  <c r="O399" i="13"/>
  <c r="Q399" i="13" s="1"/>
  <c r="N399" i="13"/>
  <c r="P399" i="13" s="1"/>
  <c r="O398" i="13"/>
  <c r="Q398" i="13" s="1"/>
  <c r="N398" i="13"/>
  <c r="P398" i="13" s="1"/>
  <c r="O397" i="13"/>
  <c r="Q397" i="13" s="1"/>
  <c r="N397" i="13"/>
  <c r="P397" i="13" s="1"/>
  <c r="O396" i="13"/>
  <c r="Q396" i="13" s="1"/>
  <c r="N396" i="13"/>
  <c r="P396" i="13" s="1"/>
  <c r="O395" i="13"/>
  <c r="Q395" i="13" s="1"/>
  <c r="N395" i="13"/>
  <c r="P395" i="13" s="1"/>
  <c r="O394" i="13"/>
  <c r="Q394" i="13" s="1"/>
  <c r="N394" i="13"/>
  <c r="P394" i="13" s="1"/>
  <c r="O393" i="13"/>
  <c r="Q393" i="13" s="1"/>
  <c r="N393" i="13"/>
  <c r="P393" i="13" s="1"/>
  <c r="O392" i="13"/>
  <c r="Q392" i="13" s="1"/>
  <c r="N392" i="13"/>
  <c r="P392" i="13" s="1"/>
  <c r="O391" i="13"/>
  <c r="Q391" i="13" s="1"/>
  <c r="N391" i="13"/>
  <c r="P391" i="13" s="1"/>
  <c r="O390" i="13"/>
  <c r="Q390" i="13" s="1"/>
  <c r="N390" i="13"/>
  <c r="P390" i="13" s="1"/>
  <c r="O389" i="13"/>
  <c r="Q389" i="13" s="1"/>
  <c r="N389" i="13"/>
  <c r="P389" i="13" s="1"/>
  <c r="O388" i="13"/>
  <c r="Q388" i="13" s="1"/>
  <c r="N388" i="13"/>
  <c r="P388" i="13" s="1"/>
  <c r="O387" i="13"/>
  <c r="Q387" i="13" s="1"/>
  <c r="N387" i="13"/>
  <c r="P387" i="13" s="1"/>
  <c r="O385" i="13"/>
  <c r="Q385" i="13" s="1"/>
  <c r="N385" i="13"/>
  <c r="P385" i="13" s="1"/>
  <c r="O384" i="13"/>
  <c r="Q384" i="13" s="1"/>
  <c r="N384" i="13"/>
  <c r="P384" i="13" s="1"/>
  <c r="Q383" i="13"/>
  <c r="N383" i="13"/>
  <c r="P383" i="13" s="1"/>
  <c r="O382" i="13"/>
  <c r="Q382" i="13" s="1"/>
  <c r="N382" i="13"/>
  <c r="P382" i="13" s="1"/>
  <c r="O381" i="13"/>
  <c r="Q381" i="13" s="1"/>
  <c r="N381" i="13"/>
  <c r="P381" i="13" s="1"/>
  <c r="O380" i="13"/>
  <c r="Q380" i="13" s="1"/>
  <c r="N380" i="13"/>
  <c r="P380" i="13" s="1"/>
  <c r="O379" i="13"/>
  <c r="Q379" i="13" s="1"/>
  <c r="N379" i="13"/>
  <c r="P379" i="13" s="1"/>
  <c r="Z376" i="13"/>
  <c r="M376" i="13"/>
  <c r="L376" i="13"/>
  <c r="K376" i="13"/>
  <c r="J376" i="13"/>
  <c r="I376" i="13"/>
  <c r="O376" i="13" s="1"/>
  <c r="Q376" i="13" s="1"/>
  <c r="H376" i="13"/>
  <c r="AJ375" i="13"/>
  <c r="AI375" i="13"/>
  <c r="AH375" i="13"/>
  <c r="AG375" i="13"/>
  <c r="AF375" i="13"/>
  <c r="AE375" i="13"/>
  <c r="AD375" i="13"/>
  <c r="AC375" i="13"/>
  <c r="AB375" i="13"/>
  <c r="O375" i="13"/>
  <c r="Q375" i="13" s="1"/>
  <c r="N375" i="13"/>
  <c r="P375" i="13" s="1"/>
  <c r="AJ374" i="13"/>
  <c r="AI374" i="13"/>
  <c r="AH374" i="13"/>
  <c r="AG374" i="13"/>
  <c r="AF374" i="13"/>
  <c r="AE374" i="13"/>
  <c r="AD374" i="13"/>
  <c r="AC374" i="13"/>
  <c r="AB374" i="13"/>
  <c r="O374" i="13"/>
  <c r="Q374" i="13" s="1"/>
  <c r="N374" i="13"/>
  <c r="P374" i="13" s="1"/>
  <c r="AJ373" i="13"/>
  <c r="AI373" i="13"/>
  <c r="AH373" i="13"/>
  <c r="AG373" i="13"/>
  <c r="AF373" i="13"/>
  <c r="AE373" i="13"/>
  <c r="AD373" i="13"/>
  <c r="AC373" i="13"/>
  <c r="AB373" i="13"/>
  <c r="O373" i="13"/>
  <c r="Q373" i="13" s="1"/>
  <c r="N373" i="13"/>
  <c r="P373" i="13" s="1"/>
  <c r="Q372" i="13"/>
  <c r="P372" i="13"/>
  <c r="Z371" i="13"/>
  <c r="M371" i="13"/>
  <c r="L371" i="13"/>
  <c r="K371" i="13"/>
  <c r="J371" i="13"/>
  <c r="I371" i="13"/>
  <c r="H371" i="13"/>
  <c r="O370" i="13"/>
  <c r="Q370" i="13" s="1"/>
  <c r="N370" i="13"/>
  <c r="P370" i="13" s="1"/>
  <c r="O369" i="13"/>
  <c r="Q369" i="13" s="1"/>
  <c r="N369" i="13"/>
  <c r="P369" i="13" s="1"/>
  <c r="O368" i="13"/>
  <c r="Q368" i="13" s="1"/>
  <c r="N368" i="13"/>
  <c r="P368" i="13" s="1"/>
  <c r="AJ367" i="13"/>
  <c r="AJ371" i="13" s="1"/>
  <c r="AI367" i="13"/>
  <c r="AI371" i="13" s="1"/>
  <c r="AH367" i="13"/>
  <c r="AH371" i="13" s="1"/>
  <c r="AG367" i="13"/>
  <c r="AG371" i="13" s="1"/>
  <c r="AF367" i="13"/>
  <c r="AF371" i="13" s="1"/>
  <c r="AE367" i="13"/>
  <c r="AE371" i="13" s="1"/>
  <c r="AD367" i="13"/>
  <c r="AD371" i="13" s="1"/>
  <c r="AC367" i="13"/>
  <c r="AC371" i="13" s="1"/>
  <c r="AB367" i="13"/>
  <c r="AB371" i="13" s="1"/>
  <c r="O367" i="13"/>
  <c r="Q367" i="13" s="1"/>
  <c r="N367" i="13"/>
  <c r="P367" i="13" s="1"/>
  <c r="O366" i="13"/>
  <c r="Q366" i="13" s="1"/>
  <c r="N366" i="13"/>
  <c r="P366" i="13" s="1"/>
  <c r="O362" i="13"/>
  <c r="Q362" i="13" s="1"/>
  <c r="N362" i="13"/>
  <c r="P362" i="13" s="1"/>
  <c r="AJ361" i="13"/>
  <c r="AI361" i="13"/>
  <c r="AH361" i="13"/>
  <c r="AG361" i="13"/>
  <c r="AF361" i="13"/>
  <c r="AE361" i="13"/>
  <c r="AD361" i="13"/>
  <c r="AC361" i="13"/>
  <c r="AB361" i="13"/>
  <c r="Z361" i="13"/>
  <c r="M361" i="13"/>
  <c r="L361" i="13"/>
  <c r="K361" i="13"/>
  <c r="J361" i="13"/>
  <c r="I361" i="13"/>
  <c r="H361" i="13"/>
  <c r="O360" i="13"/>
  <c r="Q360" i="13" s="1"/>
  <c r="N360" i="13"/>
  <c r="P360" i="13" s="1"/>
  <c r="O359" i="13"/>
  <c r="Q359" i="13" s="1"/>
  <c r="N359" i="13"/>
  <c r="P359" i="13" s="1"/>
  <c r="O357" i="13"/>
  <c r="Q357" i="13" s="1"/>
  <c r="N357" i="13"/>
  <c r="P357" i="13" s="1"/>
  <c r="O356" i="13"/>
  <c r="Q356" i="13" s="1"/>
  <c r="N356" i="13"/>
  <c r="P356" i="13" s="1"/>
  <c r="O355" i="13"/>
  <c r="Q355" i="13" s="1"/>
  <c r="N355" i="13"/>
  <c r="P355" i="13" s="1"/>
  <c r="O354" i="13"/>
  <c r="Q354" i="13" s="1"/>
  <c r="N354" i="13"/>
  <c r="P354" i="13" s="1"/>
  <c r="O353" i="13"/>
  <c r="Q353" i="13" s="1"/>
  <c r="N353" i="13"/>
  <c r="P353" i="13" s="1"/>
  <c r="O352" i="13"/>
  <c r="Q352" i="13" s="1"/>
  <c r="N352" i="13"/>
  <c r="P352" i="13" s="1"/>
  <c r="O351" i="13"/>
  <c r="Q351" i="13" s="1"/>
  <c r="N351" i="13"/>
  <c r="P351" i="13" s="1"/>
  <c r="AJ350" i="13"/>
  <c r="AI350" i="13"/>
  <c r="AH350" i="13"/>
  <c r="AG350" i="13"/>
  <c r="O350" i="13"/>
  <c r="Q350" i="13" s="1"/>
  <c r="N350" i="13"/>
  <c r="P350" i="13" s="1"/>
  <c r="O349" i="13"/>
  <c r="Q349" i="13" s="1"/>
  <c r="N349" i="13"/>
  <c r="P349" i="13" s="1"/>
  <c r="O348" i="13"/>
  <c r="Q348" i="13" s="1"/>
  <c r="N348" i="13"/>
  <c r="P348" i="13" s="1"/>
  <c r="O347" i="13"/>
  <c r="Q347" i="13" s="1"/>
  <c r="N347" i="13"/>
  <c r="P347" i="13" s="1"/>
  <c r="O346" i="13"/>
  <c r="Q346" i="13" s="1"/>
  <c r="N346" i="13"/>
  <c r="P346" i="13" s="1"/>
  <c r="Q345" i="13"/>
  <c r="N345" i="13"/>
  <c r="P345" i="13" s="1"/>
  <c r="O344" i="13"/>
  <c r="Q344" i="13" s="1"/>
  <c r="N344" i="13"/>
  <c r="P344" i="13" s="1"/>
  <c r="O343" i="13"/>
  <c r="Q343" i="13" s="1"/>
  <c r="N343" i="13"/>
  <c r="P343" i="13" s="1"/>
  <c r="AJ342" i="13"/>
  <c r="AI342" i="13"/>
  <c r="AH342" i="13"/>
  <c r="AG342" i="13"/>
  <c r="AF342" i="13"/>
  <c r="AE342" i="13"/>
  <c r="AD342" i="13"/>
  <c r="AC342" i="13"/>
  <c r="AB342" i="13"/>
  <c r="Z342" i="13"/>
  <c r="M342" i="13"/>
  <c r="L342" i="13"/>
  <c r="K342" i="13"/>
  <c r="J342" i="13"/>
  <c r="I342" i="13"/>
  <c r="H342" i="13"/>
  <c r="O341" i="13"/>
  <c r="Q341" i="13" s="1"/>
  <c r="N341" i="13"/>
  <c r="P341" i="13" s="1"/>
  <c r="O339" i="13"/>
  <c r="Q339" i="13" s="1"/>
  <c r="N339" i="13"/>
  <c r="P339" i="13" s="1"/>
  <c r="Q338" i="13"/>
  <c r="N338" i="13"/>
  <c r="P338" i="13" s="1"/>
  <c r="O337" i="13"/>
  <c r="Q337" i="13" s="1"/>
  <c r="N337" i="13"/>
  <c r="P337" i="13" s="1"/>
  <c r="Q336" i="13"/>
  <c r="N336" i="13"/>
  <c r="P336" i="13" s="1"/>
  <c r="O332" i="13"/>
  <c r="Q332" i="13" s="1"/>
  <c r="N332" i="13"/>
  <c r="P332" i="13" s="1"/>
  <c r="AJ331" i="13"/>
  <c r="AI331" i="13"/>
  <c r="AH331" i="13"/>
  <c r="AG331" i="13"/>
  <c r="AF331" i="13"/>
  <c r="AE331" i="13"/>
  <c r="AD331" i="13"/>
  <c r="AC331" i="13"/>
  <c r="AB331" i="13"/>
  <c r="Z331" i="13"/>
  <c r="M331" i="13"/>
  <c r="L331" i="13"/>
  <c r="K331" i="13"/>
  <c r="J331" i="13"/>
  <c r="I331" i="13"/>
  <c r="H331" i="13"/>
  <c r="O330" i="13"/>
  <c r="Q330" i="13" s="1"/>
  <c r="N330" i="13"/>
  <c r="P330" i="13" s="1"/>
  <c r="AJ328" i="13"/>
  <c r="AI328" i="13"/>
  <c r="AH328" i="13"/>
  <c r="AG328" i="13"/>
  <c r="AF328" i="13"/>
  <c r="AE328" i="13"/>
  <c r="AD328" i="13"/>
  <c r="AC328" i="13"/>
  <c r="AB328" i="13"/>
  <c r="Z328" i="13"/>
  <c r="M328" i="13"/>
  <c r="L328" i="13"/>
  <c r="K328" i="13"/>
  <c r="J328" i="13"/>
  <c r="I328" i="13"/>
  <c r="H328" i="13"/>
  <c r="O326" i="13"/>
  <c r="Q326" i="13" s="1"/>
  <c r="N326" i="13"/>
  <c r="P326" i="13" s="1"/>
  <c r="O325" i="13"/>
  <c r="Q325" i="13" s="1"/>
  <c r="N325" i="13"/>
  <c r="P325" i="13" s="1"/>
  <c r="O324" i="13"/>
  <c r="Q324" i="13" s="1"/>
  <c r="N324" i="13"/>
  <c r="P324" i="13" s="1"/>
  <c r="O323" i="13"/>
  <c r="Q323" i="13" s="1"/>
  <c r="N323" i="13"/>
  <c r="P323" i="13" s="1"/>
  <c r="O322" i="13"/>
  <c r="Q322" i="13" s="1"/>
  <c r="N322" i="13"/>
  <c r="P322" i="13" s="1"/>
  <c r="O321" i="13"/>
  <c r="Q321" i="13" s="1"/>
  <c r="N321" i="13"/>
  <c r="P321" i="13" s="1"/>
  <c r="AJ319" i="13"/>
  <c r="AI319" i="13"/>
  <c r="AH319" i="13"/>
  <c r="AG319" i="13"/>
  <c r="AF319" i="13"/>
  <c r="AE319" i="13"/>
  <c r="AD319" i="13"/>
  <c r="AC319" i="13"/>
  <c r="AB319" i="13"/>
  <c r="Z319" i="13"/>
  <c r="M319" i="13"/>
  <c r="L319" i="13"/>
  <c r="K319" i="13"/>
  <c r="J319" i="13"/>
  <c r="I319" i="13"/>
  <c r="H319" i="13"/>
  <c r="O318" i="13"/>
  <c r="Q318" i="13" s="1"/>
  <c r="N318" i="13"/>
  <c r="P318" i="13" s="1"/>
  <c r="O317" i="13"/>
  <c r="Q317" i="13" s="1"/>
  <c r="N317" i="13"/>
  <c r="P317" i="13" s="1"/>
  <c r="O316" i="13"/>
  <c r="Q316" i="13" s="1"/>
  <c r="N316" i="13"/>
  <c r="P316" i="13" s="1"/>
  <c r="O315" i="13"/>
  <c r="Q315" i="13" s="1"/>
  <c r="N315" i="13"/>
  <c r="P315" i="13" s="1"/>
  <c r="O314" i="13"/>
  <c r="Q314" i="13" s="1"/>
  <c r="N314" i="13"/>
  <c r="P314" i="13" s="1"/>
  <c r="O313" i="13"/>
  <c r="Q313" i="13" s="1"/>
  <c r="N313" i="13"/>
  <c r="P313" i="13" s="1"/>
  <c r="O312" i="13"/>
  <c r="Q312" i="13" s="1"/>
  <c r="N312" i="13"/>
  <c r="P312" i="13" s="1"/>
  <c r="O311" i="13"/>
  <c r="Q311" i="13" s="1"/>
  <c r="N311" i="13"/>
  <c r="P311" i="13" s="1"/>
  <c r="O310" i="13"/>
  <c r="Q310" i="13" s="1"/>
  <c r="N310" i="13"/>
  <c r="P310" i="13" s="1"/>
  <c r="O309" i="13"/>
  <c r="Q309" i="13" s="1"/>
  <c r="N309" i="13"/>
  <c r="P309" i="13" s="1"/>
  <c r="AJ307" i="13"/>
  <c r="AI307" i="13"/>
  <c r="AH307" i="13"/>
  <c r="AG307" i="13"/>
  <c r="AF307" i="13"/>
  <c r="AE307" i="13"/>
  <c r="AD307" i="13"/>
  <c r="AC307" i="13"/>
  <c r="AB307" i="13"/>
  <c r="Z307" i="13"/>
  <c r="M307" i="13"/>
  <c r="L307" i="13"/>
  <c r="K307" i="13"/>
  <c r="J307" i="13"/>
  <c r="I307" i="13"/>
  <c r="H307" i="13"/>
  <c r="O306" i="13"/>
  <c r="Q306" i="13" s="1"/>
  <c r="N306" i="13"/>
  <c r="P306" i="13" s="1"/>
  <c r="O305" i="13"/>
  <c r="Q305" i="13" s="1"/>
  <c r="N305" i="13"/>
  <c r="P305" i="13" s="1"/>
  <c r="O304" i="13"/>
  <c r="Q304" i="13" s="1"/>
  <c r="N304" i="13"/>
  <c r="P304" i="13" s="1"/>
  <c r="O303" i="13"/>
  <c r="Q303" i="13" s="1"/>
  <c r="N303" i="13"/>
  <c r="P303" i="13" s="1"/>
  <c r="AJ301" i="13"/>
  <c r="AI301" i="13"/>
  <c r="AH301" i="13"/>
  <c r="AG301" i="13"/>
  <c r="AF301" i="13"/>
  <c r="AE301" i="13"/>
  <c r="AD301" i="13"/>
  <c r="AC301" i="13"/>
  <c r="AB301" i="13"/>
  <c r="Z301" i="13"/>
  <c r="M301" i="13"/>
  <c r="L301" i="13"/>
  <c r="K301" i="13"/>
  <c r="J301" i="13"/>
  <c r="I301" i="13"/>
  <c r="H301" i="13"/>
  <c r="O300" i="13"/>
  <c r="Q300" i="13" s="1"/>
  <c r="N300" i="13"/>
  <c r="P300" i="13" s="1"/>
  <c r="O299" i="13"/>
  <c r="Q299" i="13" s="1"/>
  <c r="N299" i="13"/>
  <c r="P299" i="13" s="1"/>
  <c r="O298" i="13"/>
  <c r="Q298" i="13" s="1"/>
  <c r="N298" i="13"/>
  <c r="P298" i="13" s="1"/>
  <c r="O297" i="13"/>
  <c r="Q297" i="13" s="1"/>
  <c r="N297" i="13"/>
  <c r="P297" i="13" s="1"/>
  <c r="O296" i="13"/>
  <c r="Q296" i="13" s="1"/>
  <c r="N296" i="13"/>
  <c r="P296" i="13" s="1"/>
  <c r="O295" i="13"/>
  <c r="Q295" i="13" s="1"/>
  <c r="N295" i="13"/>
  <c r="P295" i="13" s="1"/>
  <c r="O294" i="13"/>
  <c r="Q294" i="13" s="1"/>
  <c r="N294" i="13"/>
  <c r="P294" i="13" s="1"/>
  <c r="O293" i="13"/>
  <c r="Q293" i="13" s="1"/>
  <c r="N293" i="13"/>
  <c r="P293" i="13" s="1"/>
  <c r="O292" i="13"/>
  <c r="Q292" i="13" s="1"/>
  <c r="N292" i="13"/>
  <c r="P292" i="13" s="1"/>
  <c r="O291" i="13"/>
  <c r="Q291" i="13" s="1"/>
  <c r="N291" i="13"/>
  <c r="P291" i="13" s="1"/>
  <c r="O290" i="13"/>
  <c r="Q290" i="13" s="1"/>
  <c r="N290" i="13"/>
  <c r="P290" i="13" s="1"/>
  <c r="AJ288" i="13"/>
  <c r="AI288" i="13"/>
  <c r="AH288" i="13"/>
  <c r="AG288" i="13"/>
  <c r="AF288" i="13"/>
  <c r="AE288" i="13"/>
  <c r="AD288" i="13"/>
  <c r="AC288" i="13"/>
  <c r="AB288" i="13"/>
  <c r="Z288" i="13"/>
  <c r="M288" i="13"/>
  <c r="L288" i="13"/>
  <c r="K288" i="13"/>
  <c r="J288" i="13"/>
  <c r="I288" i="13"/>
  <c r="H288" i="13"/>
  <c r="O287" i="13"/>
  <c r="Q287" i="13" s="1"/>
  <c r="N287" i="13"/>
  <c r="P287" i="13" s="1"/>
  <c r="O286" i="13"/>
  <c r="Q286" i="13" s="1"/>
  <c r="N286" i="13"/>
  <c r="P286" i="13" s="1"/>
  <c r="O285" i="13"/>
  <c r="Q285" i="13" s="1"/>
  <c r="N285" i="13"/>
  <c r="P285" i="13" s="1"/>
  <c r="O284" i="13"/>
  <c r="Q284" i="13" s="1"/>
  <c r="N284" i="13"/>
  <c r="P284" i="13" s="1"/>
  <c r="O283" i="13"/>
  <c r="Q283" i="13" s="1"/>
  <c r="N283" i="13"/>
  <c r="P283" i="13" s="1"/>
  <c r="O282" i="13"/>
  <c r="Q282" i="13" s="1"/>
  <c r="N282" i="13"/>
  <c r="P282" i="13" s="1"/>
  <c r="Q281" i="13"/>
  <c r="P281" i="13"/>
  <c r="AJ280" i="13"/>
  <c r="AI280" i="13"/>
  <c r="AH280" i="13"/>
  <c r="AG280" i="13"/>
  <c r="AF280" i="13"/>
  <c r="AE280" i="13"/>
  <c r="AD280" i="13"/>
  <c r="AC280" i="13"/>
  <c r="AB280" i="13"/>
  <c r="Z280" i="13"/>
  <c r="M280" i="13"/>
  <c r="L280" i="13"/>
  <c r="K280" i="13"/>
  <c r="J280" i="13"/>
  <c r="I280" i="13"/>
  <c r="H280" i="13"/>
  <c r="O279" i="13"/>
  <c r="Q279" i="13" s="1"/>
  <c r="N279" i="13"/>
  <c r="P279" i="13" s="1"/>
  <c r="O278" i="13"/>
  <c r="Q278" i="13" s="1"/>
  <c r="N278" i="13"/>
  <c r="P278" i="13" s="1"/>
  <c r="O277" i="13"/>
  <c r="Q277" i="13" s="1"/>
  <c r="N277" i="13"/>
  <c r="P277" i="13" s="1"/>
  <c r="O276" i="13"/>
  <c r="Q276" i="13" s="1"/>
  <c r="N276" i="13"/>
  <c r="P276" i="13" s="1"/>
  <c r="O275" i="13"/>
  <c r="Q275" i="13" s="1"/>
  <c r="N275" i="13"/>
  <c r="P275" i="13" s="1"/>
  <c r="O274" i="13"/>
  <c r="Q274" i="13" s="1"/>
  <c r="N274" i="13"/>
  <c r="P274" i="13" s="1"/>
  <c r="O273" i="13"/>
  <c r="Q273" i="13" s="1"/>
  <c r="N273" i="13"/>
  <c r="P273" i="13" s="1"/>
  <c r="O272" i="13"/>
  <c r="Q272" i="13" s="1"/>
  <c r="N272" i="13"/>
  <c r="P272" i="13" s="1"/>
  <c r="O271" i="13"/>
  <c r="Q271" i="13" s="1"/>
  <c r="N271" i="13"/>
  <c r="P271" i="13" s="1"/>
  <c r="O270" i="13"/>
  <c r="Q270" i="13" s="1"/>
  <c r="N270" i="13"/>
  <c r="P270" i="13" s="1"/>
  <c r="O269" i="13"/>
  <c r="Q269" i="13" s="1"/>
  <c r="N269" i="13"/>
  <c r="P269" i="13" s="1"/>
  <c r="O268" i="13"/>
  <c r="Q268" i="13" s="1"/>
  <c r="N268" i="13"/>
  <c r="P268" i="13" s="1"/>
  <c r="O267" i="13"/>
  <c r="Q267" i="13" s="1"/>
  <c r="N267" i="13"/>
  <c r="P267" i="13" s="1"/>
  <c r="O266" i="13"/>
  <c r="Q266" i="13" s="1"/>
  <c r="N266" i="13"/>
  <c r="P266" i="13" s="1"/>
  <c r="O265" i="13"/>
  <c r="Q265" i="13" s="1"/>
  <c r="N265" i="13"/>
  <c r="P265" i="13" s="1"/>
  <c r="AJ263" i="13"/>
  <c r="AI263" i="13"/>
  <c r="AH263" i="13"/>
  <c r="AG263" i="13"/>
  <c r="AF263" i="13"/>
  <c r="AE263" i="13"/>
  <c r="AD263" i="13"/>
  <c r="AC263" i="13"/>
  <c r="AB263" i="13"/>
  <c r="Z263" i="13"/>
  <c r="M263" i="13"/>
  <c r="L263" i="13"/>
  <c r="K263" i="13"/>
  <c r="J263" i="13"/>
  <c r="I263" i="13"/>
  <c r="H263" i="13"/>
  <c r="O262" i="13"/>
  <c r="Q262" i="13" s="1"/>
  <c r="N262" i="13"/>
  <c r="P262" i="13" s="1"/>
  <c r="O261" i="13"/>
  <c r="Q261" i="13" s="1"/>
  <c r="N261" i="13"/>
  <c r="P261" i="13" s="1"/>
  <c r="O260" i="13"/>
  <c r="Q260" i="13" s="1"/>
  <c r="N260" i="13"/>
  <c r="P260" i="13" s="1"/>
  <c r="O259" i="13"/>
  <c r="Q259" i="13" s="1"/>
  <c r="N259" i="13"/>
  <c r="P259" i="13" s="1"/>
  <c r="Q258" i="13"/>
  <c r="P258" i="13"/>
  <c r="AJ257" i="13"/>
  <c r="AI257" i="13"/>
  <c r="AH257" i="13"/>
  <c r="AG257" i="13"/>
  <c r="AF257" i="13"/>
  <c r="AE257" i="13"/>
  <c r="AD257" i="13"/>
  <c r="AC257" i="13"/>
  <c r="AB257" i="13"/>
  <c r="Z257" i="13"/>
  <c r="M257" i="13"/>
  <c r="L257" i="13"/>
  <c r="K257" i="13"/>
  <c r="J257" i="13"/>
  <c r="I257" i="13"/>
  <c r="H257" i="13"/>
  <c r="O256" i="13"/>
  <c r="Q256" i="13" s="1"/>
  <c r="N256" i="13"/>
  <c r="P256" i="13" s="1"/>
  <c r="O255" i="13"/>
  <c r="Q255" i="13" s="1"/>
  <c r="N255" i="13"/>
  <c r="P255" i="13" s="1"/>
  <c r="Q254" i="13"/>
  <c r="N254" i="13"/>
  <c r="P254" i="13" s="1"/>
  <c r="O253" i="13"/>
  <c r="Q253" i="13" s="1"/>
  <c r="N253" i="13"/>
  <c r="P253" i="13" s="1"/>
  <c r="O252" i="13"/>
  <c r="Q252" i="13" s="1"/>
  <c r="N252" i="13"/>
  <c r="P252" i="13" s="1"/>
  <c r="O251" i="13"/>
  <c r="Q251" i="13" s="1"/>
  <c r="N251" i="13"/>
  <c r="P251" i="13" s="1"/>
  <c r="Q250" i="13"/>
  <c r="N250" i="13"/>
  <c r="P250" i="13" s="1"/>
  <c r="O249" i="13"/>
  <c r="Q249" i="13" s="1"/>
  <c r="N249" i="13"/>
  <c r="P249" i="13" s="1"/>
  <c r="O248" i="13"/>
  <c r="Q248" i="13" s="1"/>
  <c r="N248" i="13"/>
  <c r="P248" i="13" s="1"/>
  <c r="O247" i="13"/>
  <c r="Q247" i="13" s="1"/>
  <c r="N247" i="13"/>
  <c r="P247" i="13" s="1"/>
  <c r="O246" i="13"/>
  <c r="Q246" i="13" s="1"/>
  <c r="N246" i="13"/>
  <c r="P246" i="13" s="1"/>
  <c r="O245" i="13"/>
  <c r="Q245" i="13" s="1"/>
  <c r="N245" i="13"/>
  <c r="P245" i="13" s="1"/>
  <c r="Q244" i="13"/>
  <c r="N244" i="13"/>
  <c r="P244" i="13" s="1"/>
  <c r="O243" i="13"/>
  <c r="Q243" i="13" s="1"/>
  <c r="N243" i="13"/>
  <c r="P243" i="13" s="1"/>
  <c r="O242" i="13"/>
  <c r="Q242" i="13" s="1"/>
  <c r="N242" i="13"/>
  <c r="P242" i="13" s="1"/>
  <c r="O241" i="13"/>
  <c r="Q241" i="13" s="1"/>
  <c r="N241" i="13"/>
  <c r="P241" i="13" s="1"/>
  <c r="O240" i="13"/>
  <c r="Q240" i="13" s="1"/>
  <c r="N240" i="13"/>
  <c r="P240" i="13" s="1"/>
  <c r="O239" i="13"/>
  <c r="Q239" i="13" s="1"/>
  <c r="N239" i="13"/>
  <c r="P239" i="13" s="1"/>
  <c r="O238" i="13"/>
  <c r="Q238" i="13" s="1"/>
  <c r="N238" i="13"/>
  <c r="P238" i="13" s="1"/>
  <c r="O237" i="13"/>
  <c r="Q237" i="13" s="1"/>
  <c r="N237" i="13"/>
  <c r="P237" i="13" s="1"/>
  <c r="O236" i="13"/>
  <c r="Q236" i="13" s="1"/>
  <c r="N236" i="13"/>
  <c r="P236" i="13" s="1"/>
  <c r="AJ234" i="13"/>
  <c r="AI234" i="13"/>
  <c r="AH234" i="13"/>
  <c r="AG234" i="13"/>
  <c r="AF234" i="13"/>
  <c r="AE234" i="13"/>
  <c r="AD234" i="13"/>
  <c r="AC234" i="13"/>
  <c r="AB234" i="13"/>
  <c r="Z234" i="13"/>
  <c r="M234" i="13"/>
  <c r="L234" i="13"/>
  <c r="K234" i="13"/>
  <c r="J234" i="13"/>
  <c r="I234" i="13"/>
  <c r="H234" i="13"/>
  <c r="O233" i="13"/>
  <c r="Q233" i="13" s="1"/>
  <c r="N233" i="13"/>
  <c r="P233" i="13" s="1"/>
  <c r="O232" i="13"/>
  <c r="Q232" i="13" s="1"/>
  <c r="N232" i="13"/>
  <c r="P232" i="13" s="1"/>
  <c r="O231" i="13"/>
  <c r="Q231" i="13" s="1"/>
  <c r="N231" i="13"/>
  <c r="P231" i="13" s="1"/>
  <c r="O230" i="13"/>
  <c r="Q230" i="13" s="1"/>
  <c r="N230" i="13"/>
  <c r="P230" i="13" s="1"/>
  <c r="Q229" i="13"/>
  <c r="P229" i="13"/>
  <c r="O228" i="13"/>
  <c r="Q228" i="13" s="1"/>
  <c r="N228" i="13"/>
  <c r="P228" i="13" s="1"/>
  <c r="AJ227" i="13"/>
  <c r="AI227" i="13"/>
  <c r="AH227" i="13"/>
  <c r="AG227" i="13"/>
  <c r="AF227" i="13"/>
  <c r="AE227" i="13"/>
  <c r="AD227" i="13"/>
  <c r="AC227" i="13"/>
  <c r="AB227" i="13"/>
  <c r="AG225" i="13"/>
  <c r="Z225" i="13"/>
  <c r="M225" i="13"/>
  <c r="L225" i="13"/>
  <c r="K225" i="13"/>
  <c r="J225" i="13"/>
  <c r="I225" i="13"/>
  <c r="O225" i="13" s="1"/>
  <c r="Q225" i="13" s="1"/>
  <c r="H225" i="13"/>
  <c r="O224" i="13"/>
  <c r="Q224" i="13" s="1"/>
  <c r="N224" i="13"/>
  <c r="P224" i="13" s="1"/>
  <c r="AJ223" i="13"/>
  <c r="AJ225" i="13" s="1"/>
  <c r="AI223" i="13"/>
  <c r="AI225" i="13" s="1"/>
  <c r="AH223" i="13"/>
  <c r="AH225" i="13" s="1"/>
  <c r="AG223" i="13"/>
  <c r="AF223" i="13"/>
  <c r="AF225" i="13" s="1"/>
  <c r="AE223" i="13"/>
  <c r="AE225" i="13" s="1"/>
  <c r="AD223" i="13"/>
  <c r="AD225" i="13" s="1"/>
  <c r="AC223" i="13"/>
  <c r="AC225" i="13" s="1"/>
  <c r="AB223" i="13"/>
  <c r="AB225" i="13" s="1"/>
  <c r="O223" i="13"/>
  <c r="Q223" i="13" s="1"/>
  <c r="N223" i="13"/>
  <c r="P223" i="13" s="1"/>
  <c r="AJ218" i="13"/>
  <c r="AI218" i="13"/>
  <c r="AH218" i="13"/>
  <c r="AG218" i="13"/>
  <c r="Q218" i="13"/>
  <c r="L218" i="13"/>
  <c r="J218" i="13"/>
  <c r="H218" i="13"/>
  <c r="N218" i="13" s="1"/>
  <c r="P218" i="13" s="1"/>
  <c r="Q217" i="13"/>
  <c r="N217" i="13"/>
  <c r="P217" i="13" s="1"/>
  <c r="AJ215" i="13"/>
  <c r="AI215" i="13"/>
  <c r="AH215" i="13"/>
  <c r="AG215" i="13"/>
  <c r="AF215" i="13"/>
  <c r="AF219" i="13" s="1"/>
  <c r="AE215" i="13"/>
  <c r="AE219" i="13" s="1"/>
  <c r="AD215" i="13"/>
  <c r="AD219" i="13" s="1"/>
  <c r="AC215" i="13"/>
  <c r="AC219" i="13" s="1"/>
  <c r="AB215" i="13"/>
  <c r="AB219" i="13" s="1"/>
  <c r="Z215" i="13"/>
  <c r="Z219" i="13" s="1"/>
  <c r="M215" i="13"/>
  <c r="M219" i="13" s="1"/>
  <c r="L215" i="13"/>
  <c r="K215" i="13"/>
  <c r="K219" i="13" s="1"/>
  <c r="J215" i="13"/>
  <c r="I215" i="13"/>
  <c r="H215" i="13"/>
  <c r="O214" i="13"/>
  <c r="Q214" i="13" s="1"/>
  <c r="N214" i="13"/>
  <c r="P214" i="13" s="1"/>
  <c r="O213" i="13"/>
  <c r="Q213" i="13" s="1"/>
  <c r="N213" i="13"/>
  <c r="P213" i="13" s="1"/>
  <c r="Q212" i="13"/>
  <c r="N212" i="13"/>
  <c r="P212" i="13" s="1"/>
  <c r="O211" i="13"/>
  <c r="Q211" i="13" s="1"/>
  <c r="N211" i="13"/>
  <c r="P211" i="13" s="1"/>
  <c r="O210" i="13"/>
  <c r="Q210" i="13" s="1"/>
  <c r="N210" i="13"/>
  <c r="P210" i="13" s="1"/>
  <c r="AJ207" i="13"/>
  <c r="AI207" i="13"/>
  <c r="AH207" i="13"/>
  <c r="AG207" i="13"/>
  <c r="AF207" i="13"/>
  <c r="AE207" i="13"/>
  <c r="AD207" i="13"/>
  <c r="AC207" i="13"/>
  <c r="AB207" i="13"/>
  <c r="Z207" i="13"/>
  <c r="M207" i="13"/>
  <c r="L207" i="13"/>
  <c r="K207" i="13"/>
  <c r="J207" i="13"/>
  <c r="I207" i="13"/>
  <c r="H207" i="13"/>
  <c r="O206" i="13"/>
  <c r="Q206" i="13" s="1"/>
  <c r="N206" i="13"/>
  <c r="P206" i="13" s="1"/>
  <c r="O205" i="13"/>
  <c r="Q205" i="13" s="1"/>
  <c r="N205" i="13"/>
  <c r="P205" i="13" s="1"/>
  <c r="Q204" i="13"/>
  <c r="N204" i="13"/>
  <c r="P204" i="13" s="1"/>
  <c r="O203" i="13"/>
  <c r="Q203" i="13" s="1"/>
  <c r="N203" i="13"/>
  <c r="P203" i="13" s="1"/>
  <c r="AJ201" i="13"/>
  <c r="AI201" i="13"/>
  <c r="AH201" i="13"/>
  <c r="AG201" i="13"/>
  <c r="AF201" i="13"/>
  <c r="AE201" i="13"/>
  <c r="AD201" i="13"/>
  <c r="AC201" i="13"/>
  <c r="AB201" i="13"/>
  <c r="Z201" i="13"/>
  <c r="M201" i="13"/>
  <c r="L201" i="13"/>
  <c r="K201" i="13"/>
  <c r="J201" i="13"/>
  <c r="I201" i="13"/>
  <c r="H201" i="13"/>
  <c r="O200" i="13"/>
  <c r="Q200" i="13" s="1"/>
  <c r="N200" i="13"/>
  <c r="P200" i="13" s="1"/>
  <c r="Z198" i="13"/>
  <c r="M198" i="13"/>
  <c r="L198" i="13"/>
  <c r="K198" i="13"/>
  <c r="J198" i="13"/>
  <c r="I198" i="13"/>
  <c r="H198" i="13"/>
  <c r="O197" i="13"/>
  <c r="Q197" i="13" s="1"/>
  <c r="N197" i="13"/>
  <c r="P197" i="13" s="1"/>
  <c r="AJ196" i="13"/>
  <c r="AI196" i="13"/>
  <c r="AH196" i="13"/>
  <c r="AG196" i="13"/>
  <c r="AF196" i="13"/>
  <c r="AE196" i="13"/>
  <c r="AD196" i="13"/>
  <c r="AC196" i="13"/>
  <c r="AB196" i="13"/>
  <c r="O196" i="13"/>
  <c r="Q196" i="13" s="1"/>
  <c r="N196" i="13"/>
  <c r="P196" i="13" s="1"/>
  <c r="AJ195" i="13"/>
  <c r="AI195" i="13"/>
  <c r="AH195" i="13"/>
  <c r="AG195" i="13"/>
  <c r="AF195" i="13"/>
  <c r="AE195" i="13"/>
  <c r="AD195" i="13"/>
  <c r="AC195" i="13"/>
  <c r="AB195" i="13"/>
  <c r="O195" i="13"/>
  <c r="Q195" i="13" s="1"/>
  <c r="N195" i="13"/>
  <c r="P195" i="13" s="1"/>
  <c r="O194" i="13"/>
  <c r="Q194" i="13" s="1"/>
  <c r="N194" i="13"/>
  <c r="P194" i="13" s="1"/>
  <c r="AJ193" i="13"/>
  <c r="AI193" i="13"/>
  <c r="AH193" i="13"/>
  <c r="AG193" i="13"/>
  <c r="AF193" i="13"/>
  <c r="AE193" i="13"/>
  <c r="AD193" i="13"/>
  <c r="AC193" i="13"/>
  <c r="AB193" i="13"/>
  <c r="O193" i="13"/>
  <c r="Q193" i="13" s="1"/>
  <c r="N193" i="13"/>
  <c r="P193" i="13" s="1"/>
  <c r="AJ191" i="13"/>
  <c r="AI191" i="13"/>
  <c r="AH191" i="13"/>
  <c r="AG191" i="13"/>
  <c r="AF191" i="13"/>
  <c r="AE191" i="13"/>
  <c r="AD191" i="13"/>
  <c r="AC191" i="13"/>
  <c r="AB191" i="13"/>
  <c r="Z191" i="13"/>
  <c r="M191" i="13"/>
  <c r="L191" i="13"/>
  <c r="K191" i="13"/>
  <c r="J191" i="13"/>
  <c r="I191" i="13"/>
  <c r="H191" i="13"/>
  <c r="O190" i="13"/>
  <c r="Q190" i="13" s="1"/>
  <c r="N190" i="13"/>
  <c r="P190" i="13" s="1"/>
  <c r="Q189" i="13"/>
  <c r="P189" i="13"/>
  <c r="Z188" i="13"/>
  <c r="M188" i="13"/>
  <c r="L188" i="13"/>
  <c r="K188" i="13"/>
  <c r="J188" i="13"/>
  <c r="I188" i="13"/>
  <c r="H188" i="13"/>
  <c r="O187" i="13"/>
  <c r="Q187" i="13" s="1"/>
  <c r="N187" i="13"/>
  <c r="P187" i="13" s="1"/>
  <c r="O186" i="13"/>
  <c r="Q186" i="13" s="1"/>
  <c r="N186" i="13"/>
  <c r="P186" i="13" s="1"/>
  <c r="AJ185" i="13"/>
  <c r="AJ188" i="13" s="1"/>
  <c r="AI185" i="13"/>
  <c r="AI188" i="13" s="1"/>
  <c r="AH185" i="13"/>
  <c r="AH188" i="13" s="1"/>
  <c r="AG185" i="13"/>
  <c r="AG188" i="13" s="1"/>
  <c r="AF185" i="13"/>
  <c r="AF188" i="13" s="1"/>
  <c r="AE185" i="13"/>
  <c r="AE188" i="13" s="1"/>
  <c r="AD185" i="13"/>
  <c r="AD188" i="13" s="1"/>
  <c r="AC185" i="13"/>
  <c r="AC188" i="13" s="1"/>
  <c r="AB185" i="13"/>
  <c r="AB188" i="13" s="1"/>
  <c r="O185" i="13"/>
  <c r="Q185" i="13" s="1"/>
  <c r="N185" i="13"/>
  <c r="P185" i="13" s="1"/>
  <c r="Q184" i="13"/>
  <c r="P184" i="13"/>
  <c r="Z182" i="13"/>
  <c r="M182" i="13"/>
  <c r="L182" i="13"/>
  <c r="K182" i="13"/>
  <c r="J182" i="13"/>
  <c r="I182" i="13"/>
  <c r="H182" i="13"/>
  <c r="O181" i="13"/>
  <c r="Q181" i="13" s="1"/>
  <c r="N181" i="13"/>
  <c r="P181" i="13" s="1"/>
  <c r="O180" i="13"/>
  <c r="Q180" i="13" s="1"/>
  <c r="N180" i="13"/>
  <c r="P180" i="13" s="1"/>
  <c r="O179" i="13"/>
  <c r="Q179" i="13" s="1"/>
  <c r="N179" i="13"/>
  <c r="P179" i="13" s="1"/>
  <c r="O178" i="13"/>
  <c r="Q178" i="13" s="1"/>
  <c r="N178" i="13"/>
  <c r="P178" i="13" s="1"/>
  <c r="O177" i="13"/>
  <c r="Q177" i="13" s="1"/>
  <c r="N177" i="13"/>
  <c r="P177" i="13" s="1"/>
  <c r="AJ176" i="13"/>
  <c r="AI176" i="13"/>
  <c r="AH176" i="13"/>
  <c r="AG176" i="13"/>
  <c r="O176" i="13"/>
  <c r="Q176" i="13" s="1"/>
  <c r="N176" i="13"/>
  <c r="P176" i="13" s="1"/>
  <c r="O175" i="13"/>
  <c r="Q175" i="13" s="1"/>
  <c r="N175" i="13"/>
  <c r="P175" i="13" s="1"/>
  <c r="O174" i="13"/>
  <c r="Q174" i="13" s="1"/>
  <c r="N174" i="13"/>
  <c r="P174" i="13" s="1"/>
  <c r="AJ173" i="13"/>
  <c r="AI173" i="13"/>
  <c r="AH173" i="13"/>
  <c r="AG173" i="13"/>
  <c r="AF173" i="13"/>
  <c r="AE173" i="13"/>
  <c r="AE182" i="13" s="1"/>
  <c r="AD173" i="13"/>
  <c r="AD182" i="13" s="1"/>
  <c r="AC173" i="13"/>
  <c r="AC182" i="13" s="1"/>
  <c r="AB173" i="13"/>
  <c r="AB182" i="13" s="1"/>
  <c r="O173" i="13"/>
  <c r="Q173" i="13" s="1"/>
  <c r="N173" i="13"/>
  <c r="P173" i="13" s="1"/>
  <c r="AJ172" i="13"/>
  <c r="AI172" i="13"/>
  <c r="AH172" i="13"/>
  <c r="AG172" i="13"/>
  <c r="AF172" i="13"/>
  <c r="O172" i="13"/>
  <c r="Q172" i="13" s="1"/>
  <c r="N172" i="13"/>
  <c r="P172" i="13" s="1"/>
  <c r="Q171" i="13"/>
  <c r="P171" i="13"/>
  <c r="O169" i="13"/>
  <c r="Q169" i="13" s="1"/>
  <c r="N169" i="13"/>
  <c r="P169" i="13" s="1"/>
  <c r="AJ168" i="13"/>
  <c r="AI168" i="13"/>
  <c r="AH168" i="13"/>
  <c r="AG168" i="13"/>
  <c r="AF168" i="13"/>
  <c r="AE168" i="13"/>
  <c r="AD168" i="13"/>
  <c r="AC168" i="13"/>
  <c r="AB168" i="13"/>
  <c r="Z168" i="13"/>
  <c r="M168" i="13"/>
  <c r="L168" i="13"/>
  <c r="K168" i="13"/>
  <c r="J168" i="13"/>
  <c r="I168" i="13"/>
  <c r="H168" i="13"/>
  <c r="O167" i="13"/>
  <c r="Q167" i="13" s="1"/>
  <c r="N167" i="13"/>
  <c r="P167" i="13" s="1"/>
  <c r="O166" i="13"/>
  <c r="Q166" i="13" s="1"/>
  <c r="N166" i="13"/>
  <c r="P166" i="13" s="1"/>
  <c r="Q165" i="13"/>
  <c r="P165" i="13"/>
  <c r="AJ164" i="13"/>
  <c r="AI164" i="13"/>
  <c r="AH164" i="13"/>
  <c r="AG164" i="13"/>
  <c r="AF164" i="13"/>
  <c r="AE164" i="13"/>
  <c r="AD164" i="13"/>
  <c r="AC164" i="13"/>
  <c r="AB164" i="13"/>
  <c r="Z164" i="13"/>
  <c r="M164" i="13"/>
  <c r="L164" i="13"/>
  <c r="K164" i="13"/>
  <c r="J164" i="13"/>
  <c r="I164" i="13"/>
  <c r="H164" i="13"/>
  <c r="O163" i="13"/>
  <c r="Q163" i="13" s="1"/>
  <c r="N163" i="13"/>
  <c r="P163" i="13" s="1"/>
  <c r="O162" i="13"/>
  <c r="Q162" i="13" s="1"/>
  <c r="N162" i="13"/>
  <c r="P162" i="13" s="1"/>
  <c r="O161" i="13"/>
  <c r="Q161" i="13" s="1"/>
  <c r="N161" i="13"/>
  <c r="P161" i="13" s="1"/>
  <c r="Q160" i="13"/>
  <c r="P160" i="13"/>
  <c r="AJ159" i="13"/>
  <c r="AI159" i="13"/>
  <c r="AH159" i="13"/>
  <c r="AG159" i="13"/>
  <c r="AF159" i="13"/>
  <c r="AE159" i="13"/>
  <c r="AD159" i="13"/>
  <c r="AC159" i="13"/>
  <c r="AB159" i="13"/>
  <c r="Z159" i="13"/>
  <c r="M159" i="13"/>
  <c r="L159" i="13"/>
  <c r="K159" i="13"/>
  <c r="J159" i="13"/>
  <c r="I159" i="13"/>
  <c r="H159" i="13"/>
  <c r="O158" i="13"/>
  <c r="Q158" i="13" s="1"/>
  <c r="N158" i="13"/>
  <c r="P158" i="13" s="1"/>
  <c r="Q157" i="13"/>
  <c r="P157" i="13"/>
  <c r="AJ156" i="13"/>
  <c r="AI156" i="13"/>
  <c r="AH156" i="13"/>
  <c r="AG156" i="13"/>
  <c r="AF156" i="13"/>
  <c r="AE156" i="13"/>
  <c r="AD156" i="13"/>
  <c r="AC156" i="13"/>
  <c r="AB156" i="13"/>
  <c r="Z156" i="13"/>
  <c r="M156" i="13"/>
  <c r="L156" i="13"/>
  <c r="K156" i="13"/>
  <c r="J156" i="13"/>
  <c r="I156" i="13"/>
  <c r="H156" i="13"/>
  <c r="O155" i="13"/>
  <c r="Q155" i="13" s="1"/>
  <c r="N155" i="13"/>
  <c r="P155" i="13" s="1"/>
  <c r="O154" i="13"/>
  <c r="Q154" i="13" s="1"/>
  <c r="N154" i="13"/>
  <c r="P154" i="13" s="1"/>
  <c r="O153" i="13"/>
  <c r="Q153" i="13" s="1"/>
  <c r="N153" i="13"/>
  <c r="P153" i="13" s="1"/>
  <c r="Q152" i="13"/>
  <c r="P152" i="13"/>
  <c r="AJ151" i="13"/>
  <c r="AI151" i="13"/>
  <c r="AH151" i="13"/>
  <c r="AG151" i="13"/>
  <c r="AF151" i="13"/>
  <c r="AE151" i="13"/>
  <c r="AD151" i="13"/>
  <c r="AC151" i="13"/>
  <c r="AB151" i="13"/>
  <c r="Z151" i="13"/>
  <c r="M151" i="13"/>
  <c r="L151" i="13"/>
  <c r="K151" i="13"/>
  <c r="J151" i="13"/>
  <c r="I151" i="13"/>
  <c r="O151" i="13" s="1"/>
  <c r="Q151" i="13" s="1"/>
  <c r="H151" i="13"/>
  <c r="O150" i="13"/>
  <c r="Q150" i="13" s="1"/>
  <c r="N150" i="13"/>
  <c r="P150" i="13" s="1"/>
  <c r="O149" i="13"/>
  <c r="Q149" i="13" s="1"/>
  <c r="N149" i="13"/>
  <c r="P149" i="13" s="1"/>
  <c r="O148" i="13"/>
  <c r="Q148" i="13" s="1"/>
  <c r="N148" i="13"/>
  <c r="P148" i="13" s="1"/>
  <c r="O147" i="13"/>
  <c r="Q147" i="13" s="1"/>
  <c r="N147" i="13"/>
  <c r="P147" i="13" s="1"/>
  <c r="O146" i="13"/>
  <c r="Q146" i="13" s="1"/>
  <c r="N146" i="13"/>
  <c r="P146" i="13" s="1"/>
  <c r="Q145" i="13"/>
  <c r="P145" i="13"/>
  <c r="AE144" i="13"/>
  <c r="AD144" i="13"/>
  <c r="AC144" i="13"/>
  <c r="AB144" i="13"/>
  <c r="Z144" i="13"/>
  <c r="M144" i="13"/>
  <c r="L144" i="13"/>
  <c r="K144" i="13"/>
  <c r="J144" i="13"/>
  <c r="I144" i="13"/>
  <c r="H144" i="13"/>
  <c r="AJ143" i="13"/>
  <c r="AJ144" i="13" s="1"/>
  <c r="AI143" i="13"/>
  <c r="AI144" i="13" s="1"/>
  <c r="AH143" i="13"/>
  <c r="AH144" i="13" s="1"/>
  <c r="AG143" i="13"/>
  <c r="AG144" i="13" s="1"/>
  <c r="AF143" i="13"/>
  <c r="AF144" i="13" s="1"/>
  <c r="O143" i="13"/>
  <c r="Q143" i="13" s="1"/>
  <c r="N143" i="13"/>
  <c r="P143" i="13" s="1"/>
  <c r="Q142" i="13"/>
  <c r="P142" i="13"/>
  <c r="AJ141" i="13"/>
  <c r="AI141" i="13"/>
  <c r="AH141" i="13"/>
  <c r="AG141" i="13"/>
  <c r="AF141" i="13"/>
  <c r="AE141" i="13"/>
  <c r="AD141" i="13"/>
  <c r="AC141" i="13"/>
  <c r="AB141" i="13"/>
  <c r="Z141" i="13"/>
  <c r="M141" i="13"/>
  <c r="L141" i="13"/>
  <c r="K141" i="13"/>
  <c r="J141" i="13"/>
  <c r="I141" i="13"/>
  <c r="O141" i="13" s="1"/>
  <c r="Q141" i="13" s="1"/>
  <c r="H141" i="13"/>
  <c r="N141" i="13" s="1"/>
  <c r="P141" i="13" s="1"/>
  <c r="O140" i="13"/>
  <c r="Q140" i="13" s="1"/>
  <c r="N140" i="13"/>
  <c r="P140" i="13" s="1"/>
  <c r="O139" i="13"/>
  <c r="Q139" i="13" s="1"/>
  <c r="N139" i="13"/>
  <c r="P139" i="13" s="1"/>
  <c r="O138" i="13"/>
  <c r="Q138" i="13" s="1"/>
  <c r="N138" i="13"/>
  <c r="P138" i="13" s="1"/>
  <c r="O137" i="13"/>
  <c r="Q137" i="13" s="1"/>
  <c r="N137" i="13"/>
  <c r="P137" i="13" s="1"/>
  <c r="Q136" i="13"/>
  <c r="P136" i="13"/>
  <c r="AJ135" i="13"/>
  <c r="AI135" i="13"/>
  <c r="AH135" i="13"/>
  <c r="AG135" i="13"/>
  <c r="AF135" i="13"/>
  <c r="AE135" i="13"/>
  <c r="AD135" i="13"/>
  <c r="AC135" i="13"/>
  <c r="AB135" i="13"/>
  <c r="Z135" i="13"/>
  <c r="M135" i="13"/>
  <c r="L135" i="13"/>
  <c r="K135" i="13"/>
  <c r="J135" i="13"/>
  <c r="I135" i="13"/>
  <c r="H135" i="13"/>
  <c r="O134" i="13"/>
  <c r="Q134" i="13" s="1"/>
  <c r="N134" i="13"/>
  <c r="P134" i="13" s="1"/>
  <c r="O133" i="13"/>
  <c r="Q133" i="13" s="1"/>
  <c r="N133" i="13"/>
  <c r="P133" i="13" s="1"/>
  <c r="O132" i="13"/>
  <c r="Q132" i="13" s="1"/>
  <c r="N132" i="13"/>
  <c r="P132" i="13" s="1"/>
  <c r="Q131" i="13"/>
  <c r="P131" i="13"/>
  <c r="AJ130" i="13"/>
  <c r="AI130" i="13"/>
  <c r="AH130" i="13"/>
  <c r="AG130" i="13"/>
  <c r="AF130" i="13"/>
  <c r="AE130" i="13"/>
  <c r="AD130" i="13"/>
  <c r="AC130" i="13"/>
  <c r="AB130" i="13"/>
  <c r="Z130" i="13"/>
  <c r="M130" i="13"/>
  <c r="L130" i="13"/>
  <c r="K130" i="13"/>
  <c r="J130" i="13"/>
  <c r="I130" i="13"/>
  <c r="H130" i="13"/>
  <c r="N130" i="13" s="1"/>
  <c r="P130" i="13" s="1"/>
  <c r="O129" i="13"/>
  <c r="Q129" i="13" s="1"/>
  <c r="N129" i="13"/>
  <c r="P129" i="13" s="1"/>
  <c r="O128" i="13"/>
  <c r="Q128" i="13" s="1"/>
  <c r="N128" i="13"/>
  <c r="P128" i="13" s="1"/>
  <c r="O127" i="13"/>
  <c r="Q127" i="13" s="1"/>
  <c r="N127" i="13"/>
  <c r="P127" i="13" s="1"/>
  <c r="O126" i="13"/>
  <c r="Q126" i="13" s="1"/>
  <c r="N126" i="13"/>
  <c r="P126" i="13" s="1"/>
  <c r="Q125" i="13"/>
  <c r="P125" i="13"/>
  <c r="AJ124" i="13"/>
  <c r="AI124" i="13"/>
  <c r="AH124" i="13"/>
  <c r="AG124" i="13"/>
  <c r="AF124" i="13"/>
  <c r="AE124" i="13"/>
  <c r="AD124" i="13"/>
  <c r="AC124" i="13"/>
  <c r="AB124" i="13"/>
  <c r="Z124" i="13"/>
  <c r="M124" i="13"/>
  <c r="L124" i="13"/>
  <c r="K124" i="13"/>
  <c r="J124" i="13"/>
  <c r="I124" i="13"/>
  <c r="H124" i="13"/>
  <c r="O123" i="13"/>
  <c r="Q123" i="13" s="1"/>
  <c r="N123" i="13"/>
  <c r="P123" i="13" s="1"/>
  <c r="O122" i="13"/>
  <c r="Q122" i="13" s="1"/>
  <c r="N122" i="13"/>
  <c r="P122" i="13" s="1"/>
  <c r="O121" i="13"/>
  <c r="Q121" i="13" s="1"/>
  <c r="N121" i="13"/>
  <c r="P121" i="13" s="1"/>
  <c r="O120" i="13"/>
  <c r="Q120" i="13" s="1"/>
  <c r="N120" i="13"/>
  <c r="P120" i="13" s="1"/>
  <c r="O119" i="13"/>
  <c r="Q119" i="13" s="1"/>
  <c r="N119" i="13"/>
  <c r="P119" i="13" s="1"/>
  <c r="Q118" i="13"/>
  <c r="P118" i="13"/>
  <c r="Q117" i="13"/>
  <c r="P117" i="13"/>
  <c r="M115" i="13"/>
  <c r="L115" i="13"/>
  <c r="K115" i="13"/>
  <c r="J115" i="13"/>
  <c r="I115" i="13"/>
  <c r="H115" i="13"/>
  <c r="O114" i="13"/>
  <c r="Q114" i="13" s="1"/>
  <c r="N114" i="13"/>
  <c r="P114" i="13" s="1"/>
  <c r="O113" i="13"/>
  <c r="Q113" i="13" s="1"/>
  <c r="N113" i="13"/>
  <c r="P113" i="13" s="1"/>
  <c r="Q112" i="13"/>
  <c r="P112" i="13"/>
  <c r="AJ111" i="13"/>
  <c r="AI111" i="13"/>
  <c r="AH111" i="13"/>
  <c r="AG111" i="13"/>
  <c r="AF111" i="13"/>
  <c r="AE111" i="13"/>
  <c r="AD111" i="13"/>
  <c r="AC111" i="13"/>
  <c r="AB111" i="13"/>
  <c r="Z111" i="13"/>
  <c r="M111" i="13"/>
  <c r="L111" i="13"/>
  <c r="K111" i="13"/>
  <c r="J111" i="13"/>
  <c r="I111" i="13"/>
  <c r="H111" i="13"/>
  <c r="O110" i="13"/>
  <c r="Q110" i="13" s="1"/>
  <c r="N110" i="13"/>
  <c r="P110" i="13" s="1"/>
  <c r="O109" i="13"/>
  <c r="Q109" i="13" s="1"/>
  <c r="N109" i="13"/>
  <c r="P109" i="13" s="1"/>
  <c r="O108" i="13"/>
  <c r="Q108" i="13" s="1"/>
  <c r="N108" i="13"/>
  <c r="P108" i="13" s="1"/>
  <c r="O107" i="13"/>
  <c r="Q107" i="13" s="1"/>
  <c r="N107" i="13"/>
  <c r="P107" i="13" s="1"/>
  <c r="O106" i="13"/>
  <c r="Q106" i="13" s="1"/>
  <c r="N106" i="13"/>
  <c r="P106" i="13" s="1"/>
  <c r="O105" i="13"/>
  <c r="Q105" i="13" s="1"/>
  <c r="N105" i="13"/>
  <c r="P105" i="13" s="1"/>
  <c r="O104" i="13"/>
  <c r="Q104" i="13" s="1"/>
  <c r="N104" i="13"/>
  <c r="P104" i="13" s="1"/>
  <c r="Q103" i="13"/>
  <c r="P103" i="13"/>
  <c r="AJ102" i="13"/>
  <c r="AI102" i="13"/>
  <c r="AH102" i="13"/>
  <c r="AG102" i="13"/>
  <c r="AF102" i="13"/>
  <c r="AE102" i="13"/>
  <c r="AD102" i="13"/>
  <c r="AC102" i="13"/>
  <c r="AB102" i="13"/>
  <c r="Z102" i="13"/>
  <c r="M102" i="13"/>
  <c r="L102" i="13"/>
  <c r="K102" i="13"/>
  <c r="J102" i="13"/>
  <c r="I102" i="13"/>
  <c r="H102" i="13"/>
  <c r="O100" i="13"/>
  <c r="Q100" i="13" s="1"/>
  <c r="N100" i="13"/>
  <c r="P100" i="13" s="1"/>
  <c r="O99" i="13"/>
  <c r="Q99" i="13" s="1"/>
  <c r="N99" i="13"/>
  <c r="P99" i="13" s="1"/>
  <c r="O98" i="13"/>
  <c r="Q98" i="13" s="1"/>
  <c r="N98" i="13"/>
  <c r="P98" i="13" s="1"/>
  <c r="O97" i="13"/>
  <c r="Q97" i="13" s="1"/>
  <c r="N97" i="13"/>
  <c r="P97" i="13" s="1"/>
  <c r="O96" i="13"/>
  <c r="Q96" i="13" s="1"/>
  <c r="N96" i="13"/>
  <c r="P96" i="13" s="1"/>
  <c r="O95" i="13"/>
  <c r="Q95" i="13" s="1"/>
  <c r="N95" i="13"/>
  <c r="P95" i="13" s="1"/>
  <c r="O94" i="13"/>
  <c r="Q94" i="13" s="1"/>
  <c r="N94" i="13"/>
  <c r="P94" i="13" s="1"/>
  <c r="O93" i="13"/>
  <c r="Q93" i="13" s="1"/>
  <c r="N93" i="13"/>
  <c r="P93" i="13" s="1"/>
  <c r="O92" i="13"/>
  <c r="Q92" i="13" s="1"/>
  <c r="N92" i="13"/>
  <c r="P92" i="13" s="1"/>
  <c r="AJ90" i="13"/>
  <c r="AI90" i="13"/>
  <c r="AH90" i="13"/>
  <c r="AG90" i="13"/>
  <c r="AF90" i="13"/>
  <c r="AE90" i="13"/>
  <c r="AD90" i="13"/>
  <c r="AC90" i="13"/>
  <c r="AB90" i="13"/>
  <c r="Z90" i="13"/>
  <c r="M90" i="13"/>
  <c r="L90" i="13"/>
  <c r="K90" i="13"/>
  <c r="J90" i="13"/>
  <c r="I90" i="13"/>
  <c r="H90" i="13"/>
  <c r="O89" i="13"/>
  <c r="Q89" i="13" s="1"/>
  <c r="N89" i="13"/>
  <c r="P89" i="13" s="1"/>
  <c r="O88" i="13"/>
  <c r="Q88" i="13" s="1"/>
  <c r="N88" i="13"/>
  <c r="P88" i="13" s="1"/>
  <c r="O87" i="13"/>
  <c r="Q87" i="13" s="1"/>
  <c r="N87" i="13"/>
  <c r="P87" i="13" s="1"/>
  <c r="O86" i="13"/>
  <c r="Q86" i="13" s="1"/>
  <c r="N86" i="13"/>
  <c r="P86" i="13" s="1"/>
  <c r="AJ84" i="13"/>
  <c r="AI84" i="13"/>
  <c r="AH84" i="13"/>
  <c r="AG84" i="13"/>
  <c r="AF84" i="13"/>
  <c r="AE84" i="13"/>
  <c r="AD84" i="13"/>
  <c r="AC84" i="13"/>
  <c r="AB84" i="13"/>
  <c r="Z84" i="13"/>
  <c r="M84" i="13"/>
  <c r="L84" i="13"/>
  <c r="K84" i="13"/>
  <c r="J84" i="13"/>
  <c r="I84" i="13"/>
  <c r="H84" i="13"/>
  <c r="O83" i="13"/>
  <c r="Q83" i="13" s="1"/>
  <c r="N83" i="13"/>
  <c r="P83" i="13" s="1"/>
  <c r="O82" i="13"/>
  <c r="Q82" i="13" s="1"/>
  <c r="N82" i="13"/>
  <c r="P82" i="13" s="1"/>
  <c r="Q81" i="13"/>
  <c r="P81" i="13"/>
  <c r="O80" i="13"/>
  <c r="Q80" i="13" s="1"/>
  <c r="N80" i="13"/>
  <c r="P80" i="13" s="1"/>
  <c r="O79" i="13"/>
  <c r="Q79" i="13" s="1"/>
  <c r="N79" i="13"/>
  <c r="P79" i="13" s="1"/>
  <c r="O78" i="13"/>
  <c r="Q78" i="13" s="1"/>
  <c r="N78" i="13"/>
  <c r="P78" i="13" s="1"/>
  <c r="O77" i="13"/>
  <c r="Q77" i="13" s="1"/>
  <c r="N77" i="13"/>
  <c r="P77" i="13" s="1"/>
  <c r="O76" i="13"/>
  <c r="Q76" i="13" s="1"/>
  <c r="N76" i="13"/>
  <c r="P76" i="13" s="1"/>
  <c r="O75" i="13"/>
  <c r="Q75" i="13" s="1"/>
  <c r="N75" i="13"/>
  <c r="P75" i="13" s="1"/>
  <c r="O74" i="13"/>
  <c r="Q74" i="13" s="1"/>
  <c r="N74" i="13"/>
  <c r="P74" i="13" s="1"/>
  <c r="O73" i="13"/>
  <c r="Q73" i="13" s="1"/>
  <c r="N73" i="13"/>
  <c r="P73" i="13" s="1"/>
  <c r="AJ71" i="13"/>
  <c r="AI71" i="13"/>
  <c r="AH71" i="13"/>
  <c r="AG71" i="13"/>
  <c r="AF71" i="13"/>
  <c r="AE71" i="13"/>
  <c r="AD71" i="13"/>
  <c r="AC71" i="13"/>
  <c r="AB71" i="13"/>
  <c r="Z71" i="13"/>
  <c r="M71" i="13"/>
  <c r="L71" i="13"/>
  <c r="K71" i="13"/>
  <c r="J71" i="13"/>
  <c r="I71" i="13"/>
  <c r="H71" i="13"/>
  <c r="O70" i="13"/>
  <c r="Q70" i="13" s="1"/>
  <c r="N70" i="13"/>
  <c r="P70" i="13" s="1"/>
  <c r="O69" i="13"/>
  <c r="Q69" i="13" s="1"/>
  <c r="N69" i="13"/>
  <c r="P69" i="13" s="1"/>
  <c r="O68" i="13"/>
  <c r="Q68" i="13" s="1"/>
  <c r="N68" i="13"/>
  <c r="P68" i="13" s="1"/>
  <c r="O67" i="13"/>
  <c r="Q67" i="13" s="1"/>
  <c r="N67" i="13"/>
  <c r="P67" i="13" s="1"/>
  <c r="O66" i="13"/>
  <c r="Q66" i="13" s="1"/>
  <c r="N66" i="13"/>
  <c r="P66" i="13" s="1"/>
  <c r="O65" i="13"/>
  <c r="Q65" i="13" s="1"/>
  <c r="N65" i="13"/>
  <c r="P65" i="13" s="1"/>
  <c r="O63" i="13"/>
  <c r="Q63" i="13" s="1"/>
  <c r="N63" i="13"/>
  <c r="P63" i="13" s="1"/>
  <c r="AJ62" i="13"/>
  <c r="AI62" i="13"/>
  <c r="AH62" i="13"/>
  <c r="AG62" i="13"/>
  <c r="AF62" i="13"/>
  <c r="AE62" i="13"/>
  <c r="AD62" i="13"/>
  <c r="AC62" i="13"/>
  <c r="AB62" i="13"/>
  <c r="Z62" i="13"/>
  <c r="M62" i="13"/>
  <c r="L62" i="13"/>
  <c r="K62" i="13"/>
  <c r="J62" i="13"/>
  <c r="I62" i="13"/>
  <c r="H62" i="13"/>
  <c r="O61" i="13"/>
  <c r="Q61" i="13" s="1"/>
  <c r="N61" i="13"/>
  <c r="P61" i="13" s="1"/>
  <c r="O60" i="13"/>
  <c r="Q60" i="13" s="1"/>
  <c r="N60" i="13"/>
  <c r="P60" i="13" s="1"/>
  <c r="O59" i="13"/>
  <c r="Q59" i="13" s="1"/>
  <c r="N59" i="13"/>
  <c r="P59" i="13" s="1"/>
  <c r="O58" i="13"/>
  <c r="Q58" i="13" s="1"/>
  <c r="N58" i="13"/>
  <c r="P58" i="13" s="1"/>
  <c r="O57" i="13"/>
  <c r="Q57" i="13" s="1"/>
  <c r="N57" i="13"/>
  <c r="P57" i="13" s="1"/>
  <c r="O56" i="13"/>
  <c r="Q56" i="13" s="1"/>
  <c r="N56" i="13"/>
  <c r="P56" i="13" s="1"/>
  <c r="O55" i="13"/>
  <c r="Q55" i="13" s="1"/>
  <c r="N55" i="13"/>
  <c r="P55" i="13" s="1"/>
  <c r="O54" i="13"/>
  <c r="Q54" i="13" s="1"/>
  <c r="N54" i="13"/>
  <c r="P54" i="13" s="1"/>
  <c r="O53" i="13"/>
  <c r="Q53" i="13" s="1"/>
  <c r="N53" i="13"/>
  <c r="P53" i="13" s="1"/>
  <c r="O52" i="13"/>
  <c r="Q52" i="13" s="1"/>
  <c r="N52" i="13"/>
  <c r="P52" i="13" s="1"/>
  <c r="O51" i="13"/>
  <c r="Q51" i="13" s="1"/>
  <c r="N51" i="13"/>
  <c r="P51" i="13" s="1"/>
  <c r="O50" i="13"/>
  <c r="Q50" i="13" s="1"/>
  <c r="N50" i="13"/>
  <c r="P50" i="13" s="1"/>
  <c r="O49" i="13"/>
  <c r="Q49" i="13" s="1"/>
  <c r="N49" i="13"/>
  <c r="P49" i="13" s="1"/>
  <c r="O48" i="13"/>
  <c r="Q48" i="13" s="1"/>
  <c r="N48" i="13"/>
  <c r="P48" i="13" s="1"/>
  <c r="O47" i="13"/>
  <c r="Q47" i="13" s="1"/>
  <c r="N47" i="13"/>
  <c r="P47" i="13" s="1"/>
  <c r="AJ45" i="13"/>
  <c r="AI45" i="13"/>
  <c r="AH45" i="13"/>
  <c r="AG45" i="13"/>
  <c r="AF45" i="13"/>
  <c r="AE45" i="13"/>
  <c r="AD45" i="13"/>
  <c r="AC45" i="13"/>
  <c r="AB45" i="13"/>
  <c r="Z45" i="13"/>
  <c r="M45" i="13"/>
  <c r="L45" i="13"/>
  <c r="K45" i="13"/>
  <c r="J45" i="13"/>
  <c r="I45" i="13"/>
  <c r="H45" i="13"/>
  <c r="O44" i="13"/>
  <c r="Q44" i="13" s="1"/>
  <c r="N44" i="13"/>
  <c r="P44" i="13" s="1"/>
  <c r="O43" i="13"/>
  <c r="Q43" i="13" s="1"/>
  <c r="N43" i="13"/>
  <c r="P43" i="13" s="1"/>
  <c r="O42" i="13"/>
  <c r="Q42" i="13" s="1"/>
  <c r="N42" i="13"/>
  <c r="P42" i="13" s="1"/>
  <c r="O41" i="13"/>
  <c r="Q41" i="13" s="1"/>
  <c r="N41" i="13"/>
  <c r="P41" i="13" s="1"/>
  <c r="AJ39" i="13"/>
  <c r="AI39" i="13"/>
  <c r="AH39" i="13"/>
  <c r="AG39" i="13"/>
  <c r="AF39" i="13"/>
  <c r="AE39" i="13"/>
  <c r="AD39" i="13"/>
  <c r="AC39" i="13"/>
  <c r="AB39" i="13"/>
  <c r="Z39" i="13"/>
  <c r="M39" i="13"/>
  <c r="L39" i="13"/>
  <c r="K39" i="13"/>
  <c r="J39" i="13"/>
  <c r="I39" i="13"/>
  <c r="H39" i="13"/>
  <c r="O38" i="13"/>
  <c r="Q38" i="13" s="1"/>
  <c r="N38" i="13"/>
  <c r="P38" i="13" s="1"/>
  <c r="O37" i="13"/>
  <c r="Q37" i="13" s="1"/>
  <c r="N37" i="13"/>
  <c r="P37" i="13" s="1"/>
  <c r="Q36" i="13"/>
  <c r="N36" i="13"/>
  <c r="P36" i="13" s="1"/>
  <c r="O35" i="13"/>
  <c r="Q35" i="13" s="1"/>
  <c r="N35" i="13"/>
  <c r="P35" i="13" s="1"/>
  <c r="O34" i="13"/>
  <c r="Q34" i="13" s="1"/>
  <c r="N34" i="13"/>
  <c r="P34" i="13" s="1"/>
  <c r="O33" i="13"/>
  <c r="Q33" i="13" s="1"/>
  <c r="N33" i="13"/>
  <c r="P33" i="13" s="1"/>
  <c r="O32" i="13"/>
  <c r="Q32" i="13" s="1"/>
  <c r="N32" i="13"/>
  <c r="P32" i="13" s="1"/>
  <c r="O31" i="13"/>
  <c r="Q31" i="13" s="1"/>
  <c r="N31" i="13"/>
  <c r="P31" i="13" s="1"/>
  <c r="O30" i="13"/>
  <c r="Q30" i="13" s="1"/>
  <c r="N30" i="13"/>
  <c r="P30" i="13" s="1"/>
  <c r="O29" i="13"/>
  <c r="Q29" i="13" s="1"/>
  <c r="N29" i="13"/>
  <c r="P29" i="13" s="1"/>
  <c r="O28" i="13"/>
  <c r="Q28" i="13" s="1"/>
  <c r="N28" i="13"/>
  <c r="P28" i="13" s="1"/>
  <c r="O27" i="13"/>
  <c r="Q27" i="13" s="1"/>
  <c r="N27" i="13"/>
  <c r="P27" i="13" s="1"/>
  <c r="O26" i="13"/>
  <c r="Q26" i="13" s="1"/>
  <c r="N26" i="13"/>
  <c r="P26" i="13" s="1"/>
  <c r="O25" i="13"/>
  <c r="Q25" i="13" s="1"/>
  <c r="N25" i="13"/>
  <c r="P25" i="13" s="1"/>
  <c r="O24" i="13"/>
  <c r="Q24" i="13" s="1"/>
  <c r="N24" i="13"/>
  <c r="P24" i="13" s="1"/>
  <c r="O23" i="13"/>
  <c r="Q23" i="13" s="1"/>
  <c r="N23" i="13"/>
  <c r="P23" i="13" s="1"/>
  <c r="O22" i="13"/>
  <c r="Q22" i="13" s="1"/>
  <c r="N22" i="13"/>
  <c r="P22" i="13" s="1"/>
  <c r="O21" i="13"/>
  <c r="Q21" i="13" s="1"/>
  <c r="N21" i="13"/>
  <c r="P21" i="13" s="1"/>
  <c r="O20" i="13"/>
  <c r="Q20" i="13" s="1"/>
  <c r="N20" i="13"/>
  <c r="P20" i="13" s="1"/>
  <c r="O19" i="13"/>
  <c r="Q19" i="13" s="1"/>
  <c r="N19" i="13"/>
  <c r="P19" i="13" s="1"/>
  <c r="O18" i="13"/>
  <c r="Q18" i="13" s="1"/>
  <c r="N18" i="13"/>
  <c r="P18" i="13" s="1"/>
  <c r="O17" i="13"/>
  <c r="Q17" i="13" s="1"/>
  <c r="N17" i="13"/>
  <c r="P17" i="13" s="1"/>
  <c r="AJ15" i="13"/>
  <c r="AI15" i="13"/>
  <c r="AH15" i="13"/>
  <c r="AG15" i="13"/>
  <c r="AF15" i="13"/>
  <c r="AE15" i="13"/>
  <c r="AD15" i="13"/>
  <c r="AC15" i="13"/>
  <c r="AB15" i="13"/>
  <c r="Z15" i="13"/>
  <c r="M15" i="13"/>
  <c r="L15" i="13"/>
  <c r="K15" i="13"/>
  <c r="J15" i="13"/>
  <c r="I15" i="13"/>
  <c r="H15" i="13"/>
  <c r="O14" i="13"/>
  <c r="Q14" i="13" s="1"/>
  <c r="N14" i="13"/>
  <c r="P14" i="13" s="1"/>
  <c r="O13" i="13"/>
  <c r="Q13" i="13" s="1"/>
  <c r="N13" i="13"/>
  <c r="P13" i="13" s="1"/>
  <c r="O12" i="13"/>
  <c r="Q12" i="13" s="1"/>
  <c r="N12" i="13"/>
  <c r="P12" i="13" s="1"/>
  <c r="O11" i="13"/>
  <c r="Q11" i="13" s="1"/>
  <c r="N11" i="13"/>
  <c r="P11" i="13" s="1"/>
  <c r="O10" i="13"/>
  <c r="Q10" i="13" s="1"/>
  <c r="N10" i="13"/>
  <c r="P10" i="13" s="1"/>
  <c r="AJ402" i="12"/>
  <c r="N183" i="15" l="1"/>
  <c r="P183" i="15" s="1"/>
  <c r="Z555" i="15"/>
  <c r="Z582" i="15" s="1"/>
  <c r="Z1" i="15" s="1"/>
  <c r="I220" i="15"/>
  <c r="N220" i="15"/>
  <c r="P220" i="15" s="1"/>
  <c r="O364" i="15"/>
  <c r="Q364" i="15" s="1"/>
  <c r="I554" i="15"/>
  <c r="O554" i="15" s="1"/>
  <c r="Q554" i="15" s="1"/>
  <c r="H554" i="15"/>
  <c r="N554" i="15" s="1"/>
  <c r="P554" i="15" s="1"/>
  <c r="O220" i="15"/>
  <c r="Q220" i="15" s="1"/>
  <c r="AK520" i="13"/>
  <c r="N257" i="13"/>
  <c r="P257" i="13" s="1"/>
  <c r="I363" i="13"/>
  <c r="N182" i="13"/>
  <c r="P182" i="13" s="1"/>
  <c r="O207" i="13"/>
  <c r="Q207" i="13" s="1"/>
  <c r="N225" i="13"/>
  <c r="P225" i="13" s="1"/>
  <c r="AB198" i="13"/>
  <c r="O168" i="13"/>
  <c r="Q168" i="13" s="1"/>
  <c r="N62" i="13"/>
  <c r="P62" i="13" s="1"/>
  <c r="O62" i="13"/>
  <c r="Q62" i="13" s="1"/>
  <c r="O130" i="13"/>
  <c r="Q130" i="13" s="1"/>
  <c r="N151" i="13"/>
  <c r="P151" i="13" s="1"/>
  <c r="N188" i="13"/>
  <c r="P188" i="13" s="1"/>
  <c r="N234" i="13"/>
  <c r="P234" i="13" s="1"/>
  <c r="O159" i="13"/>
  <c r="Q159" i="13" s="1"/>
  <c r="O188" i="13"/>
  <c r="Q188" i="13" s="1"/>
  <c r="N207" i="13"/>
  <c r="P207" i="13" s="1"/>
  <c r="O234" i="13"/>
  <c r="Q234" i="13" s="1"/>
  <c r="O288" i="13"/>
  <c r="Q288" i="13" s="1"/>
  <c r="AH428" i="13"/>
  <c r="AK116" i="13"/>
  <c r="AF428" i="13"/>
  <c r="AG428" i="13"/>
  <c r="AK170" i="13"/>
  <c r="O84" i="13"/>
  <c r="Q84" i="13" s="1"/>
  <c r="AJ219" i="13"/>
  <c r="AI520" i="13"/>
  <c r="N376" i="13"/>
  <c r="P376" i="13" s="1"/>
  <c r="AJ520" i="13"/>
  <c r="AB376" i="13"/>
  <c r="AJ182" i="13"/>
  <c r="O198" i="13"/>
  <c r="Q198" i="13" s="1"/>
  <c r="J428" i="13"/>
  <c r="O182" i="13"/>
  <c r="Q182" i="13" s="1"/>
  <c r="AG363" i="13"/>
  <c r="O90" i="13"/>
  <c r="Q90" i="13" s="1"/>
  <c r="N553" i="13"/>
  <c r="P553" i="13" s="1"/>
  <c r="AF363" i="13"/>
  <c r="AK469" i="13"/>
  <c r="AC376" i="13"/>
  <c r="AK363" i="13"/>
  <c r="N201" i="13"/>
  <c r="P201" i="13" s="1"/>
  <c r="O328" i="13"/>
  <c r="Q328" i="13" s="1"/>
  <c r="N464" i="13"/>
  <c r="P464" i="13" s="1"/>
  <c r="O201" i="13"/>
  <c r="Q201" i="13" s="1"/>
  <c r="O464" i="13"/>
  <c r="Q464" i="13" s="1"/>
  <c r="AK376" i="13"/>
  <c r="O45" i="13"/>
  <c r="Q45" i="13" s="1"/>
  <c r="AH198" i="13"/>
  <c r="AD488" i="13"/>
  <c r="AE488" i="13"/>
  <c r="N164" i="13"/>
  <c r="P164" i="13" s="1"/>
  <c r="AK488" i="13"/>
  <c r="O164" i="13"/>
  <c r="Q164" i="13" s="1"/>
  <c r="N301" i="13"/>
  <c r="P301" i="13" s="1"/>
  <c r="O361" i="13"/>
  <c r="Q361" i="13" s="1"/>
  <c r="N469" i="13"/>
  <c r="P469" i="13" s="1"/>
  <c r="AC479" i="13"/>
  <c r="AJ488" i="13"/>
  <c r="AK219" i="13"/>
  <c r="AG170" i="13"/>
  <c r="AF469" i="13"/>
  <c r="M170" i="13"/>
  <c r="AC488" i="13"/>
  <c r="Z428" i="13"/>
  <c r="AF182" i="13"/>
  <c r="N198" i="13"/>
  <c r="P198" i="13" s="1"/>
  <c r="H219" i="13"/>
  <c r="AB488" i="13"/>
  <c r="J571" i="13"/>
  <c r="J581" i="13" s="1"/>
  <c r="AE198" i="13"/>
  <c r="O111" i="13"/>
  <c r="Q111" i="13" s="1"/>
  <c r="AG182" i="13"/>
  <c r="AF198" i="13"/>
  <c r="AB428" i="13"/>
  <c r="M571" i="13"/>
  <c r="M581" i="13" s="1"/>
  <c r="AK333" i="13"/>
  <c r="AK364" i="13" s="1"/>
  <c r="N84" i="13"/>
  <c r="P84" i="13" s="1"/>
  <c r="AH182" i="13"/>
  <c r="AG198" i="13"/>
  <c r="J219" i="13"/>
  <c r="AD363" i="13"/>
  <c r="AC428" i="13"/>
  <c r="AI376" i="13"/>
  <c r="AJ198" i="13"/>
  <c r="N71" i="13"/>
  <c r="P71" i="13" s="1"/>
  <c r="AC198" i="13"/>
  <c r="AD198" i="13"/>
  <c r="N111" i="13"/>
  <c r="P111" i="13" s="1"/>
  <c r="AI182" i="13"/>
  <c r="AD428" i="13"/>
  <c r="AK428" i="13"/>
  <c r="AM424" i="13"/>
  <c r="AM216" i="13" s="1"/>
  <c r="O215" i="13"/>
  <c r="Q215" i="13" s="1"/>
  <c r="I219" i="13"/>
  <c r="O219" i="13" s="1"/>
  <c r="Q219" i="13" s="1"/>
  <c r="N215" i="13"/>
  <c r="P215" i="13" s="1"/>
  <c r="L219" i="13"/>
  <c r="AD479" i="13"/>
  <c r="N168" i="13"/>
  <c r="P168" i="13" s="1"/>
  <c r="AE479" i="13"/>
  <c r="K170" i="13"/>
  <c r="L170" i="13"/>
  <c r="J116" i="13"/>
  <c r="AH219" i="13"/>
  <c r="AB469" i="13"/>
  <c r="AI363" i="13"/>
  <c r="O15" i="13"/>
  <c r="Q15" i="13" s="1"/>
  <c r="O39" i="13"/>
  <c r="Q39" i="13" s="1"/>
  <c r="AB170" i="13"/>
  <c r="N331" i="13"/>
  <c r="P331" i="13" s="1"/>
  <c r="O371" i="13"/>
  <c r="Q371" i="13" s="1"/>
  <c r="AC170" i="13"/>
  <c r="AH333" i="13"/>
  <c r="N328" i="13"/>
  <c r="P328" i="13" s="1"/>
  <c r="O331" i="13"/>
  <c r="Q331" i="13" s="1"/>
  <c r="N371" i="13"/>
  <c r="P371" i="13" s="1"/>
  <c r="AI469" i="13"/>
  <c r="M116" i="13"/>
  <c r="N45" i="13"/>
  <c r="P45" i="13" s="1"/>
  <c r="O191" i="13"/>
  <c r="Q191" i="13" s="1"/>
  <c r="AI198" i="13"/>
  <c r="AI333" i="13"/>
  <c r="O301" i="13"/>
  <c r="Q301" i="13" s="1"/>
  <c r="N307" i="13"/>
  <c r="P307" i="13" s="1"/>
  <c r="AJ376" i="13"/>
  <c r="AJ469" i="13"/>
  <c r="N191" i="13"/>
  <c r="P191" i="13" s="1"/>
  <c r="O307" i="13"/>
  <c r="Q307" i="13" s="1"/>
  <c r="N361" i="13"/>
  <c r="P361" i="13" s="1"/>
  <c r="J489" i="13"/>
  <c r="K489" i="13"/>
  <c r="N578" i="13"/>
  <c r="P578" i="13" s="1"/>
  <c r="AD333" i="13"/>
  <c r="AH170" i="13"/>
  <c r="AG219" i="13"/>
  <c r="K550" i="13"/>
  <c r="O469" i="13"/>
  <c r="Q469" i="13" s="1"/>
  <c r="K333" i="13"/>
  <c r="AD376" i="13"/>
  <c r="AE333" i="13"/>
  <c r="N319" i="13"/>
  <c r="P319" i="13" s="1"/>
  <c r="O280" i="13"/>
  <c r="Q280" i="13" s="1"/>
  <c r="O578" i="13"/>
  <c r="Q578" i="13" s="1"/>
  <c r="AF116" i="13"/>
  <c r="AH116" i="13"/>
  <c r="AH183" i="13" s="1"/>
  <c r="J363" i="13"/>
  <c r="AE376" i="13"/>
  <c r="L571" i="13"/>
  <c r="L581" i="13" s="1"/>
  <c r="N115" i="13"/>
  <c r="P115" i="13" s="1"/>
  <c r="Z170" i="13"/>
  <c r="I333" i="13"/>
  <c r="I364" i="13" s="1"/>
  <c r="J333" i="13"/>
  <c r="O102" i="13"/>
  <c r="Q102" i="13" s="1"/>
  <c r="M333" i="13"/>
  <c r="K363" i="13"/>
  <c r="AF376" i="13"/>
  <c r="N488" i="13"/>
  <c r="P488" i="13" s="1"/>
  <c r="AI428" i="13"/>
  <c r="AJ363" i="13"/>
  <c r="N288" i="13"/>
  <c r="P288" i="13" s="1"/>
  <c r="N159" i="13"/>
  <c r="P159" i="13" s="1"/>
  <c r="L363" i="13"/>
  <c r="O423" i="13"/>
  <c r="Q423" i="13" s="1"/>
  <c r="O553" i="13"/>
  <c r="Q553" i="13" s="1"/>
  <c r="N124" i="13"/>
  <c r="P124" i="13" s="1"/>
  <c r="AJ428" i="13"/>
  <c r="N102" i="13"/>
  <c r="P102" i="13" s="1"/>
  <c r="O263" i="13"/>
  <c r="Q263" i="13" s="1"/>
  <c r="M363" i="13"/>
  <c r="AH376" i="13"/>
  <c r="N549" i="13"/>
  <c r="P549" i="13" s="1"/>
  <c r="N280" i="13"/>
  <c r="P280" i="13" s="1"/>
  <c r="AH363" i="13"/>
  <c r="AH364" i="13" s="1"/>
  <c r="AD469" i="13"/>
  <c r="AB116" i="13"/>
  <c r="AI219" i="13"/>
  <c r="Z489" i="13"/>
  <c r="O71" i="13"/>
  <c r="Q71" i="13" s="1"/>
  <c r="N156" i="13"/>
  <c r="P156" i="13" s="1"/>
  <c r="N263" i="13"/>
  <c r="P263" i="13" s="1"/>
  <c r="AG333" i="13"/>
  <c r="AE363" i="13"/>
  <c r="O549" i="13"/>
  <c r="Q549" i="13" s="1"/>
  <c r="O156" i="13"/>
  <c r="Q156" i="13" s="1"/>
  <c r="AD170" i="13"/>
  <c r="AF333" i="13"/>
  <c r="AF364" i="13" s="1"/>
  <c r="N144" i="13"/>
  <c r="P144" i="13" s="1"/>
  <c r="Z116" i="13"/>
  <c r="O115" i="13"/>
  <c r="Q115" i="13" s="1"/>
  <c r="AF170" i="13"/>
  <c r="O144" i="13"/>
  <c r="Q144" i="13" s="1"/>
  <c r="O455" i="13"/>
  <c r="Q455" i="13" s="1"/>
  <c r="I489" i="13"/>
  <c r="N405" i="13"/>
  <c r="P405" i="13" s="1"/>
  <c r="H423" i="13"/>
  <c r="AI170" i="13"/>
  <c r="AE116" i="13"/>
  <c r="I116" i="13"/>
  <c r="M489" i="13"/>
  <c r="Z363" i="13"/>
  <c r="N441" i="13"/>
  <c r="P441" i="13" s="1"/>
  <c r="AB363" i="13"/>
  <c r="O405" i="13"/>
  <c r="Q405" i="13" s="1"/>
  <c r="O441" i="13"/>
  <c r="Q441" i="13" s="1"/>
  <c r="O342" i="13"/>
  <c r="Q342" i="13" s="1"/>
  <c r="AG116" i="13"/>
  <c r="K116" i="13"/>
  <c r="AI116" i="13"/>
  <c r="AC363" i="13"/>
  <c r="H489" i="13"/>
  <c r="AC116" i="13"/>
  <c r="H333" i="13"/>
  <c r="AD116" i="13"/>
  <c r="N342" i="13"/>
  <c r="P342" i="13" s="1"/>
  <c r="AJ116" i="13"/>
  <c r="N90" i="13"/>
  <c r="P90" i="13" s="1"/>
  <c r="AJ333" i="13"/>
  <c r="AF488" i="13"/>
  <c r="N580" i="13"/>
  <c r="P580" i="13" s="1"/>
  <c r="O257" i="13"/>
  <c r="Q257" i="13" s="1"/>
  <c r="AC469" i="13"/>
  <c r="AG488" i="13"/>
  <c r="N520" i="13"/>
  <c r="P520" i="13" s="1"/>
  <c r="L550" i="13"/>
  <c r="I428" i="13"/>
  <c r="O428" i="13" s="1"/>
  <c r="Q428" i="13" s="1"/>
  <c r="O520" i="13"/>
  <c r="Q520" i="13" s="1"/>
  <c r="M550" i="13"/>
  <c r="AG469" i="13"/>
  <c r="J170" i="13"/>
  <c r="Z333" i="13"/>
  <c r="AH469" i="13"/>
  <c r="I571" i="13"/>
  <c r="O565" i="13"/>
  <c r="Q565" i="13" s="1"/>
  <c r="O135" i="13"/>
  <c r="Q135" i="13" s="1"/>
  <c r="I170" i="13"/>
  <c r="N135" i="13"/>
  <c r="P135" i="13" s="1"/>
  <c r="H170" i="13"/>
  <c r="L455" i="13"/>
  <c r="L489" i="13" s="1"/>
  <c r="N454" i="13"/>
  <c r="P454" i="13" s="1"/>
  <c r="H363" i="13"/>
  <c r="N565" i="13"/>
  <c r="P565" i="13" s="1"/>
  <c r="H571" i="13"/>
  <c r="AB333" i="13"/>
  <c r="AJ170" i="13"/>
  <c r="AC333" i="13"/>
  <c r="AE170" i="13"/>
  <c r="H550" i="13"/>
  <c r="N39" i="13"/>
  <c r="P39" i="13" s="1"/>
  <c r="I550" i="13"/>
  <c r="O570" i="13"/>
  <c r="Q570" i="13" s="1"/>
  <c r="O488" i="13"/>
  <c r="Q488" i="13" s="1"/>
  <c r="N570" i="13"/>
  <c r="P570" i="13" s="1"/>
  <c r="H116" i="13"/>
  <c r="N427" i="13"/>
  <c r="P427" i="13" s="1"/>
  <c r="J550" i="13"/>
  <c r="AH488" i="13"/>
  <c r="L428" i="13"/>
  <c r="AI488" i="13"/>
  <c r="K571" i="13"/>
  <c r="K581" i="13" s="1"/>
  <c r="L116" i="13"/>
  <c r="O454" i="13"/>
  <c r="Q454" i="13" s="1"/>
  <c r="L333" i="13"/>
  <c r="N15" i="13"/>
  <c r="P15" i="13" s="1"/>
  <c r="O124" i="13"/>
  <c r="Q124" i="13" s="1"/>
  <c r="O319" i="13"/>
  <c r="Q319" i="13" s="1"/>
  <c r="AG520" i="13"/>
  <c r="AG376" i="13"/>
  <c r="AE428" i="13"/>
  <c r="AH520" i="13"/>
  <c r="AJ172" i="12"/>
  <c r="AJ467" i="12"/>
  <c r="H555" i="15" l="1"/>
  <c r="N555" i="15" s="1"/>
  <c r="P555" i="15" s="1"/>
  <c r="I555" i="15"/>
  <c r="AG364" i="13"/>
  <c r="AG183" i="13"/>
  <c r="AG220" i="13" s="1"/>
  <c r="AM376" i="13" s="1"/>
  <c r="M183" i="13"/>
  <c r="M220" i="13" s="1"/>
  <c r="J183" i="13"/>
  <c r="J220" i="13" s="1"/>
  <c r="J555" i="13" s="1"/>
  <c r="J582" i="13" s="1"/>
  <c r="J1" i="13" s="1"/>
  <c r="O363" i="13"/>
  <c r="Q363" i="13" s="1"/>
  <c r="AE364" i="13"/>
  <c r="AH220" i="13"/>
  <c r="K364" i="13"/>
  <c r="K554" i="13" s="1"/>
  <c r="AF183" i="13"/>
  <c r="AF220" i="13" s="1"/>
  <c r="AF495" i="13" s="1"/>
  <c r="AF550" i="13" s="1"/>
  <c r="AD364" i="13"/>
  <c r="N455" i="13"/>
  <c r="P455" i="13" s="1"/>
  <c r="N219" i="13"/>
  <c r="P219" i="13" s="1"/>
  <c r="AC183" i="13"/>
  <c r="AC220" i="13" s="1"/>
  <c r="AC495" i="13" s="1"/>
  <c r="AC550" i="13" s="1"/>
  <c r="AI183" i="13"/>
  <c r="AI220" i="13" s="1"/>
  <c r="AI495" i="13" s="1"/>
  <c r="AI550" i="13" s="1"/>
  <c r="AB364" i="13"/>
  <c r="AD183" i="13"/>
  <c r="AD220" i="13" s="1"/>
  <c r="O333" i="13"/>
  <c r="Q333" i="13" s="1"/>
  <c r="AK182" i="13"/>
  <c r="AK183" i="13" s="1"/>
  <c r="AK220" i="13" s="1"/>
  <c r="AK495" i="13" s="1"/>
  <c r="AK550" i="13" s="1"/>
  <c r="L364" i="13"/>
  <c r="L554" i="13" s="1"/>
  <c r="K183" i="13"/>
  <c r="K220" i="13" s="1"/>
  <c r="K555" i="13" s="1"/>
  <c r="K582" i="13" s="1"/>
  <c r="K1" i="13" s="1"/>
  <c r="L183" i="13"/>
  <c r="L220" i="13" s="1"/>
  <c r="AJ364" i="13"/>
  <c r="Z183" i="13"/>
  <c r="Z220" i="13" s="1"/>
  <c r="AE183" i="13"/>
  <c r="AE220" i="13" s="1"/>
  <c r="AE495" i="13" s="1"/>
  <c r="AE550" i="13" s="1"/>
  <c r="AB183" i="13"/>
  <c r="AB220" i="13" s="1"/>
  <c r="AB495" i="13" s="1"/>
  <c r="AB550" i="13" s="1"/>
  <c r="J364" i="13"/>
  <c r="J554" i="13" s="1"/>
  <c r="AI364" i="13"/>
  <c r="M364" i="13"/>
  <c r="M554" i="13" s="1"/>
  <c r="N170" i="13"/>
  <c r="P170" i="13" s="1"/>
  <c r="O170" i="13"/>
  <c r="Q170" i="13" s="1"/>
  <c r="N363" i="13"/>
  <c r="P363" i="13" s="1"/>
  <c r="O489" i="13"/>
  <c r="Q489" i="13" s="1"/>
  <c r="N333" i="13"/>
  <c r="P333" i="13" s="1"/>
  <c r="H364" i="13"/>
  <c r="N571" i="13"/>
  <c r="P571" i="13" s="1"/>
  <c r="H581" i="13"/>
  <c r="N581" i="13" s="1"/>
  <c r="P581" i="13" s="1"/>
  <c r="AG495" i="13"/>
  <c r="AG550" i="13" s="1"/>
  <c r="O550" i="13"/>
  <c r="Q550" i="13" s="1"/>
  <c r="AH495" i="13"/>
  <c r="AH550" i="13" s="1"/>
  <c r="N550" i="13"/>
  <c r="P550" i="13" s="1"/>
  <c r="Z364" i="13"/>
  <c r="Z554" i="13" s="1"/>
  <c r="N116" i="13"/>
  <c r="P116" i="13" s="1"/>
  <c r="H183" i="13"/>
  <c r="O116" i="13"/>
  <c r="Q116" i="13" s="1"/>
  <c r="I183" i="13"/>
  <c r="N423" i="13"/>
  <c r="P423" i="13" s="1"/>
  <c r="H428" i="13"/>
  <c r="N428" i="13" s="1"/>
  <c r="P428" i="13" s="1"/>
  <c r="AD495" i="13"/>
  <c r="AD550" i="13" s="1"/>
  <c r="N489" i="13"/>
  <c r="P489" i="13" s="1"/>
  <c r="O571" i="13"/>
  <c r="Q571" i="13" s="1"/>
  <c r="I581" i="13"/>
  <c r="O581" i="13" s="1"/>
  <c r="Q581" i="13" s="1"/>
  <c r="AJ183" i="13"/>
  <c r="AJ220" i="13" s="1"/>
  <c r="I554" i="13"/>
  <c r="AC364" i="13"/>
  <c r="AJ486" i="12"/>
  <c r="AK173" i="12"/>
  <c r="AK172" i="12"/>
  <c r="H582" i="15" l="1"/>
  <c r="H1" i="15" s="1"/>
  <c r="N582" i="15"/>
  <c r="O555" i="15"/>
  <c r="Q555" i="15" s="1"/>
  <c r="I582" i="15"/>
  <c r="M555" i="13"/>
  <c r="M582" i="13" s="1"/>
  <c r="M1" i="13" s="1"/>
  <c r="O364" i="13"/>
  <c r="Q364" i="13" s="1"/>
  <c r="L555" i="13"/>
  <c r="L582" i="13" s="1"/>
  <c r="L1" i="13" s="1"/>
  <c r="Z555" i="13"/>
  <c r="Z582" i="13" s="1"/>
  <c r="Z1" i="13" s="1"/>
  <c r="O554" i="13"/>
  <c r="Q554" i="13" s="1"/>
  <c r="O183" i="13"/>
  <c r="Q183" i="13" s="1"/>
  <c r="I220" i="13"/>
  <c r="N364" i="13"/>
  <c r="P364" i="13" s="1"/>
  <c r="H554" i="13"/>
  <c r="N554" i="13" s="1"/>
  <c r="P554" i="13" s="1"/>
  <c r="N183" i="13"/>
  <c r="P183" i="13" s="1"/>
  <c r="H220" i="13"/>
  <c r="AJ495" i="13"/>
  <c r="AJ550" i="13" s="1"/>
  <c r="AJ500" i="12"/>
  <c r="AK116" i="12"/>
  <c r="AJ553" i="12"/>
  <c r="AJ549" i="12"/>
  <c r="AJ533" i="12"/>
  <c r="AJ532" i="12"/>
  <c r="AJ522" i="12"/>
  <c r="AJ518" i="12"/>
  <c r="AJ517" i="12"/>
  <c r="AJ520" i="12" s="1"/>
  <c r="AJ514" i="12"/>
  <c r="AJ507" i="12"/>
  <c r="AJ505" i="12"/>
  <c r="AJ487" i="12"/>
  <c r="AJ485" i="12"/>
  <c r="AJ484" i="12"/>
  <c r="AJ483" i="12"/>
  <c r="AJ482" i="12"/>
  <c r="AJ481" i="12"/>
  <c r="AJ478" i="12"/>
  <c r="AJ477" i="12"/>
  <c r="AJ475" i="12"/>
  <c r="AJ474" i="12"/>
  <c r="AJ473" i="12"/>
  <c r="AJ472" i="12"/>
  <c r="AJ471" i="12"/>
  <c r="AJ468" i="12"/>
  <c r="AJ466" i="12"/>
  <c r="AJ469" i="12" s="1"/>
  <c r="AJ463" i="12"/>
  <c r="AJ461" i="12"/>
  <c r="AJ460" i="12"/>
  <c r="AJ459" i="12"/>
  <c r="AJ458" i="12"/>
  <c r="AJ457" i="12"/>
  <c r="AJ453" i="12"/>
  <c r="AJ441" i="12"/>
  <c r="AJ427" i="12"/>
  <c r="AJ423" i="12"/>
  <c r="AJ428" i="12" s="1"/>
  <c r="AJ375" i="12"/>
  <c r="AJ374" i="12"/>
  <c r="AJ373" i="12"/>
  <c r="AJ376" i="12" s="1"/>
  <c r="AJ367" i="12"/>
  <c r="AJ371" i="12" s="1"/>
  <c r="AJ361" i="12"/>
  <c r="AJ350" i="12"/>
  <c r="AJ342" i="12"/>
  <c r="AJ363" i="12" s="1"/>
  <c r="AJ331" i="12"/>
  <c r="AJ328" i="12"/>
  <c r="AJ319" i="12"/>
  <c r="AJ307" i="12"/>
  <c r="AJ301" i="12"/>
  <c r="AJ288" i="12"/>
  <c r="AJ280" i="12"/>
  <c r="AJ263" i="12"/>
  <c r="AJ257" i="12"/>
  <c r="AJ234" i="12"/>
  <c r="AJ333" i="12" s="1"/>
  <c r="AJ227" i="12"/>
  <c r="AJ223" i="12"/>
  <c r="AJ225" i="12" s="1"/>
  <c r="AJ218" i="12"/>
  <c r="AJ215" i="12"/>
  <c r="AJ219" i="12" s="1"/>
  <c r="AJ207" i="12"/>
  <c r="AJ201" i="12"/>
  <c r="AJ196" i="12"/>
  <c r="AJ195" i="12"/>
  <c r="AJ193" i="12"/>
  <c r="AJ191" i="12"/>
  <c r="AJ185" i="12"/>
  <c r="AJ188" i="12" s="1"/>
  <c r="AJ176" i="12"/>
  <c r="AJ173" i="12"/>
  <c r="AJ182" i="12"/>
  <c r="AJ168" i="12"/>
  <c r="AJ164" i="12"/>
  <c r="AJ159" i="12"/>
  <c r="AJ156" i="12"/>
  <c r="AJ151" i="12"/>
  <c r="AJ143" i="12"/>
  <c r="AJ144" i="12" s="1"/>
  <c r="AJ141" i="12"/>
  <c r="AJ135" i="12"/>
  <c r="AJ130" i="12"/>
  <c r="AJ124" i="12"/>
  <c r="AJ170" i="12" s="1"/>
  <c r="AJ111" i="12"/>
  <c r="AJ102" i="12"/>
  <c r="AJ90" i="12"/>
  <c r="AJ84" i="12"/>
  <c r="AJ71" i="12"/>
  <c r="AJ62" i="12"/>
  <c r="AJ45" i="12"/>
  <c r="AJ39" i="12"/>
  <c r="AJ15" i="12"/>
  <c r="AJ116" i="12" s="1"/>
  <c r="O579" i="12"/>
  <c r="Q579" i="12" s="1"/>
  <c r="N579" i="12"/>
  <c r="P579" i="12" s="1"/>
  <c r="M578" i="12"/>
  <c r="L578" i="12"/>
  <c r="L580" i="12" s="1"/>
  <c r="K578" i="12"/>
  <c r="K580" i="12" s="1"/>
  <c r="J578" i="12"/>
  <c r="J580" i="12" s="1"/>
  <c r="I578" i="12"/>
  <c r="I580" i="12" s="1"/>
  <c r="H578" i="12"/>
  <c r="H580" i="12" s="1"/>
  <c r="N580" i="12" s="1"/>
  <c r="P580" i="12" s="1"/>
  <c r="O577" i="12"/>
  <c r="Q577" i="12" s="1"/>
  <c r="N577" i="12"/>
  <c r="P577" i="12" s="1"/>
  <c r="O576" i="12"/>
  <c r="Q576" i="12" s="1"/>
  <c r="N576" i="12"/>
  <c r="P576" i="12" s="1"/>
  <c r="O575" i="12"/>
  <c r="Q575" i="12" s="1"/>
  <c r="N575" i="12"/>
  <c r="P575" i="12" s="1"/>
  <c r="O574" i="12"/>
  <c r="Q574" i="12" s="1"/>
  <c r="N574" i="12"/>
  <c r="P574" i="12" s="1"/>
  <c r="K571" i="12"/>
  <c r="K581" i="12" s="1"/>
  <c r="J571" i="12"/>
  <c r="J581" i="12" s="1"/>
  <c r="H571" i="12"/>
  <c r="O570" i="12"/>
  <c r="Q570" i="12" s="1"/>
  <c r="M570" i="12"/>
  <c r="L570" i="12"/>
  <c r="K570" i="12"/>
  <c r="J570" i="12"/>
  <c r="I570" i="12"/>
  <c r="H570" i="12"/>
  <c r="O569" i="12"/>
  <c r="Q569" i="12" s="1"/>
  <c r="N569" i="12"/>
  <c r="P569" i="12" s="1"/>
  <c r="O568" i="12"/>
  <c r="Q568" i="12" s="1"/>
  <c r="N568" i="12"/>
  <c r="P568" i="12" s="1"/>
  <c r="O567" i="12"/>
  <c r="Q567" i="12" s="1"/>
  <c r="N567" i="12"/>
  <c r="P567" i="12" s="1"/>
  <c r="M565" i="12"/>
  <c r="M571" i="12" s="1"/>
  <c r="L565" i="12"/>
  <c r="L571" i="12" s="1"/>
  <c r="L581" i="12" s="1"/>
  <c r="K565" i="12"/>
  <c r="J565" i="12"/>
  <c r="I565" i="12"/>
  <c r="H565" i="12"/>
  <c r="O564" i="12"/>
  <c r="Q564" i="12" s="1"/>
  <c r="N564" i="12"/>
  <c r="P564" i="12" s="1"/>
  <c r="O563" i="12"/>
  <c r="Q563" i="12" s="1"/>
  <c r="N563" i="12"/>
  <c r="P563" i="12" s="1"/>
  <c r="O562" i="12"/>
  <c r="Q562" i="12" s="1"/>
  <c r="N562" i="12"/>
  <c r="P562" i="12" s="1"/>
  <c r="O561" i="12"/>
  <c r="Q561" i="12" s="1"/>
  <c r="N561" i="12"/>
  <c r="P561" i="12" s="1"/>
  <c r="O560" i="12"/>
  <c r="Q560" i="12" s="1"/>
  <c r="N560" i="12"/>
  <c r="P560" i="12" s="1"/>
  <c r="O558" i="12"/>
  <c r="Q558" i="12" s="1"/>
  <c r="N558" i="12"/>
  <c r="P558" i="12" s="1"/>
  <c r="AI553" i="12"/>
  <c r="AH553" i="12"/>
  <c r="AG553" i="12"/>
  <c r="AF553" i="12"/>
  <c r="AE553" i="12"/>
  <c r="AD553" i="12"/>
  <c r="AC553" i="12"/>
  <c r="AB553" i="12"/>
  <c r="Z553" i="12"/>
  <c r="M553" i="12"/>
  <c r="L553" i="12"/>
  <c r="K553" i="12"/>
  <c r="J553" i="12"/>
  <c r="I553" i="12"/>
  <c r="O553" i="12" s="1"/>
  <c r="Q553" i="12" s="1"/>
  <c r="H553" i="12"/>
  <c r="N553" i="12" s="1"/>
  <c r="P553" i="12" s="1"/>
  <c r="P552" i="12"/>
  <c r="O552" i="12"/>
  <c r="Q552" i="12" s="1"/>
  <c r="N552" i="12"/>
  <c r="AI549" i="12"/>
  <c r="AH549" i="12"/>
  <c r="AG549" i="12"/>
  <c r="AF549" i="12"/>
  <c r="AE549" i="12"/>
  <c r="AD549" i="12"/>
  <c r="AC549" i="12"/>
  <c r="AB549" i="12"/>
  <c r="Z549" i="12"/>
  <c r="M549" i="12"/>
  <c r="L549" i="12"/>
  <c r="K549" i="12"/>
  <c r="J549" i="12"/>
  <c r="I549" i="12"/>
  <c r="H549" i="12"/>
  <c r="O548" i="12"/>
  <c r="Q548" i="12" s="1"/>
  <c r="N548" i="12"/>
  <c r="P548" i="12" s="1"/>
  <c r="O547" i="12"/>
  <c r="Q547" i="12" s="1"/>
  <c r="N547" i="12"/>
  <c r="P547" i="12" s="1"/>
  <c r="O546" i="12"/>
  <c r="Q546" i="12" s="1"/>
  <c r="N546" i="12"/>
  <c r="P546" i="12" s="1"/>
  <c r="O544" i="12"/>
  <c r="Q544" i="12" s="1"/>
  <c r="N544" i="12"/>
  <c r="P544" i="12" s="1"/>
  <c r="Q543" i="12"/>
  <c r="N543" i="12"/>
  <c r="P543" i="12" s="1"/>
  <c r="O542" i="12"/>
  <c r="Q542" i="12" s="1"/>
  <c r="N542" i="12"/>
  <c r="P542" i="12" s="1"/>
  <c r="O541" i="12"/>
  <c r="Q541" i="12" s="1"/>
  <c r="N541" i="12"/>
  <c r="P541" i="12" s="1"/>
  <c r="O540" i="12"/>
  <c r="Q540" i="12" s="1"/>
  <c r="N540" i="12"/>
  <c r="P540" i="12" s="1"/>
  <c r="Q539" i="12"/>
  <c r="P539" i="12"/>
  <c r="O539" i="12"/>
  <c r="N539" i="12"/>
  <c r="O538" i="12"/>
  <c r="Q538" i="12" s="1"/>
  <c r="N538" i="12"/>
  <c r="P538" i="12" s="1"/>
  <c r="O537" i="12"/>
  <c r="Q537" i="12" s="1"/>
  <c r="N537" i="12"/>
  <c r="P537" i="12" s="1"/>
  <c r="O536" i="12"/>
  <c r="Q536" i="12" s="1"/>
  <c r="N536" i="12"/>
  <c r="P536" i="12" s="1"/>
  <c r="O535" i="12"/>
  <c r="Q535" i="12" s="1"/>
  <c r="N535" i="12"/>
  <c r="P535" i="12" s="1"/>
  <c r="AF534" i="12"/>
  <c r="AE534" i="12"/>
  <c r="AD534" i="12"/>
  <c r="AC534" i="12"/>
  <c r="AB534" i="12"/>
  <c r="O534" i="12"/>
  <c r="Q534" i="12" s="1"/>
  <c r="N534" i="12"/>
  <c r="P534" i="12" s="1"/>
  <c r="AI533" i="12"/>
  <c r="AH533" i="12"/>
  <c r="AG533" i="12"/>
  <c r="O533" i="12"/>
  <c r="Q533" i="12" s="1"/>
  <c r="N533" i="12"/>
  <c r="P533" i="12" s="1"/>
  <c r="AI532" i="12"/>
  <c r="AH532" i="12"/>
  <c r="AG532" i="12"/>
  <c r="AF532" i="12"/>
  <c r="AE532" i="12"/>
  <c r="AD532" i="12"/>
  <c r="AC532" i="12"/>
  <c r="AB532" i="12"/>
  <c r="O532" i="12"/>
  <c r="Q532" i="12" s="1"/>
  <c r="N532" i="12"/>
  <c r="P532" i="12" s="1"/>
  <c r="O531" i="12"/>
  <c r="Q531" i="12" s="1"/>
  <c r="N531" i="12"/>
  <c r="P531" i="12" s="1"/>
  <c r="O530" i="12"/>
  <c r="Q530" i="12" s="1"/>
  <c r="N530" i="12"/>
  <c r="P530" i="12" s="1"/>
  <c r="O529" i="12"/>
  <c r="Q529" i="12" s="1"/>
  <c r="N529" i="12"/>
  <c r="P529" i="12" s="1"/>
  <c r="O528" i="12"/>
  <c r="Q528" i="12" s="1"/>
  <c r="N528" i="12"/>
  <c r="P528" i="12" s="1"/>
  <c r="O527" i="12"/>
  <c r="Q527" i="12" s="1"/>
  <c r="N527" i="12"/>
  <c r="P527" i="12" s="1"/>
  <c r="O526" i="12"/>
  <c r="Q526" i="12" s="1"/>
  <c r="N526" i="12"/>
  <c r="P526" i="12" s="1"/>
  <c r="Q525" i="12"/>
  <c r="N525" i="12"/>
  <c r="P525" i="12" s="1"/>
  <c r="O524" i="12"/>
  <c r="Q524" i="12" s="1"/>
  <c r="N524" i="12"/>
  <c r="P524" i="12" s="1"/>
  <c r="O523" i="12"/>
  <c r="Q523" i="12" s="1"/>
  <c r="N523" i="12"/>
  <c r="P523" i="12" s="1"/>
  <c r="AI522" i="12"/>
  <c r="AH522" i="12"/>
  <c r="AG522" i="12"/>
  <c r="O522" i="12"/>
  <c r="Q522" i="12" s="1"/>
  <c r="N522" i="12"/>
  <c r="P522" i="12" s="1"/>
  <c r="O521" i="12"/>
  <c r="Q521" i="12" s="1"/>
  <c r="N521" i="12"/>
  <c r="P521" i="12" s="1"/>
  <c r="AF520" i="12"/>
  <c r="AE520" i="12"/>
  <c r="AD520" i="12"/>
  <c r="AC520" i="12"/>
  <c r="AB520" i="12"/>
  <c r="Z520" i="12"/>
  <c r="M520" i="12"/>
  <c r="L520" i="12"/>
  <c r="K520" i="12"/>
  <c r="J520" i="12"/>
  <c r="I520" i="12"/>
  <c r="H520" i="12"/>
  <c r="AI518" i="12"/>
  <c r="AH518" i="12"/>
  <c r="AG518" i="12"/>
  <c r="O518" i="12"/>
  <c r="Q518" i="12" s="1"/>
  <c r="N518" i="12"/>
  <c r="P518" i="12" s="1"/>
  <c r="AI517" i="12"/>
  <c r="AI520" i="12" s="1"/>
  <c r="AH517" i="12"/>
  <c r="AH520" i="12" s="1"/>
  <c r="AG517" i="12"/>
  <c r="AG520" i="12" s="1"/>
  <c r="O517" i="12"/>
  <c r="Q517" i="12" s="1"/>
  <c r="N517" i="12"/>
  <c r="P517" i="12" s="1"/>
  <c r="O516" i="12"/>
  <c r="Q516" i="12" s="1"/>
  <c r="N516" i="12"/>
  <c r="P516" i="12" s="1"/>
  <c r="AI514" i="12"/>
  <c r="AH514" i="12"/>
  <c r="AG514" i="12"/>
  <c r="O514" i="12"/>
  <c r="Q514" i="12" s="1"/>
  <c r="N514" i="12"/>
  <c r="P514" i="12" s="1"/>
  <c r="O513" i="12"/>
  <c r="Q513" i="12" s="1"/>
  <c r="N513" i="12"/>
  <c r="P513" i="12" s="1"/>
  <c r="O512" i="12"/>
  <c r="Q512" i="12" s="1"/>
  <c r="N512" i="12"/>
  <c r="P512" i="12" s="1"/>
  <c r="Q511" i="12"/>
  <c r="P511" i="12"/>
  <c r="O511" i="12"/>
  <c r="N511" i="12"/>
  <c r="O510" i="12"/>
  <c r="Q510" i="12" s="1"/>
  <c r="N510" i="12"/>
  <c r="P510" i="12" s="1"/>
  <c r="O509" i="12"/>
  <c r="Q509" i="12" s="1"/>
  <c r="N509" i="12"/>
  <c r="P509" i="12" s="1"/>
  <c r="O508" i="12"/>
  <c r="Q508" i="12" s="1"/>
  <c r="N508" i="12"/>
  <c r="P508" i="12" s="1"/>
  <c r="AI507" i="12"/>
  <c r="AH507" i="12"/>
  <c r="AG507" i="12"/>
  <c r="O507" i="12"/>
  <c r="Q507" i="12" s="1"/>
  <c r="N507" i="12"/>
  <c r="P507" i="12" s="1"/>
  <c r="O506" i="12"/>
  <c r="Q506" i="12" s="1"/>
  <c r="N506" i="12"/>
  <c r="P506" i="12" s="1"/>
  <c r="AI505" i="12"/>
  <c r="AH505" i="12"/>
  <c r="AG505" i="12"/>
  <c r="AF505" i="12"/>
  <c r="AE505" i="12"/>
  <c r="AD505" i="12"/>
  <c r="AC505" i="12"/>
  <c r="AB505" i="12"/>
  <c r="O505" i="12"/>
  <c r="Q505" i="12" s="1"/>
  <c r="N505" i="12"/>
  <c r="P505" i="12" s="1"/>
  <c r="O504" i="12"/>
  <c r="Q504" i="12" s="1"/>
  <c r="N504" i="12"/>
  <c r="P504" i="12" s="1"/>
  <c r="O503" i="12"/>
  <c r="Q503" i="12" s="1"/>
  <c r="N503" i="12"/>
  <c r="P503" i="12" s="1"/>
  <c r="O502" i="12"/>
  <c r="Q502" i="12" s="1"/>
  <c r="N502" i="12"/>
  <c r="P502" i="12" s="1"/>
  <c r="O501" i="12"/>
  <c r="Q501" i="12" s="1"/>
  <c r="N501" i="12"/>
  <c r="P501" i="12" s="1"/>
  <c r="AG500" i="12"/>
  <c r="AF500" i="12"/>
  <c r="O500" i="12"/>
  <c r="Q500" i="12" s="1"/>
  <c r="N500" i="12"/>
  <c r="P500" i="12" s="1"/>
  <c r="O499" i="12"/>
  <c r="Q499" i="12" s="1"/>
  <c r="N499" i="12"/>
  <c r="P499" i="12" s="1"/>
  <c r="O498" i="12"/>
  <c r="Q498" i="12" s="1"/>
  <c r="N498" i="12"/>
  <c r="P498" i="12" s="1"/>
  <c r="O496" i="12"/>
  <c r="Q496" i="12" s="1"/>
  <c r="N496" i="12"/>
  <c r="P496" i="12" s="1"/>
  <c r="O495" i="12"/>
  <c r="Q495" i="12" s="1"/>
  <c r="N495" i="12"/>
  <c r="P495" i="12" s="1"/>
  <c r="O494" i="12"/>
  <c r="Q494" i="12" s="1"/>
  <c r="N494" i="12"/>
  <c r="P494" i="12" s="1"/>
  <c r="O493" i="12"/>
  <c r="Q493" i="12" s="1"/>
  <c r="N493" i="12"/>
  <c r="P493" i="12" s="1"/>
  <c r="O492" i="12"/>
  <c r="Q492" i="12" s="1"/>
  <c r="N492" i="12"/>
  <c r="P492" i="12" s="1"/>
  <c r="O491" i="12"/>
  <c r="Q491" i="12" s="1"/>
  <c r="N491" i="12"/>
  <c r="P491" i="12" s="1"/>
  <c r="Q490" i="12"/>
  <c r="P490" i="12"/>
  <c r="Z488" i="12"/>
  <c r="M488" i="12"/>
  <c r="L488" i="12"/>
  <c r="K488" i="12"/>
  <c r="J488" i="12"/>
  <c r="I488" i="12"/>
  <c r="O488" i="12" s="1"/>
  <c r="Q488" i="12" s="1"/>
  <c r="H488" i="12"/>
  <c r="N488" i="12" s="1"/>
  <c r="P488" i="12" s="1"/>
  <c r="AI487" i="12"/>
  <c r="AH487" i="12"/>
  <c r="AG487" i="12"/>
  <c r="AF487" i="12"/>
  <c r="AE487" i="12"/>
  <c r="AD487" i="12"/>
  <c r="AC487" i="12"/>
  <c r="AB487" i="12"/>
  <c r="O487" i="12"/>
  <c r="Q487" i="12" s="1"/>
  <c r="N487" i="12"/>
  <c r="P487" i="12" s="1"/>
  <c r="AI486" i="12"/>
  <c r="AH486" i="12"/>
  <c r="AG486" i="12"/>
  <c r="AF486" i="12"/>
  <c r="AB486" i="12"/>
  <c r="O486" i="12"/>
  <c r="Q486" i="12" s="1"/>
  <c r="N486" i="12"/>
  <c r="P486" i="12" s="1"/>
  <c r="AI485" i="12"/>
  <c r="AH485" i="12"/>
  <c r="AG485" i="12"/>
  <c r="AF485" i="12"/>
  <c r="AB485" i="12"/>
  <c r="O485" i="12"/>
  <c r="Q485" i="12" s="1"/>
  <c r="N485" i="12"/>
  <c r="P485" i="12" s="1"/>
  <c r="AI484" i="12"/>
  <c r="AH484" i="12"/>
  <c r="AG484" i="12"/>
  <c r="AF484" i="12"/>
  <c r="AE484" i="12"/>
  <c r="AD484" i="12"/>
  <c r="AC484" i="12"/>
  <c r="AB484" i="12"/>
  <c r="O484" i="12"/>
  <c r="Q484" i="12" s="1"/>
  <c r="N484" i="12"/>
  <c r="P484" i="12" s="1"/>
  <c r="AI483" i="12"/>
  <c r="AH483" i="12"/>
  <c r="AG483" i="12"/>
  <c r="AF483" i="12"/>
  <c r="AB483" i="12"/>
  <c r="O483" i="12"/>
  <c r="Q483" i="12" s="1"/>
  <c r="N483" i="12"/>
  <c r="P483" i="12" s="1"/>
  <c r="AI482" i="12"/>
  <c r="AH482" i="12"/>
  <c r="AG482" i="12"/>
  <c r="AF482" i="12"/>
  <c r="AB482" i="12"/>
  <c r="O482" i="12"/>
  <c r="Q482" i="12" s="1"/>
  <c r="N482" i="12"/>
  <c r="P482" i="12" s="1"/>
  <c r="AI481" i="12"/>
  <c r="AH481" i="12"/>
  <c r="AG481" i="12"/>
  <c r="AF481" i="12"/>
  <c r="AE481" i="12"/>
  <c r="AD481" i="12"/>
  <c r="AC481" i="12"/>
  <c r="AB481" i="12"/>
  <c r="O481" i="12"/>
  <c r="Q481" i="12" s="1"/>
  <c r="N481" i="12"/>
  <c r="P481" i="12" s="1"/>
  <c r="AN479" i="12"/>
  <c r="Z479" i="12"/>
  <c r="M479" i="12"/>
  <c r="L479" i="12"/>
  <c r="K479" i="12"/>
  <c r="J479" i="12"/>
  <c r="I479" i="12"/>
  <c r="H479" i="12"/>
  <c r="AI478" i="12"/>
  <c r="AH478" i="12"/>
  <c r="AG478" i="12"/>
  <c r="AF478" i="12"/>
  <c r="AE478" i="12"/>
  <c r="AD478" i="12"/>
  <c r="AC478" i="12"/>
  <c r="AB478" i="12"/>
  <c r="O478" i="12"/>
  <c r="Q478" i="12" s="1"/>
  <c r="N478" i="12"/>
  <c r="P478" i="12" s="1"/>
  <c r="AI477" i="12"/>
  <c r="AH477" i="12"/>
  <c r="AG477" i="12"/>
  <c r="AF477" i="12"/>
  <c r="AE477" i="12"/>
  <c r="AD477" i="12"/>
  <c r="AC477" i="12"/>
  <c r="AB477" i="12"/>
  <c r="O477" i="12"/>
  <c r="Q477" i="12" s="1"/>
  <c r="N477" i="12"/>
  <c r="P477" i="12" s="1"/>
  <c r="O476" i="12"/>
  <c r="Q476" i="12" s="1"/>
  <c r="N476" i="12"/>
  <c r="P476" i="12" s="1"/>
  <c r="AI475" i="12"/>
  <c r="AH475" i="12"/>
  <c r="AG475" i="12"/>
  <c r="AE475" i="12"/>
  <c r="AD475" i="12"/>
  <c r="AC475" i="12"/>
  <c r="AB475" i="12"/>
  <c r="O475" i="12"/>
  <c r="Q475" i="12" s="1"/>
  <c r="N475" i="12"/>
  <c r="P475" i="12" s="1"/>
  <c r="AI474" i="12"/>
  <c r="AH474" i="12"/>
  <c r="AG474" i="12"/>
  <c r="AF474" i="12"/>
  <c r="AE474" i="12"/>
  <c r="AD474" i="12"/>
  <c r="AC474" i="12"/>
  <c r="AB474" i="12"/>
  <c r="O474" i="12"/>
  <c r="Q474" i="12" s="1"/>
  <c r="N474" i="12"/>
  <c r="P474" i="12" s="1"/>
  <c r="AI473" i="12"/>
  <c r="AH473" i="12"/>
  <c r="AG473" i="12"/>
  <c r="AF473" i="12"/>
  <c r="AB473" i="12"/>
  <c r="O473" i="12"/>
  <c r="Q473" i="12" s="1"/>
  <c r="N473" i="12"/>
  <c r="P473" i="12" s="1"/>
  <c r="AI472" i="12"/>
  <c r="AH472" i="12"/>
  <c r="AG472" i="12"/>
  <c r="AF472" i="12"/>
  <c r="AB472" i="12"/>
  <c r="O472" i="12"/>
  <c r="Q472" i="12" s="1"/>
  <c r="N472" i="12"/>
  <c r="P472" i="12" s="1"/>
  <c r="AI471" i="12"/>
  <c r="AH471" i="12"/>
  <c r="AG471" i="12"/>
  <c r="AF471" i="12"/>
  <c r="AB471" i="12"/>
  <c r="P471" i="12"/>
  <c r="O471" i="12"/>
  <c r="Q471" i="12" s="1"/>
  <c r="N471" i="12"/>
  <c r="Z469" i="12"/>
  <c r="M469" i="12"/>
  <c r="L469" i="12"/>
  <c r="K469" i="12"/>
  <c r="J469" i="12"/>
  <c r="I469" i="12"/>
  <c r="O469" i="12" s="1"/>
  <c r="Q469" i="12" s="1"/>
  <c r="H469" i="12"/>
  <c r="AI468" i="12"/>
  <c r="AH468" i="12"/>
  <c r="AG468" i="12"/>
  <c r="AD468" i="12"/>
  <c r="AD469" i="12" s="1"/>
  <c r="AC468" i="12"/>
  <c r="AC469" i="12" s="1"/>
  <c r="AB468" i="12"/>
  <c r="O468" i="12"/>
  <c r="Q468" i="12" s="1"/>
  <c r="N468" i="12"/>
  <c r="P468" i="12" s="1"/>
  <c r="AI467" i="12"/>
  <c r="AH467" i="12"/>
  <c r="AG467" i="12"/>
  <c r="AF467" i="12"/>
  <c r="AB467" i="12"/>
  <c r="O467" i="12"/>
  <c r="Q467" i="12" s="1"/>
  <c r="N467" i="12"/>
  <c r="P467" i="12" s="1"/>
  <c r="AI466" i="12"/>
  <c r="AH466" i="12"/>
  <c r="AG466" i="12"/>
  <c r="AF466" i="12"/>
  <c r="AE466" i="12"/>
  <c r="AE469" i="12" s="1"/>
  <c r="AD466" i="12"/>
  <c r="AC466" i="12"/>
  <c r="AB466" i="12"/>
  <c r="O466" i="12"/>
  <c r="Q466" i="12" s="1"/>
  <c r="N466" i="12"/>
  <c r="P466" i="12" s="1"/>
  <c r="Q465" i="12"/>
  <c r="P465" i="12"/>
  <c r="Z464" i="12"/>
  <c r="M464" i="12"/>
  <c r="L464" i="12"/>
  <c r="K464" i="12"/>
  <c r="J464" i="12"/>
  <c r="I464" i="12"/>
  <c r="H464" i="12"/>
  <c r="N464" i="12" s="1"/>
  <c r="P464" i="12" s="1"/>
  <c r="AI463" i="12"/>
  <c r="Q463" i="12"/>
  <c r="O463" i="12"/>
  <c r="N463" i="12"/>
  <c r="P463" i="12" s="1"/>
  <c r="O462" i="12"/>
  <c r="Q462" i="12" s="1"/>
  <c r="N462" i="12"/>
  <c r="P462" i="12" s="1"/>
  <c r="AI461" i="12"/>
  <c r="AG461" i="12"/>
  <c r="AF461" i="12"/>
  <c r="AB461" i="12"/>
  <c r="O461" i="12"/>
  <c r="Q461" i="12" s="1"/>
  <c r="N461" i="12"/>
  <c r="P461" i="12" s="1"/>
  <c r="AI460" i="12"/>
  <c r="AG460" i="12"/>
  <c r="AF460" i="12"/>
  <c r="AB460" i="12"/>
  <c r="O460" i="12"/>
  <c r="Q460" i="12" s="1"/>
  <c r="N460" i="12"/>
  <c r="P460" i="12" s="1"/>
  <c r="AI459" i="12"/>
  <c r="AG459" i="12"/>
  <c r="AF459" i="12"/>
  <c r="AB459" i="12"/>
  <c r="O459" i="12"/>
  <c r="Q459" i="12" s="1"/>
  <c r="N459" i="12"/>
  <c r="P459" i="12" s="1"/>
  <c r="AI458" i="12"/>
  <c r="AF458" i="12"/>
  <c r="AE458" i="12"/>
  <c r="AB458" i="12"/>
  <c r="O458" i="12"/>
  <c r="Q458" i="12" s="1"/>
  <c r="N458" i="12"/>
  <c r="P458" i="12" s="1"/>
  <c r="AI457" i="12"/>
  <c r="AG457" i="12"/>
  <c r="AF457" i="12"/>
  <c r="AB457" i="12"/>
  <c r="O457" i="12"/>
  <c r="Q457" i="12" s="1"/>
  <c r="N457" i="12"/>
  <c r="P457" i="12" s="1"/>
  <c r="AH454" i="12"/>
  <c r="AH455" i="12" s="1"/>
  <c r="AG454" i="12"/>
  <c r="AG455" i="12" s="1"/>
  <c r="AF454" i="12"/>
  <c r="AF455" i="12" s="1"/>
  <c r="Z454" i="12"/>
  <c r="Z455" i="12" s="1"/>
  <c r="M454" i="12"/>
  <c r="M455" i="12" s="1"/>
  <c r="L454" i="12"/>
  <c r="L455" i="12" s="1"/>
  <c r="K454" i="12"/>
  <c r="K455" i="12" s="1"/>
  <c r="J454" i="12"/>
  <c r="J455" i="12" s="1"/>
  <c r="I454" i="12"/>
  <c r="H454" i="12"/>
  <c r="AI453" i="12"/>
  <c r="AB453" i="12"/>
  <c r="O453" i="12"/>
  <c r="Q453" i="12" s="1"/>
  <c r="N453" i="12"/>
  <c r="P453" i="12" s="1"/>
  <c r="O452" i="12"/>
  <c r="Q452" i="12" s="1"/>
  <c r="N452" i="12"/>
  <c r="P452" i="12" s="1"/>
  <c r="O451" i="12"/>
  <c r="Q451" i="12" s="1"/>
  <c r="N451" i="12"/>
  <c r="P451" i="12" s="1"/>
  <c r="O450" i="12"/>
  <c r="Q450" i="12" s="1"/>
  <c r="N450" i="12"/>
  <c r="P450" i="12" s="1"/>
  <c r="O449" i="12"/>
  <c r="Q449" i="12" s="1"/>
  <c r="N449" i="12"/>
  <c r="P449" i="12" s="1"/>
  <c r="O448" i="12"/>
  <c r="Q448" i="12" s="1"/>
  <c r="N448" i="12"/>
  <c r="P448" i="12" s="1"/>
  <c r="O447" i="12"/>
  <c r="Q447" i="12" s="1"/>
  <c r="N447" i="12"/>
  <c r="P447" i="12" s="1"/>
  <c r="O446" i="12"/>
  <c r="Q446" i="12" s="1"/>
  <c r="N446" i="12"/>
  <c r="P446" i="12" s="1"/>
  <c r="O445" i="12"/>
  <c r="Q445" i="12" s="1"/>
  <c r="N445" i="12"/>
  <c r="P445" i="12" s="1"/>
  <c r="O444" i="12"/>
  <c r="Q444" i="12" s="1"/>
  <c r="N444" i="12"/>
  <c r="P444" i="12" s="1"/>
  <c r="AI441" i="12"/>
  <c r="AH441" i="12"/>
  <c r="AG441" i="12"/>
  <c r="AF441" i="12"/>
  <c r="AE441" i="12"/>
  <c r="AD441" i="12"/>
  <c r="AC441" i="12"/>
  <c r="AB441" i="12"/>
  <c r="Z441" i="12"/>
  <c r="M441" i="12"/>
  <c r="L441" i="12"/>
  <c r="K441" i="12"/>
  <c r="J441" i="12"/>
  <c r="I441" i="12"/>
  <c r="O441" i="12" s="1"/>
  <c r="Q441" i="12" s="1"/>
  <c r="H441" i="12"/>
  <c r="N441" i="12" s="1"/>
  <c r="P441" i="12" s="1"/>
  <c r="O440" i="12"/>
  <c r="Q440" i="12" s="1"/>
  <c r="N440" i="12"/>
  <c r="P440" i="12" s="1"/>
  <c r="O439" i="12"/>
  <c r="Q439" i="12" s="1"/>
  <c r="N439" i="12"/>
  <c r="P439" i="12" s="1"/>
  <c r="O438" i="12"/>
  <c r="Q438" i="12" s="1"/>
  <c r="N438" i="12"/>
  <c r="P438" i="12" s="1"/>
  <c r="O437" i="12"/>
  <c r="Q437" i="12" s="1"/>
  <c r="N437" i="12"/>
  <c r="P437" i="12" s="1"/>
  <c r="O436" i="12"/>
  <c r="Q436" i="12" s="1"/>
  <c r="N436" i="12"/>
  <c r="P436" i="12" s="1"/>
  <c r="O435" i="12"/>
  <c r="Q435" i="12" s="1"/>
  <c r="N435" i="12"/>
  <c r="P435" i="12" s="1"/>
  <c r="O434" i="12"/>
  <c r="Q434" i="12" s="1"/>
  <c r="N434" i="12"/>
  <c r="P434" i="12" s="1"/>
  <c r="O433" i="12"/>
  <c r="Q433" i="12" s="1"/>
  <c r="N433" i="12"/>
  <c r="P433" i="12" s="1"/>
  <c r="O432" i="12"/>
  <c r="Q432" i="12" s="1"/>
  <c r="N432" i="12"/>
  <c r="P432" i="12" s="1"/>
  <c r="O431" i="12"/>
  <c r="Q431" i="12" s="1"/>
  <c r="N431" i="12"/>
  <c r="P431" i="12" s="1"/>
  <c r="Q430" i="12"/>
  <c r="P430" i="12"/>
  <c r="Q429" i="12"/>
  <c r="P429" i="12"/>
  <c r="AI427" i="12"/>
  <c r="AH427" i="12"/>
  <c r="AG427" i="12"/>
  <c r="AF427" i="12"/>
  <c r="AE427" i="12"/>
  <c r="AD427" i="12"/>
  <c r="AC427" i="12"/>
  <c r="AB427" i="12"/>
  <c r="AB428" i="12" s="1"/>
  <c r="Z427" i="12"/>
  <c r="Q427" i="12"/>
  <c r="L427" i="12"/>
  <c r="J427" i="12"/>
  <c r="H427" i="12"/>
  <c r="Q426" i="12"/>
  <c r="N426" i="12"/>
  <c r="P426" i="12" s="1"/>
  <c r="Q425" i="12"/>
  <c r="N425" i="12"/>
  <c r="P425" i="12" s="1"/>
  <c r="AE423" i="12"/>
  <c r="Z423" i="12"/>
  <c r="O422" i="12"/>
  <c r="Q422" i="12" s="1"/>
  <c r="N422" i="12"/>
  <c r="P422" i="12" s="1"/>
  <c r="O421" i="12"/>
  <c r="Q421" i="12" s="1"/>
  <c r="N421" i="12"/>
  <c r="P421" i="12" s="1"/>
  <c r="O420" i="12"/>
  <c r="Q420" i="12" s="1"/>
  <c r="N420" i="12"/>
  <c r="P420" i="12" s="1"/>
  <c r="O419" i="12"/>
  <c r="Q419" i="12" s="1"/>
  <c r="N419" i="12"/>
  <c r="P419" i="12" s="1"/>
  <c r="O418" i="12"/>
  <c r="Q418" i="12" s="1"/>
  <c r="N418" i="12"/>
  <c r="P418" i="12" s="1"/>
  <c r="O417" i="12"/>
  <c r="Q417" i="12" s="1"/>
  <c r="N417" i="12"/>
  <c r="P417" i="12" s="1"/>
  <c r="O416" i="12"/>
  <c r="Q416" i="12" s="1"/>
  <c r="N416" i="12"/>
  <c r="P416" i="12" s="1"/>
  <c r="O415" i="12"/>
  <c r="Q415" i="12" s="1"/>
  <c r="N415" i="12"/>
  <c r="P415" i="12" s="1"/>
  <c r="O414" i="12"/>
  <c r="Q414" i="12" s="1"/>
  <c r="N414" i="12"/>
  <c r="P414" i="12" s="1"/>
  <c r="Q413" i="12"/>
  <c r="N413" i="12"/>
  <c r="P413" i="12" s="1"/>
  <c r="O412" i="12"/>
  <c r="Q412" i="12" s="1"/>
  <c r="N412" i="12"/>
  <c r="P412" i="12" s="1"/>
  <c r="O411" i="12"/>
  <c r="Q411" i="12" s="1"/>
  <c r="N411" i="12"/>
  <c r="P411" i="12" s="1"/>
  <c r="O410" i="12"/>
  <c r="Q410" i="12" s="1"/>
  <c r="N410" i="12"/>
  <c r="P410" i="12" s="1"/>
  <c r="O409" i="12"/>
  <c r="Q409" i="12" s="1"/>
  <c r="N409" i="12"/>
  <c r="P409" i="12" s="1"/>
  <c r="O408" i="12"/>
  <c r="Q408" i="12" s="1"/>
  <c r="N408" i="12"/>
  <c r="P408" i="12" s="1"/>
  <c r="O407" i="12"/>
  <c r="Q407" i="12" s="1"/>
  <c r="N407" i="12"/>
  <c r="P407" i="12" s="1"/>
  <c r="Q406" i="12"/>
  <c r="N406" i="12"/>
  <c r="P406" i="12" s="1"/>
  <c r="M405" i="12"/>
  <c r="M423" i="12" s="1"/>
  <c r="M428" i="12" s="1"/>
  <c r="L405" i="12"/>
  <c r="L423" i="12" s="1"/>
  <c r="K405" i="12"/>
  <c r="K423" i="12" s="1"/>
  <c r="K428" i="12" s="1"/>
  <c r="J405" i="12"/>
  <c r="J423" i="12" s="1"/>
  <c r="I405" i="12"/>
  <c r="I423" i="12" s="1"/>
  <c r="H405" i="12"/>
  <c r="H423" i="12" s="1"/>
  <c r="O404" i="12"/>
  <c r="Q404" i="12" s="1"/>
  <c r="N404" i="12"/>
  <c r="P404" i="12" s="1"/>
  <c r="AI402" i="12"/>
  <c r="AI423" i="12" s="1"/>
  <c r="AH402" i="12"/>
  <c r="AH423" i="12" s="1"/>
  <c r="AH428" i="12" s="1"/>
  <c r="AG402" i="12"/>
  <c r="AG423" i="12" s="1"/>
  <c r="AG428" i="12" s="1"/>
  <c r="AF402" i="12"/>
  <c r="AF423" i="12" s="1"/>
  <c r="AF428" i="12" s="1"/>
  <c r="P402" i="12"/>
  <c r="O402" i="12"/>
  <c r="Q402" i="12" s="1"/>
  <c r="N402" i="12"/>
  <c r="AE401" i="12"/>
  <c r="AD401" i="12"/>
  <c r="AD423" i="12" s="1"/>
  <c r="AC401" i="12"/>
  <c r="AC423" i="12" s="1"/>
  <c r="AB401" i="12"/>
  <c r="AB423" i="12" s="1"/>
  <c r="O401" i="12"/>
  <c r="Q401" i="12" s="1"/>
  <c r="N401" i="12"/>
  <c r="P401" i="12" s="1"/>
  <c r="O400" i="12"/>
  <c r="Q400" i="12" s="1"/>
  <c r="N400" i="12"/>
  <c r="P400" i="12" s="1"/>
  <c r="O399" i="12"/>
  <c r="Q399" i="12" s="1"/>
  <c r="N399" i="12"/>
  <c r="P399" i="12" s="1"/>
  <c r="O398" i="12"/>
  <c r="Q398" i="12" s="1"/>
  <c r="N398" i="12"/>
  <c r="P398" i="12" s="1"/>
  <c r="Q397" i="12"/>
  <c r="O397" i="12"/>
  <c r="N397" i="12"/>
  <c r="P397" i="12" s="1"/>
  <c r="O396" i="12"/>
  <c r="Q396" i="12" s="1"/>
  <c r="N396" i="12"/>
  <c r="P396" i="12" s="1"/>
  <c r="O395" i="12"/>
  <c r="Q395" i="12" s="1"/>
  <c r="N395" i="12"/>
  <c r="P395" i="12" s="1"/>
  <c r="O394" i="12"/>
  <c r="Q394" i="12" s="1"/>
  <c r="N394" i="12"/>
  <c r="P394" i="12" s="1"/>
  <c r="O393" i="12"/>
  <c r="Q393" i="12" s="1"/>
  <c r="N393" i="12"/>
  <c r="P393" i="12" s="1"/>
  <c r="O392" i="12"/>
  <c r="Q392" i="12" s="1"/>
  <c r="N392" i="12"/>
  <c r="P392" i="12" s="1"/>
  <c r="O391" i="12"/>
  <c r="Q391" i="12" s="1"/>
  <c r="N391" i="12"/>
  <c r="P391" i="12" s="1"/>
  <c r="O390" i="12"/>
  <c r="Q390" i="12" s="1"/>
  <c r="N390" i="12"/>
  <c r="P390" i="12" s="1"/>
  <c r="O389" i="12"/>
  <c r="Q389" i="12" s="1"/>
  <c r="N389" i="12"/>
  <c r="P389" i="12" s="1"/>
  <c r="O388" i="12"/>
  <c r="Q388" i="12" s="1"/>
  <c r="N388" i="12"/>
  <c r="P388" i="12" s="1"/>
  <c r="O387" i="12"/>
  <c r="Q387" i="12" s="1"/>
  <c r="N387" i="12"/>
  <c r="P387" i="12" s="1"/>
  <c r="O385" i="12"/>
  <c r="Q385" i="12" s="1"/>
  <c r="N385" i="12"/>
  <c r="P385" i="12" s="1"/>
  <c r="O384" i="12"/>
  <c r="Q384" i="12" s="1"/>
  <c r="N384" i="12"/>
  <c r="P384" i="12" s="1"/>
  <c r="Q383" i="12"/>
  <c r="N383" i="12"/>
  <c r="P383" i="12" s="1"/>
  <c r="O382" i="12"/>
  <c r="Q382" i="12" s="1"/>
  <c r="N382" i="12"/>
  <c r="P382" i="12" s="1"/>
  <c r="O381" i="12"/>
  <c r="Q381" i="12" s="1"/>
  <c r="N381" i="12"/>
  <c r="P381" i="12" s="1"/>
  <c r="O380" i="12"/>
  <c r="Q380" i="12" s="1"/>
  <c r="N380" i="12"/>
  <c r="P380" i="12" s="1"/>
  <c r="O379" i="12"/>
  <c r="Q379" i="12" s="1"/>
  <c r="N379" i="12"/>
  <c r="P379" i="12" s="1"/>
  <c r="Z376" i="12"/>
  <c r="M376" i="12"/>
  <c r="L376" i="12"/>
  <c r="K376" i="12"/>
  <c r="J376" i="12"/>
  <c r="I376" i="12"/>
  <c r="O376" i="12" s="1"/>
  <c r="Q376" i="12" s="1"/>
  <c r="H376" i="12"/>
  <c r="AI375" i="12"/>
  <c r="AH375" i="12"/>
  <c r="AG375" i="12"/>
  <c r="AF375" i="12"/>
  <c r="AE375" i="12"/>
  <c r="AD375" i="12"/>
  <c r="AC375" i="12"/>
  <c r="AB375" i="12"/>
  <c r="O375" i="12"/>
  <c r="Q375" i="12" s="1"/>
  <c r="N375" i="12"/>
  <c r="P375" i="12" s="1"/>
  <c r="AI374" i="12"/>
  <c r="AH374" i="12"/>
  <c r="AG374" i="12"/>
  <c r="AF374" i="12"/>
  <c r="AE374" i="12"/>
  <c r="AD374" i="12"/>
  <c r="AC374" i="12"/>
  <c r="AB374" i="12"/>
  <c r="O374" i="12"/>
  <c r="Q374" i="12" s="1"/>
  <c r="N374" i="12"/>
  <c r="P374" i="12" s="1"/>
  <c r="AI373" i="12"/>
  <c r="AH373" i="12"/>
  <c r="AG373" i="12"/>
  <c r="AG376" i="12" s="1"/>
  <c r="AF373" i="12"/>
  <c r="AE373" i="12"/>
  <c r="AD373" i="12"/>
  <c r="AC373" i="12"/>
  <c r="AB373" i="12"/>
  <c r="O373" i="12"/>
  <c r="Q373" i="12" s="1"/>
  <c r="N373" i="12"/>
  <c r="P373" i="12" s="1"/>
  <c r="Q372" i="12"/>
  <c r="P372" i="12"/>
  <c r="Z371" i="12"/>
  <c r="M371" i="12"/>
  <c r="L371" i="12"/>
  <c r="K371" i="12"/>
  <c r="J371" i="12"/>
  <c r="I371" i="12"/>
  <c r="H371" i="12"/>
  <c r="N371" i="12" s="1"/>
  <c r="P371" i="12" s="1"/>
  <c r="O370" i="12"/>
  <c r="Q370" i="12" s="1"/>
  <c r="N370" i="12"/>
  <c r="P370" i="12" s="1"/>
  <c r="O369" i="12"/>
  <c r="Q369" i="12" s="1"/>
  <c r="N369" i="12"/>
  <c r="P369" i="12" s="1"/>
  <c r="O368" i="12"/>
  <c r="Q368" i="12" s="1"/>
  <c r="N368" i="12"/>
  <c r="P368" i="12" s="1"/>
  <c r="AI367" i="12"/>
  <c r="AI371" i="12" s="1"/>
  <c r="AH367" i="12"/>
  <c r="AH371" i="12" s="1"/>
  <c r="AG367" i="12"/>
  <c r="AG371" i="12" s="1"/>
  <c r="AF367" i="12"/>
  <c r="AF371" i="12" s="1"/>
  <c r="AE367" i="12"/>
  <c r="AE371" i="12" s="1"/>
  <c r="AD367" i="12"/>
  <c r="AD371" i="12" s="1"/>
  <c r="AC367" i="12"/>
  <c r="AC371" i="12" s="1"/>
  <c r="AB367" i="12"/>
  <c r="AB371" i="12" s="1"/>
  <c r="O367" i="12"/>
  <c r="Q367" i="12" s="1"/>
  <c r="N367" i="12"/>
  <c r="P367" i="12" s="1"/>
  <c r="O366" i="12"/>
  <c r="Q366" i="12" s="1"/>
  <c r="N366" i="12"/>
  <c r="P366" i="12" s="1"/>
  <c r="O362" i="12"/>
  <c r="Q362" i="12" s="1"/>
  <c r="N362" i="12"/>
  <c r="P362" i="12" s="1"/>
  <c r="AI361" i="12"/>
  <c r="AH361" i="12"/>
  <c r="AG361" i="12"/>
  <c r="AF361" i="12"/>
  <c r="AE361" i="12"/>
  <c r="AD361" i="12"/>
  <c r="AC361" i="12"/>
  <c r="AC363" i="12" s="1"/>
  <c r="AB361" i="12"/>
  <c r="Z361" i="12"/>
  <c r="M361" i="12"/>
  <c r="L361" i="12"/>
  <c r="K361" i="12"/>
  <c r="J361" i="12"/>
  <c r="I361" i="12"/>
  <c r="H361" i="12"/>
  <c r="O360" i="12"/>
  <c r="Q360" i="12" s="1"/>
  <c r="N360" i="12"/>
  <c r="P360" i="12" s="1"/>
  <c r="O359" i="12"/>
  <c r="Q359" i="12" s="1"/>
  <c r="N359" i="12"/>
  <c r="P359" i="12" s="1"/>
  <c r="Q357" i="12"/>
  <c r="P357" i="12"/>
  <c r="O357" i="12"/>
  <c r="N357" i="12"/>
  <c r="O356" i="12"/>
  <c r="Q356" i="12" s="1"/>
  <c r="N356" i="12"/>
  <c r="P356" i="12" s="1"/>
  <c r="O355" i="12"/>
  <c r="Q355" i="12" s="1"/>
  <c r="N355" i="12"/>
  <c r="P355" i="12" s="1"/>
  <c r="O354" i="12"/>
  <c r="Q354" i="12" s="1"/>
  <c r="N354" i="12"/>
  <c r="P354" i="12" s="1"/>
  <c r="O353" i="12"/>
  <c r="Q353" i="12" s="1"/>
  <c r="N353" i="12"/>
  <c r="P353" i="12" s="1"/>
  <c r="O352" i="12"/>
  <c r="Q352" i="12" s="1"/>
  <c r="N352" i="12"/>
  <c r="P352" i="12" s="1"/>
  <c r="P351" i="12"/>
  <c r="O351" i="12"/>
  <c r="Q351" i="12" s="1"/>
  <c r="N351" i="12"/>
  <c r="AI350" i="12"/>
  <c r="AH350" i="12"/>
  <c r="AG350" i="12"/>
  <c r="O350" i="12"/>
  <c r="Q350" i="12" s="1"/>
  <c r="N350" i="12"/>
  <c r="P350" i="12" s="1"/>
  <c r="O349" i="12"/>
  <c r="Q349" i="12" s="1"/>
  <c r="N349" i="12"/>
  <c r="P349" i="12" s="1"/>
  <c r="O348" i="12"/>
  <c r="Q348" i="12" s="1"/>
  <c r="N348" i="12"/>
  <c r="P348" i="12" s="1"/>
  <c r="O347" i="12"/>
  <c r="Q347" i="12" s="1"/>
  <c r="N347" i="12"/>
  <c r="P347" i="12" s="1"/>
  <c r="O346" i="12"/>
  <c r="Q346" i="12" s="1"/>
  <c r="N346" i="12"/>
  <c r="P346" i="12" s="1"/>
  <c r="Q345" i="12"/>
  <c r="N345" i="12"/>
  <c r="P345" i="12" s="1"/>
  <c r="O344" i="12"/>
  <c r="Q344" i="12" s="1"/>
  <c r="N344" i="12"/>
  <c r="P344" i="12" s="1"/>
  <c r="O343" i="12"/>
  <c r="Q343" i="12" s="1"/>
  <c r="N343" i="12"/>
  <c r="P343" i="12" s="1"/>
  <c r="AI342" i="12"/>
  <c r="AI363" i="12" s="1"/>
  <c r="AH342" i="12"/>
  <c r="AG342" i="12"/>
  <c r="AF342" i="12"/>
  <c r="AE342" i="12"/>
  <c r="AD342" i="12"/>
  <c r="AC342" i="12"/>
  <c r="AB342" i="12"/>
  <c r="Z342" i="12"/>
  <c r="M342" i="12"/>
  <c r="L342" i="12"/>
  <c r="K342" i="12"/>
  <c r="J342" i="12"/>
  <c r="I342" i="12"/>
  <c r="H342" i="12"/>
  <c r="O341" i="12"/>
  <c r="Q341" i="12" s="1"/>
  <c r="N341" i="12"/>
  <c r="P341" i="12" s="1"/>
  <c r="O339" i="12"/>
  <c r="Q339" i="12" s="1"/>
  <c r="N339" i="12"/>
  <c r="P339" i="12" s="1"/>
  <c r="Q338" i="12"/>
  <c r="N338" i="12"/>
  <c r="P338" i="12" s="1"/>
  <c r="O337" i="12"/>
  <c r="Q337" i="12" s="1"/>
  <c r="N337" i="12"/>
  <c r="P337" i="12" s="1"/>
  <c r="Q336" i="12"/>
  <c r="N336" i="12"/>
  <c r="P336" i="12" s="1"/>
  <c r="O332" i="12"/>
  <c r="Q332" i="12" s="1"/>
  <c r="N332" i="12"/>
  <c r="P332" i="12" s="1"/>
  <c r="AI331" i="12"/>
  <c r="AH331" i="12"/>
  <c r="AG331" i="12"/>
  <c r="AF331" i="12"/>
  <c r="AE331" i="12"/>
  <c r="AD331" i="12"/>
  <c r="AC331" i="12"/>
  <c r="AB331" i="12"/>
  <c r="Z331" i="12"/>
  <c r="M331" i="12"/>
  <c r="L331" i="12"/>
  <c r="K331" i="12"/>
  <c r="J331" i="12"/>
  <c r="I331" i="12"/>
  <c r="H331" i="12"/>
  <c r="O330" i="12"/>
  <c r="Q330" i="12" s="1"/>
  <c r="N330" i="12"/>
  <c r="P330" i="12" s="1"/>
  <c r="AI328" i="12"/>
  <c r="AH328" i="12"/>
  <c r="AG328" i="12"/>
  <c r="AF328" i="12"/>
  <c r="AE328" i="12"/>
  <c r="AD328" i="12"/>
  <c r="AC328" i="12"/>
  <c r="AB328" i="12"/>
  <c r="Z328" i="12"/>
  <c r="M328" i="12"/>
  <c r="L328" i="12"/>
  <c r="K328" i="12"/>
  <c r="J328" i="12"/>
  <c r="I328" i="12"/>
  <c r="O328" i="12" s="1"/>
  <c r="Q328" i="12" s="1"/>
  <c r="H328" i="12"/>
  <c r="N328" i="12" s="1"/>
  <c r="P328" i="12" s="1"/>
  <c r="O326" i="12"/>
  <c r="Q326" i="12" s="1"/>
  <c r="N326" i="12"/>
  <c r="P326" i="12" s="1"/>
  <c r="O325" i="12"/>
  <c r="Q325" i="12" s="1"/>
  <c r="N325" i="12"/>
  <c r="P325" i="12" s="1"/>
  <c r="O324" i="12"/>
  <c r="Q324" i="12" s="1"/>
  <c r="N324" i="12"/>
  <c r="P324" i="12" s="1"/>
  <c r="O323" i="12"/>
  <c r="Q323" i="12" s="1"/>
  <c r="N323" i="12"/>
  <c r="P323" i="12" s="1"/>
  <c r="O322" i="12"/>
  <c r="Q322" i="12" s="1"/>
  <c r="N322" i="12"/>
  <c r="P322" i="12" s="1"/>
  <c r="O321" i="12"/>
  <c r="Q321" i="12" s="1"/>
  <c r="N321" i="12"/>
  <c r="P321" i="12" s="1"/>
  <c r="AI319" i="12"/>
  <c r="AH319" i="12"/>
  <c r="AG319" i="12"/>
  <c r="AF319" i="12"/>
  <c r="AE319" i="12"/>
  <c r="AD319" i="12"/>
  <c r="AC319" i="12"/>
  <c r="AB319" i="12"/>
  <c r="Z319" i="12"/>
  <c r="M319" i="12"/>
  <c r="L319" i="12"/>
  <c r="K319" i="12"/>
  <c r="J319" i="12"/>
  <c r="I319" i="12"/>
  <c r="H319" i="12"/>
  <c r="O318" i="12"/>
  <c r="Q318" i="12" s="1"/>
  <c r="N318" i="12"/>
  <c r="P318" i="12" s="1"/>
  <c r="O317" i="12"/>
  <c r="Q317" i="12" s="1"/>
  <c r="N317" i="12"/>
  <c r="P317" i="12" s="1"/>
  <c r="O316" i="12"/>
  <c r="Q316" i="12" s="1"/>
  <c r="N316" i="12"/>
  <c r="P316" i="12" s="1"/>
  <c r="O315" i="12"/>
  <c r="Q315" i="12" s="1"/>
  <c r="N315" i="12"/>
  <c r="P315" i="12" s="1"/>
  <c r="O314" i="12"/>
  <c r="Q314" i="12" s="1"/>
  <c r="N314" i="12"/>
  <c r="P314" i="12" s="1"/>
  <c r="O313" i="12"/>
  <c r="Q313" i="12" s="1"/>
  <c r="N313" i="12"/>
  <c r="P313" i="12" s="1"/>
  <c r="O312" i="12"/>
  <c r="Q312" i="12" s="1"/>
  <c r="N312" i="12"/>
  <c r="P312" i="12" s="1"/>
  <c r="O311" i="12"/>
  <c r="Q311" i="12" s="1"/>
  <c r="N311" i="12"/>
  <c r="P311" i="12" s="1"/>
  <c r="O310" i="12"/>
  <c r="Q310" i="12" s="1"/>
  <c r="N310" i="12"/>
  <c r="P310" i="12" s="1"/>
  <c r="O309" i="12"/>
  <c r="Q309" i="12" s="1"/>
  <c r="N309" i="12"/>
  <c r="P309" i="12" s="1"/>
  <c r="AI307" i="12"/>
  <c r="AH307" i="12"/>
  <c r="AG307" i="12"/>
  <c r="AF307" i="12"/>
  <c r="AE307" i="12"/>
  <c r="AD307" i="12"/>
  <c r="AC307" i="12"/>
  <c r="AB307" i="12"/>
  <c r="Z307" i="12"/>
  <c r="M307" i="12"/>
  <c r="L307" i="12"/>
  <c r="K307" i="12"/>
  <c r="J307" i="12"/>
  <c r="I307" i="12"/>
  <c r="H307" i="12"/>
  <c r="O306" i="12"/>
  <c r="Q306" i="12" s="1"/>
  <c r="N306" i="12"/>
  <c r="P306" i="12" s="1"/>
  <c r="P305" i="12"/>
  <c r="O305" i="12"/>
  <c r="Q305" i="12" s="1"/>
  <c r="N305" i="12"/>
  <c r="O304" i="12"/>
  <c r="Q304" i="12" s="1"/>
  <c r="N304" i="12"/>
  <c r="P304" i="12" s="1"/>
  <c r="O303" i="12"/>
  <c r="Q303" i="12" s="1"/>
  <c r="N303" i="12"/>
  <c r="P303" i="12" s="1"/>
  <c r="AI301" i="12"/>
  <c r="AH301" i="12"/>
  <c r="AG301" i="12"/>
  <c r="AF301" i="12"/>
  <c r="AE301" i="12"/>
  <c r="AD301" i="12"/>
  <c r="AC301" i="12"/>
  <c r="AB301" i="12"/>
  <c r="Z301" i="12"/>
  <c r="M301" i="12"/>
  <c r="L301" i="12"/>
  <c r="K301" i="12"/>
  <c r="J301" i="12"/>
  <c r="I301" i="12"/>
  <c r="H301" i="12"/>
  <c r="N301" i="12" s="1"/>
  <c r="P301" i="12" s="1"/>
  <c r="O300" i="12"/>
  <c r="Q300" i="12" s="1"/>
  <c r="N300" i="12"/>
  <c r="P300" i="12" s="1"/>
  <c r="O299" i="12"/>
  <c r="Q299" i="12" s="1"/>
  <c r="N299" i="12"/>
  <c r="P299" i="12" s="1"/>
  <c r="O298" i="12"/>
  <c r="Q298" i="12" s="1"/>
  <c r="N298" i="12"/>
  <c r="P298" i="12" s="1"/>
  <c r="O297" i="12"/>
  <c r="Q297" i="12" s="1"/>
  <c r="N297" i="12"/>
  <c r="P297" i="12" s="1"/>
  <c r="O296" i="12"/>
  <c r="Q296" i="12" s="1"/>
  <c r="N296" i="12"/>
  <c r="P296" i="12" s="1"/>
  <c r="O295" i="12"/>
  <c r="Q295" i="12" s="1"/>
  <c r="N295" i="12"/>
  <c r="P295" i="12" s="1"/>
  <c r="O294" i="12"/>
  <c r="Q294" i="12" s="1"/>
  <c r="N294" i="12"/>
  <c r="P294" i="12" s="1"/>
  <c r="O293" i="12"/>
  <c r="Q293" i="12" s="1"/>
  <c r="N293" i="12"/>
  <c r="P293" i="12" s="1"/>
  <c r="O292" i="12"/>
  <c r="Q292" i="12" s="1"/>
  <c r="N292" i="12"/>
  <c r="P292" i="12" s="1"/>
  <c r="O291" i="12"/>
  <c r="Q291" i="12" s="1"/>
  <c r="N291" i="12"/>
  <c r="P291" i="12" s="1"/>
  <c r="O290" i="12"/>
  <c r="Q290" i="12" s="1"/>
  <c r="N290" i="12"/>
  <c r="P290" i="12" s="1"/>
  <c r="AI288" i="12"/>
  <c r="AH288" i="12"/>
  <c r="AG288" i="12"/>
  <c r="AF288" i="12"/>
  <c r="AE288" i="12"/>
  <c r="AD288" i="12"/>
  <c r="AC288" i="12"/>
  <c r="AB288" i="12"/>
  <c r="Z288" i="12"/>
  <c r="M288" i="12"/>
  <c r="L288" i="12"/>
  <c r="K288" i="12"/>
  <c r="J288" i="12"/>
  <c r="I288" i="12"/>
  <c r="H288" i="12"/>
  <c r="O287" i="12"/>
  <c r="Q287" i="12" s="1"/>
  <c r="N287" i="12"/>
  <c r="P287" i="12" s="1"/>
  <c r="O286" i="12"/>
  <c r="Q286" i="12" s="1"/>
  <c r="N286" i="12"/>
  <c r="P286" i="12" s="1"/>
  <c r="O285" i="12"/>
  <c r="Q285" i="12" s="1"/>
  <c r="N285" i="12"/>
  <c r="P285" i="12" s="1"/>
  <c r="O284" i="12"/>
  <c r="Q284" i="12" s="1"/>
  <c r="N284" i="12"/>
  <c r="P284" i="12" s="1"/>
  <c r="O283" i="12"/>
  <c r="Q283" i="12" s="1"/>
  <c r="N283" i="12"/>
  <c r="P283" i="12" s="1"/>
  <c r="Q282" i="12"/>
  <c r="O282" i="12"/>
  <c r="N282" i="12"/>
  <c r="P282" i="12" s="1"/>
  <c r="Q281" i="12"/>
  <c r="P281" i="12"/>
  <c r="AI280" i="12"/>
  <c r="AH280" i="12"/>
  <c r="AG280" i="12"/>
  <c r="AF280" i="12"/>
  <c r="AE280" i="12"/>
  <c r="AD280" i="12"/>
  <c r="AC280" i="12"/>
  <c r="AB280" i="12"/>
  <c r="Z280" i="12"/>
  <c r="M280" i="12"/>
  <c r="O280" i="12" s="1"/>
  <c r="Q280" i="12" s="1"/>
  <c r="L280" i="12"/>
  <c r="K280" i="12"/>
  <c r="J280" i="12"/>
  <c r="I280" i="12"/>
  <c r="H280" i="12"/>
  <c r="N280" i="12" s="1"/>
  <c r="P280" i="12" s="1"/>
  <c r="O279" i="12"/>
  <c r="Q279" i="12" s="1"/>
  <c r="N279" i="12"/>
  <c r="P279" i="12" s="1"/>
  <c r="O278" i="12"/>
  <c r="Q278" i="12" s="1"/>
  <c r="N278" i="12"/>
  <c r="P278" i="12" s="1"/>
  <c r="O277" i="12"/>
  <c r="Q277" i="12" s="1"/>
  <c r="N277" i="12"/>
  <c r="P277" i="12" s="1"/>
  <c r="O276" i="12"/>
  <c r="Q276" i="12" s="1"/>
  <c r="N276" i="12"/>
  <c r="P276" i="12" s="1"/>
  <c r="O275" i="12"/>
  <c r="Q275" i="12" s="1"/>
  <c r="N275" i="12"/>
  <c r="P275" i="12" s="1"/>
  <c r="O274" i="12"/>
  <c r="Q274" i="12" s="1"/>
  <c r="N274" i="12"/>
  <c r="P274" i="12" s="1"/>
  <c r="O273" i="12"/>
  <c r="Q273" i="12" s="1"/>
  <c r="N273" i="12"/>
  <c r="P273" i="12" s="1"/>
  <c r="O272" i="12"/>
  <c r="Q272" i="12" s="1"/>
  <c r="N272" i="12"/>
  <c r="P272" i="12" s="1"/>
  <c r="O271" i="12"/>
  <c r="Q271" i="12" s="1"/>
  <c r="N271" i="12"/>
  <c r="P271" i="12" s="1"/>
  <c r="O270" i="12"/>
  <c r="Q270" i="12" s="1"/>
  <c r="N270" i="12"/>
  <c r="P270" i="12" s="1"/>
  <c r="O269" i="12"/>
  <c r="Q269" i="12" s="1"/>
  <c r="N269" i="12"/>
  <c r="P269" i="12" s="1"/>
  <c r="O268" i="12"/>
  <c r="Q268" i="12" s="1"/>
  <c r="N268" i="12"/>
  <c r="P268" i="12" s="1"/>
  <c r="O267" i="12"/>
  <c r="Q267" i="12" s="1"/>
  <c r="N267" i="12"/>
  <c r="P267" i="12" s="1"/>
  <c r="O266" i="12"/>
  <c r="Q266" i="12" s="1"/>
  <c r="N266" i="12"/>
  <c r="P266" i="12" s="1"/>
  <c r="O265" i="12"/>
  <c r="Q265" i="12" s="1"/>
  <c r="N265" i="12"/>
  <c r="P265" i="12" s="1"/>
  <c r="AI263" i="12"/>
  <c r="AH263" i="12"/>
  <c r="AG263" i="12"/>
  <c r="AF263" i="12"/>
  <c r="AE263" i="12"/>
  <c r="AD263" i="12"/>
  <c r="AC263" i="12"/>
  <c r="AB263" i="12"/>
  <c r="Z263" i="12"/>
  <c r="M263" i="12"/>
  <c r="L263" i="12"/>
  <c r="K263" i="12"/>
  <c r="J263" i="12"/>
  <c r="I263" i="12"/>
  <c r="H263" i="12"/>
  <c r="O262" i="12"/>
  <c r="Q262" i="12" s="1"/>
  <c r="N262" i="12"/>
  <c r="P262" i="12" s="1"/>
  <c r="O261" i="12"/>
  <c r="Q261" i="12" s="1"/>
  <c r="N261" i="12"/>
  <c r="P261" i="12" s="1"/>
  <c r="O260" i="12"/>
  <c r="Q260" i="12" s="1"/>
  <c r="N260" i="12"/>
  <c r="P260" i="12" s="1"/>
  <c r="O259" i="12"/>
  <c r="Q259" i="12" s="1"/>
  <c r="N259" i="12"/>
  <c r="P259" i="12" s="1"/>
  <c r="Q258" i="12"/>
  <c r="P258" i="12"/>
  <c r="AI257" i="12"/>
  <c r="AH257" i="12"/>
  <c r="AG257" i="12"/>
  <c r="AF257" i="12"/>
  <c r="AE257" i="12"/>
  <c r="AD257" i="12"/>
  <c r="AC257" i="12"/>
  <c r="AB257" i="12"/>
  <c r="Z257" i="12"/>
  <c r="N257" i="12"/>
  <c r="P257" i="12" s="1"/>
  <c r="M257" i="12"/>
  <c r="L257" i="12"/>
  <c r="K257" i="12"/>
  <c r="J257" i="12"/>
  <c r="I257" i="12"/>
  <c r="H257" i="12"/>
  <c r="O256" i="12"/>
  <c r="Q256" i="12" s="1"/>
  <c r="N256" i="12"/>
  <c r="P256" i="12" s="1"/>
  <c r="O255" i="12"/>
  <c r="Q255" i="12" s="1"/>
  <c r="N255" i="12"/>
  <c r="P255" i="12" s="1"/>
  <c r="Q254" i="12"/>
  <c r="N254" i="12"/>
  <c r="P254" i="12" s="1"/>
  <c r="O253" i="12"/>
  <c r="Q253" i="12" s="1"/>
  <c r="N253" i="12"/>
  <c r="P253" i="12" s="1"/>
  <c r="O252" i="12"/>
  <c r="Q252" i="12" s="1"/>
  <c r="N252" i="12"/>
  <c r="P252" i="12" s="1"/>
  <c r="O251" i="12"/>
  <c r="Q251" i="12" s="1"/>
  <c r="N251" i="12"/>
  <c r="P251" i="12" s="1"/>
  <c r="Q250" i="12"/>
  <c r="N250" i="12"/>
  <c r="P250" i="12" s="1"/>
  <c r="O249" i="12"/>
  <c r="Q249" i="12" s="1"/>
  <c r="N249" i="12"/>
  <c r="P249" i="12" s="1"/>
  <c r="O248" i="12"/>
  <c r="Q248" i="12" s="1"/>
  <c r="N248" i="12"/>
  <c r="P248" i="12" s="1"/>
  <c r="O247" i="12"/>
  <c r="Q247" i="12" s="1"/>
  <c r="N247" i="12"/>
  <c r="P247" i="12" s="1"/>
  <c r="O246" i="12"/>
  <c r="Q246" i="12" s="1"/>
  <c r="N246" i="12"/>
  <c r="P246" i="12" s="1"/>
  <c r="O245" i="12"/>
  <c r="Q245" i="12" s="1"/>
  <c r="N245" i="12"/>
  <c r="P245" i="12" s="1"/>
  <c r="Q244" i="12"/>
  <c r="N244" i="12"/>
  <c r="P244" i="12" s="1"/>
  <c r="O243" i="12"/>
  <c r="Q243" i="12" s="1"/>
  <c r="N243" i="12"/>
  <c r="P243" i="12" s="1"/>
  <c r="O242" i="12"/>
  <c r="Q242" i="12" s="1"/>
  <c r="N242" i="12"/>
  <c r="P242" i="12" s="1"/>
  <c r="O241" i="12"/>
  <c r="Q241" i="12" s="1"/>
  <c r="N241" i="12"/>
  <c r="P241" i="12" s="1"/>
  <c r="O240" i="12"/>
  <c r="Q240" i="12" s="1"/>
  <c r="N240" i="12"/>
  <c r="P240" i="12" s="1"/>
  <c r="O239" i="12"/>
  <c r="Q239" i="12" s="1"/>
  <c r="N239" i="12"/>
  <c r="P239" i="12" s="1"/>
  <c r="O238" i="12"/>
  <c r="Q238" i="12" s="1"/>
  <c r="N238" i="12"/>
  <c r="P238" i="12" s="1"/>
  <c r="O237" i="12"/>
  <c r="Q237" i="12" s="1"/>
  <c r="N237" i="12"/>
  <c r="P237" i="12" s="1"/>
  <c r="O236" i="12"/>
  <c r="Q236" i="12" s="1"/>
  <c r="N236" i="12"/>
  <c r="P236" i="12" s="1"/>
  <c r="AI234" i="12"/>
  <c r="AH234" i="12"/>
  <c r="AG234" i="12"/>
  <c r="AF234" i="12"/>
  <c r="AE234" i="12"/>
  <c r="AD234" i="12"/>
  <c r="AC234" i="12"/>
  <c r="AB234" i="12"/>
  <c r="Z234" i="12"/>
  <c r="M234" i="12"/>
  <c r="L234" i="12"/>
  <c r="K234" i="12"/>
  <c r="J234" i="12"/>
  <c r="I234" i="12"/>
  <c r="H234" i="12"/>
  <c r="O233" i="12"/>
  <c r="Q233" i="12" s="1"/>
  <c r="N233" i="12"/>
  <c r="P233" i="12" s="1"/>
  <c r="O232" i="12"/>
  <c r="Q232" i="12" s="1"/>
  <c r="N232" i="12"/>
  <c r="P232" i="12" s="1"/>
  <c r="O231" i="12"/>
  <c r="Q231" i="12" s="1"/>
  <c r="N231" i="12"/>
  <c r="P231" i="12" s="1"/>
  <c r="O230" i="12"/>
  <c r="Q230" i="12" s="1"/>
  <c r="N230" i="12"/>
  <c r="P230" i="12" s="1"/>
  <c r="Q229" i="12"/>
  <c r="P229" i="12"/>
  <c r="O228" i="12"/>
  <c r="Q228" i="12" s="1"/>
  <c r="N228" i="12"/>
  <c r="P228" i="12" s="1"/>
  <c r="AI227" i="12"/>
  <c r="AH227" i="12"/>
  <c r="AG227" i="12"/>
  <c r="AF227" i="12"/>
  <c r="AE227" i="12"/>
  <c r="AD227" i="12"/>
  <c r="AC227" i="12"/>
  <c r="AB227" i="12"/>
  <c r="AI225" i="12"/>
  <c r="AH225" i="12"/>
  <c r="Z225" i="12"/>
  <c r="M225" i="12"/>
  <c r="L225" i="12"/>
  <c r="K225" i="12"/>
  <c r="J225" i="12"/>
  <c r="I225" i="12"/>
  <c r="H225" i="12"/>
  <c r="O224" i="12"/>
  <c r="Q224" i="12" s="1"/>
  <c r="N224" i="12"/>
  <c r="P224" i="12" s="1"/>
  <c r="AI223" i="12"/>
  <c r="AH223" i="12"/>
  <c r="AG223" i="12"/>
  <c r="AG225" i="12" s="1"/>
  <c r="AF223" i="12"/>
  <c r="AF225" i="12" s="1"/>
  <c r="AE223" i="12"/>
  <c r="AE225" i="12" s="1"/>
  <c r="AD223" i="12"/>
  <c r="AD225" i="12" s="1"/>
  <c r="AC223" i="12"/>
  <c r="AC225" i="12" s="1"/>
  <c r="AB223" i="12"/>
  <c r="AB225" i="12" s="1"/>
  <c r="O223" i="12"/>
  <c r="Q223" i="12" s="1"/>
  <c r="N223" i="12"/>
  <c r="P223" i="12" s="1"/>
  <c r="AI218" i="12"/>
  <c r="AH218" i="12"/>
  <c r="AG218" i="12"/>
  <c r="AG219" i="12" s="1"/>
  <c r="Q218" i="12"/>
  <c r="L218" i="12"/>
  <c r="L219" i="12" s="1"/>
  <c r="J218" i="12"/>
  <c r="H218" i="12"/>
  <c r="N218" i="12" s="1"/>
  <c r="P218" i="12" s="1"/>
  <c r="Q217" i="12"/>
  <c r="N217" i="12"/>
  <c r="P217" i="12" s="1"/>
  <c r="AI215" i="12"/>
  <c r="AH215" i="12"/>
  <c r="AG215" i="12"/>
  <c r="AF215" i="12"/>
  <c r="AF219" i="12" s="1"/>
  <c r="AE215" i="12"/>
  <c r="AE219" i="12" s="1"/>
  <c r="AD215" i="12"/>
  <c r="AD219" i="12" s="1"/>
  <c r="AC215" i="12"/>
  <c r="AC219" i="12" s="1"/>
  <c r="AB215" i="12"/>
  <c r="AB219" i="12" s="1"/>
  <c r="Z215" i="12"/>
  <c r="Z219" i="12" s="1"/>
  <c r="M215" i="12"/>
  <c r="M219" i="12" s="1"/>
  <c r="L215" i="12"/>
  <c r="K215" i="12"/>
  <c r="K219" i="12" s="1"/>
  <c r="J215" i="12"/>
  <c r="I215" i="12"/>
  <c r="H215" i="12"/>
  <c r="N215" i="12" s="1"/>
  <c r="P215" i="12" s="1"/>
  <c r="O214" i="12"/>
  <c r="Q214" i="12" s="1"/>
  <c r="N214" i="12"/>
  <c r="P214" i="12" s="1"/>
  <c r="O213" i="12"/>
  <c r="Q213" i="12" s="1"/>
  <c r="N213" i="12"/>
  <c r="P213" i="12" s="1"/>
  <c r="Q212" i="12"/>
  <c r="N212" i="12"/>
  <c r="P212" i="12" s="1"/>
  <c r="O211" i="12"/>
  <c r="Q211" i="12" s="1"/>
  <c r="N211" i="12"/>
  <c r="P211" i="12" s="1"/>
  <c r="O210" i="12"/>
  <c r="Q210" i="12" s="1"/>
  <c r="N210" i="12"/>
  <c r="P210" i="12" s="1"/>
  <c r="AI207" i="12"/>
  <c r="AH207" i="12"/>
  <c r="AG207" i="12"/>
  <c r="AF207" i="12"/>
  <c r="AE207" i="12"/>
  <c r="AD207" i="12"/>
  <c r="AC207" i="12"/>
  <c r="AB207" i="12"/>
  <c r="Z207" i="12"/>
  <c r="M207" i="12"/>
  <c r="L207" i="12"/>
  <c r="K207" i="12"/>
  <c r="J207" i="12"/>
  <c r="I207" i="12"/>
  <c r="O207" i="12" s="1"/>
  <c r="Q207" i="12" s="1"/>
  <c r="H207" i="12"/>
  <c r="N207" i="12" s="1"/>
  <c r="P207" i="12" s="1"/>
  <c r="O206" i="12"/>
  <c r="Q206" i="12" s="1"/>
  <c r="N206" i="12"/>
  <c r="P206" i="12" s="1"/>
  <c r="O205" i="12"/>
  <c r="Q205" i="12" s="1"/>
  <c r="N205" i="12"/>
  <c r="P205" i="12" s="1"/>
  <c r="Q204" i="12"/>
  <c r="N204" i="12"/>
  <c r="P204" i="12" s="1"/>
  <c r="O203" i="12"/>
  <c r="Q203" i="12" s="1"/>
  <c r="N203" i="12"/>
  <c r="P203" i="12" s="1"/>
  <c r="AI201" i="12"/>
  <c r="AH201" i="12"/>
  <c r="AG201" i="12"/>
  <c r="AF201" i="12"/>
  <c r="AE201" i="12"/>
  <c r="AD201" i="12"/>
  <c r="AC201" i="12"/>
  <c r="AB201" i="12"/>
  <c r="Z201" i="12"/>
  <c r="M201" i="12"/>
  <c r="L201" i="12"/>
  <c r="K201" i="12"/>
  <c r="J201" i="12"/>
  <c r="I201" i="12"/>
  <c r="O201" i="12" s="1"/>
  <c r="Q201" i="12" s="1"/>
  <c r="H201" i="12"/>
  <c r="N201" i="12" s="1"/>
  <c r="P201" i="12" s="1"/>
  <c r="O200" i="12"/>
  <c r="Q200" i="12" s="1"/>
  <c r="N200" i="12"/>
  <c r="P200" i="12" s="1"/>
  <c r="AC198" i="12"/>
  <c r="Z198" i="12"/>
  <c r="M198" i="12"/>
  <c r="L198" i="12"/>
  <c r="K198" i="12"/>
  <c r="J198" i="12"/>
  <c r="I198" i="12"/>
  <c r="H198" i="12"/>
  <c r="O197" i="12"/>
  <c r="Q197" i="12" s="1"/>
  <c r="N197" i="12"/>
  <c r="P197" i="12" s="1"/>
  <c r="AI196" i="12"/>
  <c r="AH196" i="12"/>
  <c r="AG196" i="12"/>
  <c r="AF196" i="12"/>
  <c r="AE196" i="12"/>
  <c r="AD196" i="12"/>
  <c r="AC196" i="12"/>
  <c r="AB196" i="12"/>
  <c r="O196" i="12"/>
  <c r="Q196" i="12" s="1"/>
  <c r="N196" i="12"/>
  <c r="P196" i="12" s="1"/>
  <c r="AI195" i="12"/>
  <c r="AH195" i="12"/>
  <c r="AG195" i="12"/>
  <c r="AF195" i="12"/>
  <c r="AE195" i="12"/>
  <c r="AD195" i="12"/>
  <c r="AD198" i="12" s="1"/>
  <c r="AC195" i="12"/>
  <c r="AB195" i="12"/>
  <c r="O195" i="12"/>
  <c r="Q195" i="12" s="1"/>
  <c r="N195" i="12"/>
  <c r="P195" i="12" s="1"/>
  <c r="O194" i="12"/>
  <c r="Q194" i="12" s="1"/>
  <c r="N194" i="12"/>
  <c r="P194" i="12" s="1"/>
  <c r="AI193" i="12"/>
  <c r="AH193" i="12"/>
  <c r="AG193" i="12"/>
  <c r="AF193" i="12"/>
  <c r="AE193" i="12"/>
  <c r="AD193" i="12"/>
  <c r="AC193" i="12"/>
  <c r="AB193" i="12"/>
  <c r="O193" i="12"/>
  <c r="Q193" i="12" s="1"/>
  <c r="N193" i="12"/>
  <c r="P193" i="12" s="1"/>
  <c r="AI191" i="12"/>
  <c r="AH191" i="12"/>
  <c r="AG191" i="12"/>
  <c r="AF191" i="12"/>
  <c r="AE191" i="12"/>
  <c r="AD191" i="12"/>
  <c r="AC191" i="12"/>
  <c r="AB191" i="12"/>
  <c r="Z191" i="12"/>
  <c r="M191" i="12"/>
  <c r="L191" i="12"/>
  <c r="K191" i="12"/>
  <c r="J191" i="12"/>
  <c r="I191" i="12"/>
  <c r="O191" i="12" s="1"/>
  <c r="Q191" i="12" s="1"/>
  <c r="H191" i="12"/>
  <c r="N191" i="12" s="1"/>
  <c r="P191" i="12" s="1"/>
  <c r="O190" i="12"/>
  <c r="Q190" i="12" s="1"/>
  <c r="N190" i="12"/>
  <c r="P190" i="12" s="1"/>
  <c r="Q189" i="12"/>
  <c r="P189" i="12"/>
  <c r="AG188" i="12"/>
  <c r="AE188" i="12"/>
  <c r="AD188" i="12"/>
  <c r="AC188" i="12"/>
  <c r="AB188" i="12"/>
  <c r="Z188" i="12"/>
  <c r="M188" i="12"/>
  <c r="L188" i="12"/>
  <c r="K188" i="12"/>
  <c r="J188" i="12"/>
  <c r="I188" i="12"/>
  <c r="H188" i="12"/>
  <c r="O187" i="12"/>
  <c r="Q187" i="12" s="1"/>
  <c r="N187" i="12"/>
  <c r="P187" i="12" s="1"/>
  <c r="O186" i="12"/>
  <c r="Q186" i="12" s="1"/>
  <c r="N186" i="12"/>
  <c r="P186" i="12" s="1"/>
  <c r="AQ185" i="12"/>
  <c r="AI185" i="12"/>
  <c r="AI188" i="12" s="1"/>
  <c r="AH185" i="12"/>
  <c r="AH188" i="12" s="1"/>
  <c r="AG185" i="12"/>
  <c r="AF185" i="12"/>
  <c r="AF188" i="12" s="1"/>
  <c r="AE185" i="12"/>
  <c r="AD185" i="12"/>
  <c r="AC185" i="12"/>
  <c r="AB185" i="12"/>
  <c r="Q185" i="12"/>
  <c r="O185" i="12"/>
  <c r="N185" i="12"/>
  <c r="P185" i="12" s="1"/>
  <c r="AQ184" i="12"/>
  <c r="Q184" i="12"/>
  <c r="P184" i="12"/>
  <c r="AO183" i="12"/>
  <c r="AR186" i="12" s="1"/>
  <c r="Z182" i="12"/>
  <c r="M182" i="12"/>
  <c r="L182" i="12"/>
  <c r="K182" i="12"/>
  <c r="J182" i="12"/>
  <c r="I182" i="12"/>
  <c r="H182" i="12"/>
  <c r="O181" i="12"/>
  <c r="Q181" i="12" s="1"/>
  <c r="N181" i="12"/>
  <c r="P181" i="12" s="1"/>
  <c r="AO180" i="12"/>
  <c r="AR180" i="12" s="1"/>
  <c r="O180" i="12"/>
  <c r="Q180" i="12" s="1"/>
  <c r="N180" i="12"/>
  <c r="P180" i="12" s="1"/>
  <c r="AQ179" i="12"/>
  <c r="O179" i="12"/>
  <c r="Q179" i="12" s="1"/>
  <c r="N179" i="12"/>
  <c r="P179" i="12" s="1"/>
  <c r="AQ178" i="12"/>
  <c r="O178" i="12"/>
  <c r="Q178" i="12" s="1"/>
  <c r="N178" i="12"/>
  <c r="P178" i="12" s="1"/>
  <c r="AQ177" i="12"/>
  <c r="O177" i="12"/>
  <c r="Q177" i="12" s="1"/>
  <c r="N177" i="12"/>
  <c r="P177" i="12" s="1"/>
  <c r="AQ176" i="12"/>
  <c r="AI176" i="12"/>
  <c r="AH176" i="12"/>
  <c r="AG176" i="12"/>
  <c r="O176" i="12"/>
  <c r="Q176" i="12" s="1"/>
  <c r="N176" i="12"/>
  <c r="P176" i="12" s="1"/>
  <c r="AQ175" i="12"/>
  <c r="O175" i="12"/>
  <c r="Q175" i="12" s="1"/>
  <c r="N175" i="12"/>
  <c r="P175" i="12" s="1"/>
  <c r="AQ174" i="12"/>
  <c r="O174" i="12"/>
  <c r="Q174" i="12" s="1"/>
  <c r="N174" i="12"/>
  <c r="P174" i="12" s="1"/>
  <c r="AQ173" i="12"/>
  <c r="AI173" i="12"/>
  <c r="AH173" i="12"/>
  <c r="AG173" i="12"/>
  <c r="AF173" i="12"/>
  <c r="AF182" i="12" s="1"/>
  <c r="AE173" i="12"/>
  <c r="AE182" i="12" s="1"/>
  <c r="AD173" i="12"/>
  <c r="AD182" i="12" s="1"/>
  <c r="AC173" i="12"/>
  <c r="AC182" i="12" s="1"/>
  <c r="AB173" i="12"/>
  <c r="AB182" i="12" s="1"/>
  <c r="O173" i="12"/>
  <c r="Q173" i="12" s="1"/>
  <c r="N173" i="12"/>
  <c r="P173" i="12" s="1"/>
  <c r="AQ172" i="12"/>
  <c r="AI172" i="12"/>
  <c r="AH172" i="12"/>
  <c r="AG172" i="12"/>
  <c r="AF172" i="12"/>
  <c r="O172" i="12"/>
  <c r="Q172" i="12" s="1"/>
  <c r="N172" i="12"/>
  <c r="P172" i="12" s="1"/>
  <c r="Q171" i="12"/>
  <c r="P171" i="12"/>
  <c r="O169" i="12"/>
  <c r="Q169" i="12" s="1"/>
  <c r="N169" i="12"/>
  <c r="P169" i="12" s="1"/>
  <c r="AI168" i="12"/>
  <c r="AH168" i="12"/>
  <c r="AG168" i="12"/>
  <c r="AF168" i="12"/>
  <c r="AE168" i="12"/>
  <c r="AD168" i="12"/>
  <c r="AC168" i="12"/>
  <c r="AB168" i="12"/>
  <c r="Z168" i="12"/>
  <c r="M168" i="12"/>
  <c r="L168" i="12"/>
  <c r="K168" i="12"/>
  <c r="J168" i="12"/>
  <c r="I168" i="12"/>
  <c r="O168" i="12" s="1"/>
  <c r="Q168" i="12" s="1"/>
  <c r="H168" i="12"/>
  <c r="N168" i="12" s="1"/>
  <c r="P168" i="12" s="1"/>
  <c r="O167" i="12"/>
  <c r="Q167" i="12" s="1"/>
  <c r="N167" i="12"/>
  <c r="P167" i="12" s="1"/>
  <c r="O166" i="12"/>
  <c r="Q166" i="12" s="1"/>
  <c r="N166" i="12"/>
  <c r="P166" i="12" s="1"/>
  <c r="Q165" i="12"/>
  <c r="P165" i="12"/>
  <c r="AI164" i="12"/>
  <c r="AH164" i="12"/>
  <c r="AG164" i="12"/>
  <c r="AF164" i="12"/>
  <c r="AE164" i="12"/>
  <c r="AD164" i="12"/>
  <c r="AC164" i="12"/>
  <c r="AB164" i="12"/>
  <c r="Z164" i="12"/>
  <c r="M164" i="12"/>
  <c r="L164" i="12"/>
  <c r="K164" i="12"/>
  <c r="J164" i="12"/>
  <c r="I164" i="12"/>
  <c r="O164" i="12" s="1"/>
  <c r="Q164" i="12" s="1"/>
  <c r="H164" i="12"/>
  <c r="O163" i="12"/>
  <c r="Q163" i="12" s="1"/>
  <c r="N163" i="12"/>
  <c r="P163" i="12" s="1"/>
  <c r="O162" i="12"/>
  <c r="Q162" i="12" s="1"/>
  <c r="N162" i="12"/>
  <c r="P162" i="12" s="1"/>
  <c r="O161" i="12"/>
  <c r="Q161" i="12" s="1"/>
  <c r="N161" i="12"/>
  <c r="P161" i="12" s="1"/>
  <c r="Q160" i="12"/>
  <c r="P160" i="12"/>
  <c r="AI159" i="12"/>
  <c r="AH159" i="12"/>
  <c r="AG159" i="12"/>
  <c r="AF159" i="12"/>
  <c r="AE159" i="12"/>
  <c r="AD159" i="12"/>
  <c r="AC159" i="12"/>
  <c r="AB159" i="12"/>
  <c r="Z159" i="12"/>
  <c r="M159" i="12"/>
  <c r="L159" i="12"/>
  <c r="K159" i="12"/>
  <c r="J159" i="12"/>
  <c r="I159" i="12"/>
  <c r="H159" i="12"/>
  <c r="O158" i="12"/>
  <c r="Q158" i="12" s="1"/>
  <c r="N158" i="12"/>
  <c r="P158" i="12" s="1"/>
  <c r="Q157" i="12"/>
  <c r="P157" i="12"/>
  <c r="AI156" i="12"/>
  <c r="AH156" i="12"/>
  <c r="AG156" i="12"/>
  <c r="AF156" i="12"/>
  <c r="AE156" i="12"/>
  <c r="AD156" i="12"/>
  <c r="AC156" i="12"/>
  <c r="AB156" i="12"/>
  <c r="Z156" i="12"/>
  <c r="M156" i="12"/>
  <c r="L156" i="12"/>
  <c r="K156" i="12"/>
  <c r="J156" i="12"/>
  <c r="I156" i="12"/>
  <c r="H156" i="12"/>
  <c r="N156" i="12" s="1"/>
  <c r="P156" i="12" s="1"/>
  <c r="O155" i="12"/>
  <c r="Q155" i="12" s="1"/>
  <c r="N155" i="12"/>
  <c r="P155" i="12" s="1"/>
  <c r="O154" i="12"/>
  <c r="Q154" i="12" s="1"/>
  <c r="N154" i="12"/>
  <c r="P154" i="12" s="1"/>
  <c r="O153" i="12"/>
  <c r="Q153" i="12" s="1"/>
  <c r="N153" i="12"/>
  <c r="P153" i="12" s="1"/>
  <c r="Q152" i="12"/>
  <c r="P152" i="12"/>
  <c r="AI151" i="12"/>
  <c r="AH151" i="12"/>
  <c r="AG151" i="12"/>
  <c r="AF151" i="12"/>
  <c r="AE151" i="12"/>
  <c r="AD151" i="12"/>
  <c r="AC151" i="12"/>
  <c r="AB151" i="12"/>
  <c r="Z151" i="12"/>
  <c r="M151" i="12"/>
  <c r="L151" i="12"/>
  <c r="K151" i="12"/>
  <c r="J151" i="12"/>
  <c r="I151" i="12"/>
  <c r="O151" i="12" s="1"/>
  <c r="Q151" i="12" s="1"/>
  <c r="H151" i="12"/>
  <c r="O150" i="12"/>
  <c r="Q150" i="12" s="1"/>
  <c r="N150" i="12"/>
  <c r="P150" i="12" s="1"/>
  <c r="O149" i="12"/>
  <c r="Q149" i="12" s="1"/>
  <c r="N149" i="12"/>
  <c r="P149" i="12" s="1"/>
  <c r="O148" i="12"/>
  <c r="Q148" i="12" s="1"/>
  <c r="N148" i="12"/>
  <c r="P148" i="12" s="1"/>
  <c r="O147" i="12"/>
  <c r="Q147" i="12" s="1"/>
  <c r="N147" i="12"/>
  <c r="P147" i="12" s="1"/>
  <c r="O146" i="12"/>
  <c r="Q146" i="12" s="1"/>
  <c r="N146" i="12"/>
  <c r="P146" i="12" s="1"/>
  <c r="Q145" i="12"/>
  <c r="P145" i="12"/>
  <c r="AE144" i="12"/>
  <c r="AD144" i="12"/>
  <c r="AC144" i="12"/>
  <c r="AB144" i="12"/>
  <c r="Z144" i="12"/>
  <c r="M144" i="12"/>
  <c r="L144" i="12"/>
  <c r="K144" i="12"/>
  <c r="J144" i="12"/>
  <c r="I144" i="12"/>
  <c r="H144" i="12"/>
  <c r="N144" i="12" s="1"/>
  <c r="P144" i="12" s="1"/>
  <c r="AI143" i="12"/>
  <c r="AI144" i="12" s="1"/>
  <c r="AH143" i="12"/>
  <c r="AH144" i="12" s="1"/>
  <c r="AG143" i="12"/>
  <c r="AG144" i="12" s="1"/>
  <c r="AF143" i="12"/>
  <c r="AF144" i="12" s="1"/>
  <c r="P143" i="12"/>
  <c r="O143" i="12"/>
  <c r="Q143" i="12" s="1"/>
  <c r="N143" i="12"/>
  <c r="Q142" i="12"/>
  <c r="P142" i="12"/>
  <c r="AI141" i="12"/>
  <c r="AH141" i="12"/>
  <c r="AG141" i="12"/>
  <c r="AF141" i="12"/>
  <c r="AE141" i="12"/>
  <c r="AD141" i="12"/>
  <c r="AC141" i="12"/>
  <c r="AB141" i="12"/>
  <c r="Z141" i="12"/>
  <c r="M141" i="12"/>
  <c r="L141" i="12"/>
  <c r="K141" i="12"/>
  <c r="J141" i="12"/>
  <c r="I141" i="12"/>
  <c r="H141" i="12"/>
  <c r="O140" i="12"/>
  <c r="Q140" i="12" s="1"/>
  <c r="N140" i="12"/>
  <c r="P140" i="12" s="1"/>
  <c r="O139" i="12"/>
  <c r="Q139" i="12" s="1"/>
  <c r="N139" i="12"/>
  <c r="P139" i="12" s="1"/>
  <c r="O138" i="12"/>
  <c r="Q138" i="12" s="1"/>
  <c r="N138" i="12"/>
  <c r="P138" i="12" s="1"/>
  <c r="O137" i="12"/>
  <c r="Q137" i="12" s="1"/>
  <c r="N137" i="12"/>
  <c r="P137" i="12" s="1"/>
  <c r="Q136" i="12"/>
  <c r="P136" i="12"/>
  <c r="AI135" i="12"/>
  <c r="AH135" i="12"/>
  <c r="AG135" i="12"/>
  <c r="AF135" i="12"/>
  <c r="AE135" i="12"/>
  <c r="AD135" i="12"/>
  <c r="AC135" i="12"/>
  <c r="AB135" i="12"/>
  <c r="Z135" i="12"/>
  <c r="M135" i="12"/>
  <c r="L135" i="12"/>
  <c r="K135" i="12"/>
  <c r="J135" i="12"/>
  <c r="I135" i="12"/>
  <c r="H135" i="12"/>
  <c r="O134" i="12"/>
  <c r="Q134" i="12" s="1"/>
  <c r="N134" i="12"/>
  <c r="P134" i="12" s="1"/>
  <c r="O133" i="12"/>
  <c r="Q133" i="12" s="1"/>
  <c r="N133" i="12"/>
  <c r="P133" i="12" s="1"/>
  <c r="O132" i="12"/>
  <c r="Q132" i="12" s="1"/>
  <c r="N132" i="12"/>
  <c r="P132" i="12" s="1"/>
  <c r="Q131" i="12"/>
  <c r="P131" i="12"/>
  <c r="AI130" i="12"/>
  <c r="AH130" i="12"/>
  <c r="AG130" i="12"/>
  <c r="AF130" i="12"/>
  <c r="AE130" i="12"/>
  <c r="AD130" i="12"/>
  <c r="AC130" i="12"/>
  <c r="AB130" i="12"/>
  <c r="Z130" i="12"/>
  <c r="M130" i="12"/>
  <c r="L130" i="12"/>
  <c r="K130" i="12"/>
  <c r="J130" i="12"/>
  <c r="I130" i="12"/>
  <c r="H130" i="12"/>
  <c r="O129" i="12"/>
  <c r="Q129" i="12" s="1"/>
  <c r="N129" i="12"/>
  <c r="P129" i="12" s="1"/>
  <c r="O128" i="12"/>
  <c r="Q128" i="12" s="1"/>
  <c r="N128" i="12"/>
  <c r="P128" i="12" s="1"/>
  <c r="O127" i="12"/>
  <c r="Q127" i="12" s="1"/>
  <c r="N127" i="12"/>
  <c r="P127" i="12" s="1"/>
  <c r="O126" i="12"/>
  <c r="Q126" i="12" s="1"/>
  <c r="N126" i="12"/>
  <c r="P126" i="12" s="1"/>
  <c r="Q125" i="12"/>
  <c r="P125" i="12"/>
  <c r="AI124" i="12"/>
  <c r="AH124" i="12"/>
  <c r="AG124" i="12"/>
  <c r="AF124" i="12"/>
  <c r="AE124" i="12"/>
  <c r="AD124" i="12"/>
  <c r="AC124" i="12"/>
  <c r="AB124" i="12"/>
  <c r="Z124" i="12"/>
  <c r="M124" i="12"/>
  <c r="L124" i="12"/>
  <c r="K124" i="12"/>
  <c r="J124" i="12"/>
  <c r="I124" i="12"/>
  <c r="H124" i="12"/>
  <c r="N124" i="12" s="1"/>
  <c r="P124" i="12" s="1"/>
  <c r="O123" i="12"/>
  <c r="Q123" i="12" s="1"/>
  <c r="N123" i="12"/>
  <c r="P123" i="12" s="1"/>
  <c r="O122" i="12"/>
  <c r="Q122" i="12" s="1"/>
  <c r="N122" i="12"/>
  <c r="P122" i="12" s="1"/>
  <c r="O121" i="12"/>
  <c r="Q121" i="12" s="1"/>
  <c r="N121" i="12"/>
  <c r="P121" i="12" s="1"/>
  <c r="O120" i="12"/>
  <c r="Q120" i="12" s="1"/>
  <c r="N120" i="12"/>
  <c r="P120" i="12" s="1"/>
  <c r="O119" i="12"/>
  <c r="Q119" i="12" s="1"/>
  <c r="N119" i="12"/>
  <c r="P119" i="12" s="1"/>
  <c r="Q118" i="12"/>
  <c r="P118" i="12"/>
  <c r="Q117" i="12"/>
  <c r="P117" i="12"/>
  <c r="M115" i="12"/>
  <c r="L115" i="12"/>
  <c r="K115" i="12"/>
  <c r="J115" i="12"/>
  <c r="I115" i="12"/>
  <c r="H115" i="12"/>
  <c r="O114" i="12"/>
  <c r="Q114" i="12" s="1"/>
  <c r="N114" i="12"/>
  <c r="P114" i="12" s="1"/>
  <c r="O113" i="12"/>
  <c r="Q113" i="12" s="1"/>
  <c r="N113" i="12"/>
  <c r="P113" i="12" s="1"/>
  <c r="Q112" i="12"/>
  <c r="P112" i="12"/>
  <c r="AI111" i="12"/>
  <c r="AH111" i="12"/>
  <c r="AG111" i="12"/>
  <c r="AF111" i="12"/>
  <c r="AE111" i="12"/>
  <c r="AD111" i="12"/>
  <c r="AC111" i="12"/>
  <c r="AB111" i="12"/>
  <c r="Z111" i="12"/>
  <c r="M111" i="12"/>
  <c r="L111" i="12"/>
  <c r="K111" i="12"/>
  <c r="J111" i="12"/>
  <c r="I111" i="12"/>
  <c r="H111" i="12"/>
  <c r="O110" i="12"/>
  <c r="Q110" i="12" s="1"/>
  <c r="N110" i="12"/>
  <c r="P110" i="12" s="1"/>
  <c r="O109" i="12"/>
  <c r="Q109" i="12" s="1"/>
  <c r="N109" i="12"/>
  <c r="P109" i="12" s="1"/>
  <c r="O108" i="12"/>
  <c r="Q108" i="12" s="1"/>
  <c r="N108" i="12"/>
  <c r="P108" i="12" s="1"/>
  <c r="O107" i="12"/>
  <c r="Q107" i="12" s="1"/>
  <c r="N107" i="12"/>
  <c r="P107" i="12" s="1"/>
  <c r="O106" i="12"/>
  <c r="Q106" i="12" s="1"/>
  <c r="N106" i="12"/>
  <c r="P106" i="12" s="1"/>
  <c r="O105" i="12"/>
  <c r="Q105" i="12" s="1"/>
  <c r="N105" i="12"/>
  <c r="P105" i="12" s="1"/>
  <c r="O104" i="12"/>
  <c r="Q104" i="12" s="1"/>
  <c r="N104" i="12"/>
  <c r="P104" i="12" s="1"/>
  <c r="Q103" i="12"/>
  <c r="P103" i="12"/>
  <c r="AI102" i="12"/>
  <c r="AH102" i="12"/>
  <c r="AG102" i="12"/>
  <c r="AF102" i="12"/>
  <c r="AE102" i="12"/>
  <c r="AD102" i="12"/>
  <c r="AC102" i="12"/>
  <c r="AB102" i="12"/>
  <c r="Z102" i="12"/>
  <c r="M102" i="12"/>
  <c r="L102" i="12"/>
  <c r="K102" i="12"/>
  <c r="J102" i="12"/>
  <c r="I102" i="12"/>
  <c r="O102" i="12" s="1"/>
  <c r="Q102" i="12" s="1"/>
  <c r="H102" i="12"/>
  <c r="N102" i="12" s="1"/>
  <c r="P102" i="12" s="1"/>
  <c r="P100" i="12"/>
  <c r="O100" i="12"/>
  <c r="Q100" i="12" s="1"/>
  <c r="N100" i="12"/>
  <c r="O99" i="12"/>
  <c r="Q99" i="12" s="1"/>
  <c r="N99" i="12"/>
  <c r="P99" i="12" s="1"/>
  <c r="O98" i="12"/>
  <c r="Q98" i="12" s="1"/>
  <c r="N98" i="12"/>
  <c r="P98" i="12" s="1"/>
  <c r="O97" i="12"/>
  <c r="Q97" i="12" s="1"/>
  <c r="N97" i="12"/>
  <c r="P97" i="12" s="1"/>
  <c r="O96" i="12"/>
  <c r="Q96" i="12" s="1"/>
  <c r="N96" i="12"/>
  <c r="P96" i="12" s="1"/>
  <c r="O95" i="12"/>
  <c r="Q95" i="12" s="1"/>
  <c r="N95" i="12"/>
  <c r="P95" i="12" s="1"/>
  <c r="O94" i="12"/>
  <c r="Q94" i="12" s="1"/>
  <c r="N94" i="12"/>
  <c r="P94" i="12" s="1"/>
  <c r="O93" i="12"/>
  <c r="Q93" i="12" s="1"/>
  <c r="N93" i="12"/>
  <c r="P93" i="12" s="1"/>
  <c r="O92" i="12"/>
  <c r="Q92" i="12" s="1"/>
  <c r="N92" i="12"/>
  <c r="P92" i="12" s="1"/>
  <c r="AI90" i="12"/>
  <c r="AH90" i="12"/>
  <c r="AG90" i="12"/>
  <c r="AF90" i="12"/>
  <c r="AE90" i="12"/>
  <c r="AD90" i="12"/>
  <c r="AC90" i="12"/>
  <c r="AB90" i="12"/>
  <c r="Z90" i="12"/>
  <c r="M90" i="12"/>
  <c r="L90" i="12"/>
  <c r="K90" i="12"/>
  <c r="J90" i="12"/>
  <c r="I90" i="12"/>
  <c r="H90" i="12"/>
  <c r="O89" i="12"/>
  <c r="Q89" i="12" s="1"/>
  <c r="N89" i="12"/>
  <c r="P89" i="12" s="1"/>
  <c r="O88" i="12"/>
  <c r="Q88" i="12" s="1"/>
  <c r="N88" i="12"/>
  <c r="P88" i="12" s="1"/>
  <c r="O87" i="12"/>
  <c r="Q87" i="12" s="1"/>
  <c r="N87" i="12"/>
  <c r="P87" i="12" s="1"/>
  <c r="O86" i="12"/>
  <c r="Q86" i="12" s="1"/>
  <c r="N86" i="12"/>
  <c r="P86" i="12" s="1"/>
  <c r="AI84" i="12"/>
  <c r="AH84" i="12"/>
  <c r="AG84" i="12"/>
  <c r="AF84" i="12"/>
  <c r="AE84" i="12"/>
  <c r="AD84" i="12"/>
  <c r="AC84" i="12"/>
  <c r="AB84" i="12"/>
  <c r="Z84" i="12"/>
  <c r="M84" i="12"/>
  <c r="L84" i="12"/>
  <c r="K84" i="12"/>
  <c r="J84" i="12"/>
  <c r="I84" i="12"/>
  <c r="H84" i="12"/>
  <c r="O83" i="12"/>
  <c r="Q83" i="12" s="1"/>
  <c r="N83" i="12"/>
  <c r="P83" i="12" s="1"/>
  <c r="O82" i="12"/>
  <c r="Q82" i="12" s="1"/>
  <c r="N82" i="12"/>
  <c r="P82" i="12" s="1"/>
  <c r="Q81" i="12"/>
  <c r="P81" i="12"/>
  <c r="O80" i="12"/>
  <c r="Q80" i="12" s="1"/>
  <c r="N80" i="12"/>
  <c r="P80" i="12" s="1"/>
  <c r="O79" i="12"/>
  <c r="Q79" i="12" s="1"/>
  <c r="N79" i="12"/>
  <c r="P79" i="12" s="1"/>
  <c r="O78" i="12"/>
  <c r="Q78" i="12" s="1"/>
  <c r="N78" i="12"/>
  <c r="P78" i="12" s="1"/>
  <c r="O77" i="12"/>
  <c r="Q77" i="12" s="1"/>
  <c r="N77" i="12"/>
  <c r="P77" i="12" s="1"/>
  <c r="O76" i="12"/>
  <c r="Q76" i="12" s="1"/>
  <c r="N76" i="12"/>
  <c r="P76" i="12" s="1"/>
  <c r="O75" i="12"/>
  <c r="Q75" i="12" s="1"/>
  <c r="N75" i="12"/>
  <c r="P75" i="12" s="1"/>
  <c r="O74" i="12"/>
  <c r="Q74" i="12" s="1"/>
  <c r="N74" i="12"/>
  <c r="P74" i="12" s="1"/>
  <c r="O73" i="12"/>
  <c r="Q73" i="12" s="1"/>
  <c r="N73" i="12"/>
  <c r="P73" i="12" s="1"/>
  <c r="AI71" i="12"/>
  <c r="AH71" i="12"/>
  <c r="AG71" i="12"/>
  <c r="AF71" i="12"/>
  <c r="AE71" i="12"/>
  <c r="AD71" i="12"/>
  <c r="AC71" i="12"/>
  <c r="AB71" i="12"/>
  <c r="Z71" i="12"/>
  <c r="M71" i="12"/>
  <c r="L71" i="12"/>
  <c r="K71" i="12"/>
  <c r="J71" i="12"/>
  <c r="I71" i="12"/>
  <c r="O71" i="12" s="1"/>
  <c r="Q71" i="12" s="1"/>
  <c r="H71" i="12"/>
  <c r="O70" i="12"/>
  <c r="Q70" i="12" s="1"/>
  <c r="N70" i="12"/>
  <c r="P70" i="12" s="1"/>
  <c r="O69" i="12"/>
  <c r="Q69" i="12" s="1"/>
  <c r="N69" i="12"/>
  <c r="P69" i="12" s="1"/>
  <c r="O68" i="12"/>
  <c r="Q68" i="12" s="1"/>
  <c r="N68" i="12"/>
  <c r="P68" i="12" s="1"/>
  <c r="O67" i="12"/>
  <c r="Q67" i="12" s="1"/>
  <c r="N67" i="12"/>
  <c r="P67" i="12" s="1"/>
  <c r="O66" i="12"/>
  <c r="Q66" i="12" s="1"/>
  <c r="N66" i="12"/>
  <c r="P66" i="12" s="1"/>
  <c r="O65" i="12"/>
  <c r="Q65" i="12" s="1"/>
  <c r="N65" i="12"/>
  <c r="P65" i="12" s="1"/>
  <c r="O63" i="12"/>
  <c r="Q63" i="12" s="1"/>
  <c r="N63" i="12"/>
  <c r="P63" i="12" s="1"/>
  <c r="AI62" i="12"/>
  <c r="AH62" i="12"/>
  <c r="AG62" i="12"/>
  <c r="AF62" i="12"/>
  <c r="AE62" i="12"/>
  <c r="AD62" i="12"/>
  <c r="AC62" i="12"/>
  <c r="AB62" i="12"/>
  <c r="Z62" i="12"/>
  <c r="M62" i="12"/>
  <c r="L62" i="12"/>
  <c r="K62" i="12"/>
  <c r="J62" i="12"/>
  <c r="I62" i="12"/>
  <c r="H62" i="12"/>
  <c r="O61" i="12"/>
  <c r="Q61" i="12" s="1"/>
  <c r="N61" i="12"/>
  <c r="P61" i="12" s="1"/>
  <c r="O60" i="12"/>
  <c r="Q60" i="12" s="1"/>
  <c r="N60" i="12"/>
  <c r="P60" i="12" s="1"/>
  <c r="O59" i="12"/>
  <c r="Q59" i="12" s="1"/>
  <c r="N59" i="12"/>
  <c r="P59" i="12" s="1"/>
  <c r="O58" i="12"/>
  <c r="Q58" i="12" s="1"/>
  <c r="N58" i="12"/>
  <c r="P58" i="12" s="1"/>
  <c r="O57" i="12"/>
  <c r="Q57" i="12" s="1"/>
  <c r="N57" i="12"/>
  <c r="P57" i="12" s="1"/>
  <c r="O56" i="12"/>
  <c r="Q56" i="12" s="1"/>
  <c r="N56" i="12"/>
  <c r="P56" i="12" s="1"/>
  <c r="O55" i="12"/>
  <c r="Q55" i="12" s="1"/>
  <c r="N55" i="12"/>
  <c r="P55" i="12" s="1"/>
  <c r="O54" i="12"/>
  <c r="Q54" i="12" s="1"/>
  <c r="N54" i="12"/>
  <c r="P54" i="12" s="1"/>
  <c r="O53" i="12"/>
  <c r="Q53" i="12" s="1"/>
  <c r="N53" i="12"/>
  <c r="P53" i="12" s="1"/>
  <c r="O52" i="12"/>
  <c r="Q52" i="12" s="1"/>
  <c r="N52" i="12"/>
  <c r="P52" i="12" s="1"/>
  <c r="O51" i="12"/>
  <c r="Q51" i="12" s="1"/>
  <c r="N51" i="12"/>
  <c r="P51" i="12" s="1"/>
  <c r="O50" i="12"/>
  <c r="Q50" i="12" s="1"/>
  <c r="N50" i="12"/>
  <c r="P50" i="12" s="1"/>
  <c r="O49" i="12"/>
  <c r="Q49" i="12" s="1"/>
  <c r="N49" i="12"/>
  <c r="P49" i="12" s="1"/>
  <c r="O48" i="12"/>
  <c r="Q48" i="12" s="1"/>
  <c r="N48" i="12"/>
  <c r="P48" i="12" s="1"/>
  <c r="O47" i="12"/>
  <c r="Q47" i="12" s="1"/>
  <c r="N47" i="12"/>
  <c r="P47" i="12" s="1"/>
  <c r="AI45" i="12"/>
  <c r="AH45" i="12"/>
  <c r="AG45" i="12"/>
  <c r="AF45" i="12"/>
  <c r="AE45" i="12"/>
  <c r="AD45" i="12"/>
  <c r="AC45" i="12"/>
  <c r="AB45" i="12"/>
  <c r="Z45" i="12"/>
  <c r="M45" i="12"/>
  <c r="L45" i="12"/>
  <c r="K45" i="12"/>
  <c r="J45" i="12"/>
  <c r="I45" i="12"/>
  <c r="H45" i="12"/>
  <c r="N45" i="12" s="1"/>
  <c r="P45" i="12" s="1"/>
  <c r="O44" i="12"/>
  <c r="Q44" i="12" s="1"/>
  <c r="N44" i="12"/>
  <c r="P44" i="12" s="1"/>
  <c r="O43" i="12"/>
  <c r="Q43" i="12" s="1"/>
  <c r="N43" i="12"/>
  <c r="P43" i="12" s="1"/>
  <c r="O42" i="12"/>
  <c r="Q42" i="12" s="1"/>
  <c r="N42" i="12"/>
  <c r="P42" i="12" s="1"/>
  <c r="O41" i="12"/>
  <c r="Q41" i="12" s="1"/>
  <c r="N41" i="12"/>
  <c r="P41" i="12" s="1"/>
  <c r="AI39" i="12"/>
  <c r="AH39" i="12"/>
  <c r="AG39" i="12"/>
  <c r="AF39" i="12"/>
  <c r="AE39" i="12"/>
  <c r="AD39" i="12"/>
  <c r="AC39" i="12"/>
  <c r="AB39" i="12"/>
  <c r="Z39" i="12"/>
  <c r="M39" i="12"/>
  <c r="O39" i="12" s="1"/>
  <c r="Q39" i="12" s="1"/>
  <c r="L39" i="12"/>
  <c r="N39" i="12" s="1"/>
  <c r="P39" i="12" s="1"/>
  <c r="K39" i="12"/>
  <c r="J39" i="12"/>
  <c r="I39" i="12"/>
  <c r="H39" i="12"/>
  <c r="O38" i="12"/>
  <c r="Q38" i="12" s="1"/>
  <c r="N38" i="12"/>
  <c r="P38" i="12" s="1"/>
  <c r="O37" i="12"/>
  <c r="Q37" i="12" s="1"/>
  <c r="N37" i="12"/>
  <c r="P37" i="12" s="1"/>
  <c r="Q36" i="12"/>
  <c r="N36" i="12"/>
  <c r="P36" i="12" s="1"/>
  <c r="O35" i="12"/>
  <c r="Q35" i="12" s="1"/>
  <c r="N35" i="12"/>
  <c r="P35" i="12" s="1"/>
  <c r="O34" i="12"/>
  <c r="Q34" i="12" s="1"/>
  <c r="N34" i="12"/>
  <c r="P34" i="12" s="1"/>
  <c r="O33" i="12"/>
  <c r="Q33" i="12" s="1"/>
  <c r="N33" i="12"/>
  <c r="P33" i="12" s="1"/>
  <c r="O32" i="12"/>
  <c r="Q32" i="12" s="1"/>
  <c r="N32" i="12"/>
  <c r="P32" i="12" s="1"/>
  <c r="O31" i="12"/>
  <c r="Q31" i="12" s="1"/>
  <c r="N31" i="12"/>
  <c r="P31" i="12" s="1"/>
  <c r="O30" i="12"/>
  <c r="Q30" i="12" s="1"/>
  <c r="N30" i="12"/>
  <c r="P30" i="12" s="1"/>
  <c r="Q29" i="12"/>
  <c r="O29" i="12"/>
  <c r="N29" i="12"/>
  <c r="P29" i="12" s="1"/>
  <c r="O28" i="12"/>
  <c r="Q28" i="12" s="1"/>
  <c r="N28" i="12"/>
  <c r="P28" i="12" s="1"/>
  <c r="O27" i="12"/>
  <c r="Q27" i="12" s="1"/>
  <c r="N27" i="12"/>
  <c r="P27" i="12" s="1"/>
  <c r="O26" i="12"/>
  <c r="Q26" i="12" s="1"/>
  <c r="N26" i="12"/>
  <c r="P26" i="12" s="1"/>
  <c r="O25" i="12"/>
  <c r="Q25" i="12" s="1"/>
  <c r="N25" i="12"/>
  <c r="P25" i="12" s="1"/>
  <c r="O24" i="12"/>
  <c r="Q24" i="12" s="1"/>
  <c r="N24" i="12"/>
  <c r="P24" i="12" s="1"/>
  <c r="O23" i="12"/>
  <c r="Q23" i="12" s="1"/>
  <c r="N23" i="12"/>
  <c r="P23" i="12" s="1"/>
  <c r="O22" i="12"/>
  <c r="Q22" i="12" s="1"/>
  <c r="N22" i="12"/>
  <c r="P22" i="12" s="1"/>
  <c r="O21" i="12"/>
  <c r="Q21" i="12" s="1"/>
  <c r="N21" i="12"/>
  <c r="P21" i="12" s="1"/>
  <c r="O20" i="12"/>
  <c r="Q20" i="12" s="1"/>
  <c r="N20" i="12"/>
  <c r="P20" i="12" s="1"/>
  <c r="O19" i="12"/>
  <c r="Q19" i="12" s="1"/>
  <c r="N19" i="12"/>
  <c r="P19" i="12" s="1"/>
  <c r="O18" i="12"/>
  <c r="Q18" i="12" s="1"/>
  <c r="N18" i="12"/>
  <c r="P18" i="12" s="1"/>
  <c r="O17" i="12"/>
  <c r="Q17" i="12" s="1"/>
  <c r="N17" i="12"/>
  <c r="P17" i="12" s="1"/>
  <c r="AI15" i="12"/>
  <c r="AH15" i="12"/>
  <c r="AG15" i="12"/>
  <c r="AF15" i="12"/>
  <c r="AE15" i="12"/>
  <c r="AD15" i="12"/>
  <c r="AC15" i="12"/>
  <c r="AB15" i="12"/>
  <c r="Z15" i="12"/>
  <c r="M15" i="12"/>
  <c r="L15" i="12"/>
  <c r="K15" i="12"/>
  <c r="J15" i="12"/>
  <c r="I15" i="12"/>
  <c r="H15" i="12"/>
  <c r="O14" i="12"/>
  <c r="Q14" i="12" s="1"/>
  <c r="N14" i="12"/>
  <c r="P14" i="12" s="1"/>
  <c r="O13" i="12"/>
  <c r="Q13" i="12" s="1"/>
  <c r="N13" i="12"/>
  <c r="P13" i="12" s="1"/>
  <c r="O12" i="12"/>
  <c r="Q12" i="12" s="1"/>
  <c r="N12" i="12"/>
  <c r="P12" i="12" s="1"/>
  <c r="O11" i="12"/>
  <c r="Q11" i="12" s="1"/>
  <c r="N11" i="12"/>
  <c r="P11" i="12" s="1"/>
  <c r="O10" i="12"/>
  <c r="Q10" i="12" s="1"/>
  <c r="N10" i="12"/>
  <c r="P10" i="12" s="1"/>
  <c r="O582" i="15" l="1"/>
  <c r="I1" i="15"/>
  <c r="P582" i="15"/>
  <c r="P1" i="15" s="1"/>
  <c r="N1" i="15"/>
  <c r="H555" i="13"/>
  <c r="N220" i="13"/>
  <c r="P220" i="13" s="1"/>
  <c r="I555" i="13"/>
  <c r="O220" i="13"/>
  <c r="Q220" i="13" s="1"/>
  <c r="O188" i="12"/>
  <c r="Q188" i="12" s="1"/>
  <c r="N164" i="12"/>
  <c r="P164" i="12" s="1"/>
  <c r="O130" i="12"/>
  <c r="Q130" i="12" s="1"/>
  <c r="N234" i="12"/>
  <c r="P234" i="12" s="1"/>
  <c r="AH363" i="12"/>
  <c r="N111" i="12"/>
  <c r="P111" i="12" s="1"/>
  <c r="N319" i="12"/>
  <c r="P319" i="12" s="1"/>
  <c r="K489" i="12"/>
  <c r="AD428" i="12"/>
  <c r="L489" i="12"/>
  <c r="AH488" i="12"/>
  <c r="AE198" i="12"/>
  <c r="AJ488" i="12"/>
  <c r="AB198" i="12"/>
  <c r="O234" i="12"/>
  <c r="Q234" i="12" s="1"/>
  <c r="AG469" i="12"/>
  <c r="AF198" i="12"/>
  <c r="L550" i="12"/>
  <c r="M550" i="12"/>
  <c r="AH198" i="12"/>
  <c r="AE428" i="12"/>
  <c r="N307" i="12"/>
  <c r="P307" i="12" s="1"/>
  <c r="N263" i="12"/>
  <c r="P263" i="12" s="1"/>
  <c r="I571" i="12"/>
  <c r="AG198" i="12"/>
  <c r="M363" i="12"/>
  <c r="O45" i="12"/>
  <c r="Q45" i="12" s="1"/>
  <c r="AB376" i="12"/>
  <c r="N565" i="12"/>
  <c r="P565" i="12" s="1"/>
  <c r="O361" i="12"/>
  <c r="Q361" i="12" s="1"/>
  <c r="AI219" i="12"/>
  <c r="O263" i="12"/>
  <c r="Q263" i="12" s="1"/>
  <c r="Z550" i="12"/>
  <c r="AD116" i="12"/>
  <c r="AF170" i="12"/>
  <c r="AI198" i="12"/>
  <c r="H581" i="12"/>
  <c r="N581" i="12" s="1"/>
  <c r="P581" i="12" s="1"/>
  <c r="AJ198" i="12"/>
  <c r="Z363" i="12"/>
  <c r="N361" i="12"/>
  <c r="P361" i="12" s="1"/>
  <c r="O182" i="12"/>
  <c r="Q182" i="12" s="1"/>
  <c r="N62" i="12"/>
  <c r="P62" i="12" s="1"/>
  <c r="AH116" i="12"/>
  <c r="O257" i="12"/>
  <c r="Q257" i="12" s="1"/>
  <c r="O549" i="12"/>
  <c r="Q549" i="12" s="1"/>
  <c r="AJ183" i="12"/>
  <c r="AJ364" i="12"/>
  <c r="AC116" i="12"/>
  <c r="AG170" i="12"/>
  <c r="AH170" i="12"/>
  <c r="H363" i="12"/>
  <c r="N363" i="12" s="1"/>
  <c r="P363" i="12" s="1"/>
  <c r="AI488" i="12"/>
  <c r="I363" i="12"/>
  <c r="J363" i="12"/>
  <c r="K363" i="12"/>
  <c r="J489" i="12"/>
  <c r="L363" i="12"/>
  <c r="O288" i="12"/>
  <c r="Q288" i="12" s="1"/>
  <c r="N90" i="12"/>
  <c r="P90" i="12" s="1"/>
  <c r="O371" i="12"/>
  <c r="Q371" i="12" s="1"/>
  <c r="O198" i="12"/>
  <c r="Q198" i="12" s="1"/>
  <c r="N130" i="12"/>
  <c r="P130" i="12" s="1"/>
  <c r="N135" i="12"/>
  <c r="P135" i="12" s="1"/>
  <c r="J116" i="12"/>
  <c r="H116" i="12"/>
  <c r="H183" i="12" s="1"/>
  <c r="K116" i="12"/>
  <c r="O319" i="12"/>
  <c r="Q319" i="12" s="1"/>
  <c r="AC376" i="12"/>
  <c r="O464" i="12"/>
  <c r="Q464" i="12" s="1"/>
  <c r="AD488" i="12"/>
  <c r="AD376" i="12"/>
  <c r="AE488" i="12"/>
  <c r="AQ183" i="12"/>
  <c r="AQ189" i="12" s="1"/>
  <c r="N198" i="12"/>
  <c r="P198" i="12" s="1"/>
  <c r="I219" i="12"/>
  <c r="O219" i="12" s="1"/>
  <c r="Q219" i="12" s="1"/>
  <c r="O215" i="12"/>
  <c r="Q215" i="12" s="1"/>
  <c r="AF363" i="12"/>
  <c r="AO188" i="12"/>
  <c r="AO189" i="12" s="1"/>
  <c r="AP190" i="12" s="1"/>
  <c r="AE170" i="12"/>
  <c r="O159" i="12"/>
  <c r="Q159" i="12" s="1"/>
  <c r="O135" i="12"/>
  <c r="Q135" i="12" s="1"/>
  <c r="N376" i="12"/>
  <c r="P376" i="12" s="1"/>
  <c r="I116" i="12"/>
  <c r="AE116" i="12"/>
  <c r="AE183" i="12" s="1"/>
  <c r="AE220" i="12" s="1"/>
  <c r="N225" i="12"/>
  <c r="P225" i="12" s="1"/>
  <c r="AE376" i="12"/>
  <c r="AF488" i="12"/>
  <c r="O225" i="12"/>
  <c r="Q225" i="12" s="1"/>
  <c r="AF376" i="12"/>
  <c r="N469" i="12"/>
  <c r="P469" i="12" s="1"/>
  <c r="O301" i="12"/>
  <c r="Q301" i="12" s="1"/>
  <c r="AH376" i="12"/>
  <c r="N84" i="12"/>
  <c r="P84" i="12" s="1"/>
  <c r="O156" i="12"/>
  <c r="Q156" i="12" s="1"/>
  <c r="AH182" i="12"/>
  <c r="N331" i="12"/>
  <c r="P331" i="12" s="1"/>
  <c r="AI376" i="12"/>
  <c r="N520" i="12"/>
  <c r="P520" i="12" s="1"/>
  <c r="O90" i="12"/>
  <c r="Q90" i="12" s="1"/>
  <c r="AG182" i="12"/>
  <c r="O84" i="12"/>
  <c r="Q84" i="12" s="1"/>
  <c r="O115" i="12"/>
  <c r="Q115" i="12" s="1"/>
  <c r="AI182" i="12"/>
  <c r="AE479" i="12"/>
  <c r="Z489" i="12"/>
  <c r="K550" i="12"/>
  <c r="AF116" i="12"/>
  <c r="AF183" i="12" s="1"/>
  <c r="AF220" i="12" s="1"/>
  <c r="AF495" i="12" s="1"/>
  <c r="AF550" i="12" s="1"/>
  <c r="AI428" i="12"/>
  <c r="N427" i="12"/>
  <c r="P427" i="12" s="1"/>
  <c r="AG116" i="12"/>
  <c r="O144" i="12"/>
  <c r="Q144" i="12" s="1"/>
  <c r="AR187" i="12"/>
  <c r="AF469" i="12"/>
  <c r="N578" i="12"/>
  <c r="P578" i="12" s="1"/>
  <c r="N141" i="12"/>
  <c r="P141" i="12" s="1"/>
  <c r="O141" i="12"/>
  <c r="Q141" i="12" s="1"/>
  <c r="AC428" i="12"/>
  <c r="AI469" i="12"/>
  <c r="O62" i="12"/>
  <c r="Q62" i="12" s="1"/>
  <c r="N188" i="12"/>
  <c r="P188" i="12" s="1"/>
  <c r="N479" i="12"/>
  <c r="P479" i="12" s="1"/>
  <c r="Z428" i="12"/>
  <c r="N71" i="12"/>
  <c r="P71" i="12" s="1"/>
  <c r="N182" i="12"/>
  <c r="P182" i="12" s="1"/>
  <c r="L428" i="12"/>
  <c r="O479" i="12"/>
  <c r="Q479" i="12" s="1"/>
  <c r="N15" i="12"/>
  <c r="P15" i="12" s="1"/>
  <c r="M489" i="12"/>
  <c r="O15" i="12"/>
  <c r="Q15" i="12" s="1"/>
  <c r="L116" i="12"/>
  <c r="M116" i="12"/>
  <c r="Z116" i="12"/>
  <c r="N159" i="12"/>
  <c r="P159" i="12" s="1"/>
  <c r="AB116" i="12"/>
  <c r="H170" i="12"/>
  <c r="L170" i="12"/>
  <c r="Z333" i="12"/>
  <c r="AH333" i="12"/>
  <c r="AH364" i="12" s="1"/>
  <c r="L333" i="12"/>
  <c r="I455" i="12"/>
  <c r="O454" i="12"/>
  <c r="Q454" i="12" s="1"/>
  <c r="H428" i="12"/>
  <c r="N423" i="12"/>
  <c r="P423" i="12" s="1"/>
  <c r="H219" i="12"/>
  <c r="AI333" i="12"/>
  <c r="AI364" i="12" s="1"/>
  <c r="M333" i="12"/>
  <c r="M364" i="12" s="1"/>
  <c r="AH469" i="12"/>
  <c r="I581" i="12"/>
  <c r="O571" i="12"/>
  <c r="Q571" i="12" s="1"/>
  <c r="H455" i="12"/>
  <c r="N454" i="12"/>
  <c r="P454" i="12" s="1"/>
  <c r="J170" i="12"/>
  <c r="K170" i="12"/>
  <c r="M170" i="12"/>
  <c r="AI116" i="12"/>
  <c r="M580" i="12"/>
  <c r="O580" i="12" s="1"/>
  <c r="Q580" i="12" s="1"/>
  <c r="O578" i="12"/>
  <c r="Q578" i="12" s="1"/>
  <c r="AG333" i="12"/>
  <c r="AI170" i="12"/>
  <c r="O307" i="12"/>
  <c r="Q307" i="12" s="1"/>
  <c r="AG363" i="12"/>
  <c r="N115" i="12"/>
  <c r="P115" i="12" s="1"/>
  <c r="AB469" i="12"/>
  <c r="AG488" i="12"/>
  <c r="AD479" i="12"/>
  <c r="N549" i="12"/>
  <c r="P549" i="12" s="1"/>
  <c r="O124" i="12"/>
  <c r="Q124" i="12" s="1"/>
  <c r="I170" i="12"/>
  <c r="I183" i="12" s="1"/>
  <c r="J219" i="12"/>
  <c r="H333" i="12"/>
  <c r="I333" i="12"/>
  <c r="J333" i="12"/>
  <c r="J364" i="12" s="1"/>
  <c r="N151" i="12"/>
  <c r="P151" i="12" s="1"/>
  <c r="K333" i="12"/>
  <c r="K364" i="12" s="1"/>
  <c r="AC333" i="12"/>
  <c r="AC364" i="12" s="1"/>
  <c r="N571" i="12"/>
  <c r="P571" i="12" s="1"/>
  <c r="AD170" i="12"/>
  <c r="AB333" i="12"/>
  <c r="J550" i="12"/>
  <c r="O565" i="12"/>
  <c r="Q565" i="12" s="1"/>
  <c r="O520" i="12"/>
  <c r="Q520" i="12" s="1"/>
  <c r="I550" i="12"/>
  <c r="N342" i="12"/>
  <c r="P342" i="12" s="1"/>
  <c r="H550" i="12"/>
  <c r="Z170" i="12"/>
  <c r="AB170" i="12"/>
  <c r="AC170" i="12"/>
  <c r="AC183" i="12" s="1"/>
  <c r="AC220" i="12" s="1"/>
  <c r="AL424" i="12"/>
  <c r="AD333" i="12"/>
  <c r="O342" i="12"/>
  <c r="Q342" i="12" s="1"/>
  <c r="N405" i="12"/>
  <c r="P405" i="12" s="1"/>
  <c r="I428" i="12"/>
  <c r="O428" i="12" s="1"/>
  <c r="Q428" i="12" s="1"/>
  <c r="O423" i="12"/>
  <c r="Q423" i="12" s="1"/>
  <c r="AH219" i="12"/>
  <c r="AE333" i="12"/>
  <c r="O405" i="12"/>
  <c r="Q405" i="12" s="1"/>
  <c r="AB488" i="12"/>
  <c r="AF333" i="12"/>
  <c r="J428" i="12"/>
  <c r="AC479" i="12"/>
  <c r="AC488" i="12"/>
  <c r="N288" i="12"/>
  <c r="P288" i="12" s="1"/>
  <c r="O111" i="12"/>
  <c r="Q111" i="12" s="1"/>
  <c r="AE363" i="12"/>
  <c r="N570" i="12"/>
  <c r="P570" i="12" s="1"/>
  <c r="AB363" i="12"/>
  <c r="AD363" i="12"/>
  <c r="O331" i="12"/>
  <c r="Q331" i="12" s="1"/>
  <c r="AL216" i="12"/>
  <c r="Q582" i="15" l="1"/>
  <c r="Q1" i="15" s="1"/>
  <c r="O1" i="15"/>
  <c r="O555" i="13"/>
  <c r="Q555" i="13" s="1"/>
  <c r="I582" i="13"/>
  <c r="N555" i="13"/>
  <c r="P555" i="13" s="1"/>
  <c r="H582" i="13"/>
  <c r="J183" i="12"/>
  <c r="J220" i="12" s="1"/>
  <c r="K183" i="12"/>
  <c r="K220" i="12" s="1"/>
  <c r="N550" i="12"/>
  <c r="P550" i="12" s="1"/>
  <c r="AG183" i="12"/>
  <c r="AG220" i="12" s="1"/>
  <c r="AL376" i="12" s="1"/>
  <c r="AD183" i="12"/>
  <c r="AD220" i="12" s="1"/>
  <c r="AD495" i="12" s="1"/>
  <c r="AD550" i="12" s="1"/>
  <c r="AH183" i="12"/>
  <c r="AJ220" i="12"/>
  <c r="AJ495" i="12" s="1"/>
  <c r="AJ550" i="12" s="1"/>
  <c r="N116" i="12"/>
  <c r="P116" i="12" s="1"/>
  <c r="O116" i="12"/>
  <c r="Q116" i="12" s="1"/>
  <c r="O550" i="12"/>
  <c r="Q550" i="12" s="1"/>
  <c r="Z364" i="12"/>
  <c r="AG364" i="12"/>
  <c r="M554" i="12"/>
  <c r="AF364" i="12"/>
  <c r="M581" i="12"/>
  <c r="O581" i="12" s="1"/>
  <c r="Q581" i="12" s="1"/>
  <c r="L364" i="12"/>
  <c r="L554" i="12" s="1"/>
  <c r="Z554" i="12"/>
  <c r="AH220" i="12"/>
  <c r="AH495" i="12" s="1"/>
  <c r="AH550" i="12" s="1"/>
  <c r="K554" i="12"/>
  <c r="K555" i="12" s="1"/>
  <c r="K582" i="12" s="1"/>
  <c r="K1" i="12" s="1"/>
  <c r="O363" i="12"/>
  <c r="Q363" i="12" s="1"/>
  <c r="AB364" i="12"/>
  <c r="J554" i="12"/>
  <c r="J555" i="12" s="1"/>
  <c r="J582" i="12" s="1"/>
  <c r="J1" i="12" s="1"/>
  <c r="N333" i="12"/>
  <c r="P333" i="12" s="1"/>
  <c r="H364" i="12"/>
  <c r="H220" i="12"/>
  <c r="AI183" i="12"/>
  <c r="AI220" i="12" s="1"/>
  <c r="N170" i="12"/>
  <c r="P170" i="12" s="1"/>
  <c r="Z183" i="12"/>
  <c r="Z220" i="12" s="1"/>
  <c r="AE364" i="12"/>
  <c r="AC495" i="12"/>
  <c r="AC550" i="12" s="1"/>
  <c r="AB183" i="12"/>
  <c r="AB220" i="12" s="1"/>
  <c r="N455" i="12"/>
  <c r="P455" i="12" s="1"/>
  <c r="H489" i="12"/>
  <c r="N489" i="12" s="1"/>
  <c r="P489" i="12" s="1"/>
  <c r="L183" i="12"/>
  <c r="L220" i="12" s="1"/>
  <c r="L555" i="12" s="1"/>
  <c r="L582" i="12" s="1"/>
  <c r="L1" i="12" s="1"/>
  <c r="O333" i="12"/>
  <c r="Q333" i="12" s="1"/>
  <c r="I364" i="12"/>
  <c r="O170" i="12"/>
  <c r="Q170" i="12" s="1"/>
  <c r="N219" i="12"/>
  <c r="P219" i="12" s="1"/>
  <c r="AD364" i="12"/>
  <c r="N428" i="12"/>
  <c r="P428" i="12" s="1"/>
  <c r="O455" i="12"/>
  <c r="Q455" i="12" s="1"/>
  <c r="I489" i="12"/>
  <c r="O489" i="12" s="1"/>
  <c r="Q489" i="12" s="1"/>
  <c r="AE495" i="12"/>
  <c r="AE550" i="12" s="1"/>
  <c r="M183" i="12"/>
  <c r="M220" i="12" s="1"/>
  <c r="O183" i="12"/>
  <c r="Q183" i="12" s="1"/>
  <c r="I220" i="12"/>
  <c r="AG495" i="12"/>
  <c r="AG550" i="12" s="1"/>
  <c r="O582" i="13" l="1"/>
  <c r="I1" i="13"/>
  <c r="N582" i="13"/>
  <c r="H1" i="13"/>
  <c r="Z555" i="12"/>
  <c r="Z582" i="12" s="1"/>
  <c r="Z1" i="12" s="1"/>
  <c r="M555" i="12"/>
  <c r="M582" i="12" s="1"/>
  <c r="M1" i="12" s="1"/>
  <c r="I554" i="12"/>
  <c r="O554" i="12" s="1"/>
  <c r="Q554" i="12" s="1"/>
  <c r="O364" i="12"/>
  <c r="Q364" i="12" s="1"/>
  <c r="AB495" i="12"/>
  <c r="AB550" i="12" s="1"/>
  <c r="AI495" i="12"/>
  <c r="AI550" i="12" s="1"/>
  <c r="N183" i="12"/>
  <c r="P183" i="12" s="1"/>
  <c r="H554" i="12"/>
  <c r="N554" i="12" s="1"/>
  <c r="P554" i="12" s="1"/>
  <c r="N364" i="12"/>
  <c r="P364" i="12" s="1"/>
  <c r="O220" i="12"/>
  <c r="Q220" i="12" s="1"/>
  <c r="I555" i="12"/>
  <c r="N220" i="12"/>
  <c r="P220" i="12" s="1"/>
  <c r="H555" i="12"/>
  <c r="P582" i="13" l="1"/>
  <c r="P1" i="13" s="1"/>
  <c r="N1" i="13"/>
  <c r="Q582" i="13"/>
  <c r="Q1" i="13" s="1"/>
  <c r="O1" i="13"/>
  <c r="H582" i="12"/>
  <c r="N555" i="12"/>
  <c r="P555" i="12" s="1"/>
  <c r="O555" i="12"/>
  <c r="Q555" i="12" s="1"/>
  <c r="I582" i="12"/>
  <c r="I1" i="12" l="1"/>
  <c r="O582" i="12"/>
  <c r="H1" i="12"/>
  <c r="N582" i="12"/>
  <c r="P582" i="12" l="1"/>
  <c r="P1" i="12" s="1"/>
  <c r="N1" i="12"/>
  <c r="Q582" i="12"/>
  <c r="Q1" i="12" s="1"/>
  <c r="O1" i="12"/>
  <c r="AI172" i="11" l="1"/>
  <c r="AG457" i="11"/>
  <c r="AI402" i="11"/>
  <c r="AI553" i="11"/>
  <c r="AI549" i="11"/>
  <c r="AI533" i="11"/>
  <c r="AI532" i="11"/>
  <c r="AI522" i="11"/>
  <c r="AI518" i="11"/>
  <c r="AI517" i="11"/>
  <c r="AI520" i="11" s="1"/>
  <c r="AI514" i="11"/>
  <c r="AI507" i="11"/>
  <c r="AI505" i="11"/>
  <c r="AI487" i="11"/>
  <c r="AI486" i="11"/>
  <c r="AI485" i="11"/>
  <c r="AI484" i="11"/>
  <c r="AI483" i="11"/>
  <c r="AI482" i="11"/>
  <c r="AI481" i="11"/>
  <c r="AI478" i="11"/>
  <c r="AI477" i="11"/>
  <c r="AI475" i="11"/>
  <c r="AI474" i="11"/>
  <c r="AI473" i="11"/>
  <c r="AI472" i="11"/>
  <c r="AI471" i="11"/>
  <c r="AI468" i="11"/>
  <c r="AI467" i="11"/>
  <c r="AI466" i="11"/>
  <c r="AI469" i="11" s="1"/>
  <c r="AI461" i="11"/>
  <c r="AI460" i="11"/>
  <c r="AI459" i="11"/>
  <c r="AI453" i="11"/>
  <c r="AI441" i="11"/>
  <c r="AI427" i="11"/>
  <c r="AI423" i="11"/>
  <c r="AI428" i="11" s="1"/>
  <c r="AI375" i="11"/>
  <c r="AI374" i="11"/>
  <c r="AI373" i="11"/>
  <c r="AI367" i="11"/>
  <c r="AI371" i="11" s="1"/>
  <c r="AI361" i="11"/>
  <c r="AI350" i="11"/>
  <c r="AI342" i="11"/>
  <c r="AI331" i="11"/>
  <c r="AI328" i="11"/>
  <c r="AI319" i="11"/>
  <c r="AI307" i="11"/>
  <c r="AI301" i="11"/>
  <c r="AI288" i="11"/>
  <c r="AI280" i="11"/>
  <c r="AI263" i="11"/>
  <c r="AI257" i="11"/>
  <c r="AI234" i="11"/>
  <c r="AI227" i="11"/>
  <c r="AI223" i="11"/>
  <c r="AI225" i="11" s="1"/>
  <c r="AI218" i="11"/>
  <c r="AI215" i="11"/>
  <c r="AI219" i="11" s="1"/>
  <c r="AI207" i="11"/>
  <c r="AI201" i="11"/>
  <c r="AI196" i="11"/>
  <c r="AI198" i="11" s="1"/>
  <c r="AI195" i="11"/>
  <c r="AI193" i="11"/>
  <c r="AI191" i="11"/>
  <c r="AI185" i="11"/>
  <c r="AI188" i="11" s="1"/>
  <c r="AI176" i="11"/>
  <c r="AI173" i="11"/>
  <c r="AI182" i="11"/>
  <c r="AI168" i="11"/>
  <c r="AI164" i="11"/>
  <c r="AI159" i="11"/>
  <c r="AI156" i="11"/>
  <c r="AI151" i="11"/>
  <c r="AI143" i="11"/>
  <c r="AI144" i="11" s="1"/>
  <c r="AI141" i="11"/>
  <c r="AI135" i="11"/>
  <c r="AI130" i="11"/>
  <c r="AI124" i="11"/>
  <c r="AI170" i="11" s="1"/>
  <c r="AI111" i="11"/>
  <c r="AI102" i="11"/>
  <c r="AI90" i="11"/>
  <c r="AI84" i="11"/>
  <c r="AI71" i="11"/>
  <c r="AI62" i="11"/>
  <c r="AI45" i="11"/>
  <c r="AI39" i="11"/>
  <c r="AI15" i="11"/>
  <c r="O579" i="11"/>
  <c r="Q579" i="11" s="1"/>
  <c r="N579" i="11"/>
  <c r="P579" i="11" s="1"/>
  <c r="M578" i="11"/>
  <c r="M580" i="11" s="1"/>
  <c r="L578" i="11"/>
  <c r="L580" i="11" s="1"/>
  <c r="K578" i="11"/>
  <c r="K580" i="11" s="1"/>
  <c r="J578" i="11"/>
  <c r="J580" i="11" s="1"/>
  <c r="I578" i="11"/>
  <c r="I580" i="11" s="1"/>
  <c r="H578" i="11"/>
  <c r="H580" i="11" s="1"/>
  <c r="O577" i="11"/>
  <c r="Q577" i="11" s="1"/>
  <c r="N577" i="11"/>
  <c r="P577" i="11" s="1"/>
  <c r="O576" i="11"/>
  <c r="Q576" i="11" s="1"/>
  <c r="N576" i="11"/>
  <c r="P576" i="11" s="1"/>
  <c r="O575" i="11"/>
  <c r="Q575" i="11" s="1"/>
  <c r="N575" i="11"/>
  <c r="P575" i="11" s="1"/>
  <c r="O574" i="11"/>
  <c r="Q574" i="11" s="1"/>
  <c r="N574" i="11"/>
  <c r="P574" i="11" s="1"/>
  <c r="M570" i="11"/>
  <c r="L570" i="11"/>
  <c r="K570" i="11"/>
  <c r="J570" i="11"/>
  <c r="I570" i="11"/>
  <c r="H570" i="11"/>
  <c r="O569" i="11"/>
  <c r="Q569" i="11" s="1"/>
  <c r="N569" i="11"/>
  <c r="P569" i="11" s="1"/>
  <c r="O568" i="11"/>
  <c r="Q568" i="11" s="1"/>
  <c r="N568" i="11"/>
  <c r="P568" i="11" s="1"/>
  <c r="O567" i="11"/>
  <c r="Q567" i="11" s="1"/>
  <c r="N567" i="11"/>
  <c r="P567" i="11" s="1"/>
  <c r="M565" i="11"/>
  <c r="L565" i="11"/>
  <c r="K565" i="11"/>
  <c r="J565" i="11"/>
  <c r="I565" i="11"/>
  <c r="O565" i="11" s="1"/>
  <c r="Q565" i="11" s="1"/>
  <c r="H565" i="11"/>
  <c r="O564" i="11"/>
  <c r="Q564" i="11" s="1"/>
  <c r="N564" i="11"/>
  <c r="P564" i="11" s="1"/>
  <c r="O563" i="11"/>
  <c r="Q563" i="11" s="1"/>
  <c r="N563" i="11"/>
  <c r="P563" i="11" s="1"/>
  <c r="O562" i="11"/>
  <c r="Q562" i="11" s="1"/>
  <c r="N562" i="11"/>
  <c r="P562" i="11" s="1"/>
  <c r="O561" i="11"/>
  <c r="Q561" i="11" s="1"/>
  <c r="N561" i="11"/>
  <c r="P561" i="11" s="1"/>
  <c r="O560" i="11"/>
  <c r="Q560" i="11" s="1"/>
  <c r="N560" i="11"/>
  <c r="P560" i="11" s="1"/>
  <c r="O558" i="11"/>
  <c r="Q558" i="11" s="1"/>
  <c r="N558" i="11"/>
  <c r="P558" i="11" s="1"/>
  <c r="AH553" i="11"/>
  <c r="AG553" i="11"/>
  <c r="AF553" i="11"/>
  <c r="AE553" i="11"/>
  <c r="AD553" i="11"/>
  <c r="AC553" i="11"/>
  <c r="AB553" i="11"/>
  <c r="Z553" i="11"/>
  <c r="M553" i="11"/>
  <c r="L553" i="11"/>
  <c r="K553" i="11"/>
  <c r="J553" i="11"/>
  <c r="I553" i="11"/>
  <c r="H553" i="11"/>
  <c r="O552" i="11"/>
  <c r="Q552" i="11" s="1"/>
  <c r="N552" i="11"/>
  <c r="P552" i="11" s="1"/>
  <c r="AH549" i="11"/>
  <c r="AG549" i="11"/>
  <c r="AF549" i="11"/>
  <c r="AE549" i="11"/>
  <c r="AD549" i="11"/>
  <c r="AC549" i="11"/>
  <c r="AB549" i="11"/>
  <c r="Z549" i="11"/>
  <c r="M549" i="11"/>
  <c r="L549" i="11"/>
  <c r="K549" i="11"/>
  <c r="J549" i="11"/>
  <c r="I549" i="11"/>
  <c r="H549" i="11"/>
  <c r="O548" i="11"/>
  <c r="Q548" i="11" s="1"/>
  <c r="N548" i="11"/>
  <c r="P548" i="11" s="1"/>
  <c r="O547" i="11"/>
  <c r="Q547" i="11" s="1"/>
  <c r="N547" i="11"/>
  <c r="P547" i="11" s="1"/>
  <c r="O546" i="11"/>
  <c r="Q546" i="11" s="1"/>
  <c r="N546" i="11"/>
  <c r="P546" i="11" s="1"/>
  <c r="O544" i="11"/>
  <c r="Q544" i="11" s="1"/>
  <c r="N544" i="11"/>
  <c r="P544" i="11" s="1"/>
  <c r="Q543" i="11"/>
  <c r="N543" i="11"/>
  <c r="P543" i="11" s="1"/>
  <c r="O542" i="11"/>
  <c r="Q542" i="11" s="1"/>
  <c r="N542" i="11"/>
  <c r="P542" i="11" s="1"/>
  <c r="O541" i="11"/>
  <c r="Q541" i="11" s="1"/>
  <c r="N541" i="11"/>
  <c r="P541" i="11" s="1"/>
  <c r="O540" i="11"/>
  <c r="Q540" i="11" s="1"/>
  <c r="N540" i="11"/>
  <c r="P540" i="11" s="1"/>
  <c r="O539" i="11"/>
  <c r="Q539" i="11" s="1"/>
  <c r="N539" i="11"/>
  <c r="P539" i="11" s="1"/>
  <c r="O538" i="11"/>
  <c r="Q538" i="11" s="1"/>
  <c r="N538" i="11"/>
  <c r="P538" i="11" s="1"/>
  <c r="O537" i="11"/>
  <c r="Q537" i="11" s="1"/>
  <c r="N537" i="11"/>
  <c r="P537" i="11" s="1"/>
  <c r="O536" i="11"/>
  <c r="Q536" i="11" s="1"/>
  <c r="N536" i="11"/>
  <c r="P536" i="11" s="1"/>
  <c r="O535" i="11"/>
  <c r="Q535" i="11" s="1"/>
  <c r="N535" i="11"/>
  <c r="P535" i="11" s="1"/>
  <c r="AF534" i="11"/>
  <c r="AE534" i="11"/>
  <c r="AD534" i="11"/>
  <c r="AC534" i="11"/>
  <c r="AB534" i="11"/>
  <c r="O534" i="11"/>
  <c r="Q534" i="11" s="1"/>
  <c r="N534" i="11"/>
  <c r="P534" i="11" s="1"/>
  <c r="AH533" i="11"/>
  <c r="AG533" i="11"/>
  <c r="O533" i="11"/>
  <c r="Q533" i="11" s="1"/>
  <c r="N533" i="11"/>
  <c r="P533" i="11" s="1"/>
  <c r="AH532" i="11"/>
  <c r="AG532" i="11"/>
  <c r="AF532" i="11"/>
  <c r="AE532" i="11"/>
  <c r="AD532" i="11"/>
  <c r="AC532" i="11"/>
  <c r="AB532" i="11"/>
  <c r="O532" i="11"/>
  <c r="Q532" i="11" s="1"/>
  <c r="N532" i="11"/>
  <c r="P532" i="11" s="1"/>
  <c r="O531" i="11"/>
  <c r="Q531" i="11" s="1"/>
  <c r="N531" i="11"/>
  <c r="P531" i="11" s="1"/>
  <c r="O530" i="11"/>
  <c r="Q530" i="11" s="1"/>
  <c r="N530" i="11"/>
  <c r="P530" i="11" s="1"/>
  <c r="O529" i="11"/>
  <c r="Q529" i="11" s="1"/>
  <c r="N529" i="11"/>
  <c r="P529" i="11" s="1"/>
  <c r="O528" i="11"/>
  <c r="Q528" i="11" s="1"/>
  <c r="N528" i="11"/>
  <c r="P528" i="11" s="1"/>
  <c r="O527" i="11"/>
  <c r="Q527" i="11" s="1"/>
  <c r="N527" i="11"/>
  <c r="P527" i="11" s="1"/>
  <c r="O526" i="11"/>
  <c r="Q526" i="11" s="1"/>
  <c r="N526" i="11"/>
  <c r="P526" i="11" s="1"/>
  <c r="Q525" i="11"/>
  <c r="N525" i="11"/>
  <c r="P525" i="11" s="1"/>
  <c r="O524" i="11"/>
  <c r="Q524" i="11" s="1"/>
  <c r="N524" i="11"/>
  <c r="P524" i="11" s="1"/>
  <c r="O523" i="11"/>
  <c r="Q523" i="11" s="1"/>
  <c r="N523" i="11"/>
  <c r="P523" i="11" s="1"/>
  <c r="AH522" i="11"/>
  <c r="AG522" i="11"/>
  <c r="O522" i="11"/>
  <c r="Q522" i="11" s="1"/>
  <c r="N522" i="11"/>
  <c r="P522" i="11" s="1"/>
  <c r="O521" i="11"/>
  <c r="Q521" i="11" s="1"/>
  <c r="N521" i="11"/>
  <c r="P521" i="11" s="1"/>
  <c r="AF520" i="11"/>
  <c r="AE520" i="11"/>
  <c r="AD520" i="11"/>
  <c r="AC520" i="11"/>
  <c r="AB520" i="11"/>
  <c r="Z520" i="11"/>
  <c r="M520" i="11"/>
  <c r="L520" i="11"/>
  <c r="L550" i="11" s="1"/>
  <c r="K520" i="11"/>
  <c r="K550" i="11" s="1"/>
  <c r="J520" i="11"/>
  <c r="J550" i="11" s="1"/>
  <c r="I520" i="11"/>
  <c r="H520" i="11"/>
  <c r="H550" i="11" s="1"/>
  <c r="AH518" i="11"/>
  <c r="AG518" i="11"/>
  <c r="O518" i="11"/>
  <c r="Q518" i="11" s="1"/>
  <c r="N518" i="11"/>
  <c r="P518" i="11" s="1"/>
  <c r="AH517" i="11"/>
  <c r="AG517" i="11"/>
  <c r="O517" i="11"/>
  <c r="Q517" i="11" s="1"/>
  <c r="N517" i="11"/>
  <c r="P517" i="11" s="1"/>
  <c r="O516" i="11"/>
  <c r="Q516" i="11" s="1"/>
  <c r="N516" i="11"/>
  <c r="P516" i="11" s="1"/>
  <c r="AH514" i="11"/>
  <c r="AG514" i="11"/>
  <c r="O514" i="11"/>
  <c r="Q514" i="11" s="1"/>
  <c r="N514" i="11"/>
  <c r="P514" i="11" s="1"/>
  <c r="O513" i="11"/>
  <c r="Q513" i="11" s="1"/>
  <c r="N513" i="11"/>
  <c r="P513" i="11" s="1"/>
  <c r="O512" i="11"/>
  <c r="Q512" i="11" s="1"/>
  <c r="N512" i="11"/>
  <c r="P512" i="11" s="1"/>
  <c r="O511" i="11"/>
  <c r="Q511" i="11" s="1"/>
  <c r="N511" i="11"/>
  <c r="P511" i="11" s="1"/>
  <c r="O510" i="11"/>
  <c r="Q510" i="11" s="1"/>
  <c r="N510" i="11"/>
  <c r="P510" i="11" s="1"/>
  <c r="P509" i="11"/>
  <c r="O509" i="11"/>
  <c r="Q509" i="11" s="1"/>
  <c r="N509" i="11"/>
  <c r="O508" i="11"/>
  <c r="Q508" i="11" s="1"/>
  <c r="N508" i="11"/>
  <c r="P508" i="11" s="1"/>
  <c r="AH507" i="11"/>
  <c r="AG507" i="11"/>
  <c r="O507" i="11"/>
  <c r="Q507" i="11" s="1"/>
  <c r="N507" i="11"/>
  <c r="P507" i="11" s="1"/>
  <c r="O506" i="11"/>
  <c r="Q506" i="11" s="1"/>
  <c r="N506" i="11"/>
  <c r="P506" i="11" s="1"/>
  <c r="AH505" i="11"/>
  <c r="AG505" i="11"/>
  <c r="AF505" i="11"/>
  <c r="AE505" i="11"/>
  <c r="AD505" i="11"/>
  <c r="AC505" i="11"/>
  <c r="AB505" i="11"/>
  <c r="O505" i="11"/>
  <c r="Q505" i="11" s="1"/>
  <c r="N505" i="11"/>
  <c r="P505" i="11" s="1"/>
  <c r="O504" i="11"/>
  <c r="Q504" i="11" s="1"/>
  <c r="N504" i="11"/>
  <c r="P504" i="11" s="1"/>
  <c r="O503" i="11"/>
  <c r="Q503" i="11" s="1"/>
  <c r="N503" i="11"/>
  <c r="P503" i="11" s="1"/>
  <c r="O502" i="11"/>
  <c r="Q502" i="11" s="1"/>
  <c r="N502" i="11"/>
  <c r="P502" i="11" s="1"/>
  <c r="O501" i="11"/>
  <c r="Q501" i="11" s="1"/>
  <c r="N501" i="11"/>
  <c r="P501" i="11" s="1"/>
  <c r="AG500" i="11"/>
  <c r="AF500" i="11"/>
  <c r="O500" i="11"/>
  <c r="Q500" i="11" s="1"/>
  <c r="N500" i="11"/>
  <c r="P500" i="11" s="1"/>
  <c r="O499" i="11"/>
  <c r="Q499" i="11" s="1"/>
  <c r="N499" i="11"/>
  <c r="P499" i="11" s="1"/>
  <c r="O498" i="11"/>
  <c r="Q498" i="11" s="1"/>
  <c r="N498" i="11"/>
  <c r="P498" i="11" s="1"/>
  <c r="O496" i="11"/>
  <c r="Q496" i="11" s="1"/>
  <c r="N496" i="11"/>
  <c r="P496" i="11" s="1"/>
  <c r="O495" i="11"/>
  <c r="Q495" i="11" s="1"/>
  <c r="N495" i="11"/>
  <c r="P495" i="11" s="1"/>
  <c r="O494" i="11"/>
  <c r="Q494" i="11" s="1"/>
  <c r="N494" i="11"/>
  <c r="P494" i="11" s="1"/>
  <c r="O493" i="11"/>
  <c r="Q493" i="11" s="1"/>
  <c r="N493" i="11"/>
  <c r="P493" i="11" s="1"/>
  <c r="P492" i="11"/>
  <c r="O492" i="11"/>
  <c r="Q492" i="11" s="1"/>
  <c r="N492" i="11"/>
  <c r="O491" i="11"/>
  <c r="Q491" i="11" s="1"/>
  <c r="N491" i="11"/>
  <c r="P491" i="11" s="1"/>
  <c r="Q490" i="11"/>
  <c r="P490" i="11"/>
  <c r="Z488" i="11"/>
  <c r="M488" i="11"/>
  <c r="L488" i="11"/>
  <c r="K488" i="11"/>
  <c r="J488" i="11"/>
  <c r="I488" i="11"/>
  <c r="H488" i="11"/>
  <c r="AH487" i="11"/>
  <c r="AG487" i="11"/>
  <c r="AF487" i="11"/>
  <c r="AE487" i="11"/>
  <c r="AD487" i="11"/>
  <c r="AC487" i="11"/>
  <c r="AB487" i="11"/>
  <c r="O487" i="11"/>
  <c r="Q487" i="11" s="1"/>
  <c r="N487" i="11"/>
  <c r="P487" i="11" s="1"/>
  <c r="AH486" i="11"/>
  <c r="AG486" i="11"/>
  <c r="AF486" i="11"/>
  <c r="AB486" i="11"/>
  <c r="O486" i="11"/>
  <c r="Q486" i="11" s="1"/>
  <c r="N486" i="11"/>
  <c r="P486" i="11" s="1"/>
  <c r="AH485" i="11"/>
  <c r="AG485" i="11"/>
  <c r="AF485" i="11"/>
  <c r="AB485" i="11"/>
  <c r="O485" i="11"/>
  <c r="Q485" i="11" s="1"/>
  <c r="N485" i="11"/>
  <c r="P485" i="11" s="1"/>
  <c r="AH484" i="11"/>
  <c r="AG484" i="11"/>
  <c r="AF484" i="11"/>
  <c r="AE484" i="11"/>
  <c r="AE488" i="11" s="1"/>
  <c r="AD484" i="11"/>
  <c r="AC484" i="11"/>
  <c r="AB484" i="11"/>
  <c r="O484" i="11"/>
  <c r="Q484" i="11" s="1"/>
  <c r="N484" i="11"/>
  <c r="P484" i="11" s="1"/>
  <c r="AH483" i="11"/>
  <c r="AG483" i="11"/>
  <c r="AF483" i="11"/>
  <c r="AB483" i="11"/>
  <c r="O483" i="11"/>
  <c r="Q483" i="11" s="1"/>
  <c r="N483" i="11"/>
  <c r="P483" i="11" s="1"/>
  <c r="AH482" i="11"/>
  <c r="AG482" i="11"/>
  <c r="AF482" i="11"/>
  <c r="AB482" i="11"/>
  <c r="O482" i="11"/>
  <c r="Q482" i="11" s="1"/>
  <c r="N482" i="11"/>
  <c r="P482" i="11" s="1"/>
  <c r="AH481" i="11"/>
  <c r="AG481" i="11"/>
  <c r="AF481" i="11"/>
  <c r="AE481" i="11"/>
  <c r="AD481" i="11"/>
  <c r="AC481" i="11"/>
  <c r="AB481" i="11"/>
  <c r="O481" i="11"/>
  <c r="Q481" i="11" s="1"/>
  <c r="N481" i="11"/>
  <c r="P481" i="11" s="1"/>
  <c r="Z479" i="11"/>
  <c r="M479" i="11"/>
  <c r="L479" i="11"/>
  <c r="K479" i="11"/>
  <c r="J479" i="11"/>
  <c r="I479" i="11"/>
  <c r="H479" i="11"/>
  <c r="AH478" i="11"/>
  <c r="AG478" i="11"/>
  <c r="AF478" i="11"/>
  <c r="AE478" i="11"/>
  <c r="AD478" i="11"/>
  <c r="AC478" i="11"/>
  <c r="AB478" i="11"/>
  <c r="O478" i="11"/>
  <c r="Q478" i="11" s="1"/>
  <c r="N478" i="11"/>
  <c r="P478" i="11" s="1"/>
  <c r="AH477" i="11"/>
  <c r="AG477" i="11"/>
  <c r="AF477" i="11"/>
  <c r="AE477" i="11"/>
  <c r="AD477" i="11"/>
  <c r="AC477" i="11"/>
  <c r="AB477" i="11"/>
  <c r="O477" i="11"/>
  <c r="Q477" i="11" s="1"/>
  <c r="N477" i="11"/>
  <c r="P477" i="11" s="1"/>
  <c r="O476" i="11"/>
  <c r="Q476" i="11" s="1"/>
  <c r="N476" i="11"/>
  <c r="P476" i="11" s="1"/>
  <c r="AH475" i="11"/>
  <c r="AG475" i="11"/>
  <c r="AE475" i="11"/>
  <c r="AD475" i="11"/>
  <c r="AC475" i="11"/>
  <c r="AB475" i="11"/>
  <c r="O475" i="11"/>
  <c r="Q475" i="11" s="1"/>
  <c r="N475" i="11"/>
  <c r="P475" i="11" s="1"/>
  <c r="AH474" i="11"/>
  <c r="AG474" i="11"/>
  <c r="AF474" i="11"/>
  <c r="AE474" i="11"/>
  <c r="AD474" i="11"/>
  <c r="AC474" i="11"/>
  <c r="AB474" i="11"/>
  <c r="O474" i="11"/>
  <c r="Q474" i="11" s="1"/>
  <c r="N474" i="11"/>
  <c r="P474" i="11" s="1"/>
  <c r="AH473" i="11"/>
  <c r="AG473" i="11"/>
  <c r="AF473" i="11"/>
  <c r="AB473" i="11"/>
  <c r="O473" i="11"/>
  <c r="Q473" i="11" s="1"/>
  <c r="N473" i="11"/>
  <c r="P473" i="11" s="1"/>
  <c r="AH472" i="11"/>
  <c r="AG472" i="11"/>
  <c r="AF472" i="11"/>
  <c r="AB472" i="11"/>
  <c r="O472" i="11"/>
  <c r="Q472" i="11" s="1"/>
  <c r="N472" i="11"/>
  <c r="P472" i="11" s="1"/>
  <c r="AH471" i="11"/>
  <c r="AG471" i="11"/>
  <c r="AF471" i="11"/>
  <c r="AB471" i="11"/>
  <c r="O471" i="11"/>
  <c r="Q471" i="11" s="1"/>
  <c r="N471" i="11"/>
  <c r="P471" i="11" s="1"/>
  <c r="Z469" i="11"/>
  <c r="M469" i="11"/>
  <c r="L469" i="11"/>
  <c r="K469" i="11"/>
  <c r="J469" i="11"/>
  <c r="I469" i="11"/>
  <c r="H469" i="11"/>
  <c r="AH468" i="11"/>
  <c r="AG468" i="11"/>
  <c r="AD468" i="11"/>
  <c r="AC468" i="11"/>
  <c r="AB468" i="11"/>
  <c r="P468" i="11"/>
  <c r="O468" i="11"/>
  <c r="Q468" i="11" s="1"/>
  <c r="N468" i="11"/>
  <c r="AH467" i="11"/>
  <c r="AG467" i="11"/>
  <c r="AF467" i="11"/>
  <c r="AB467" i="11"/>
  <c r="O467" i="11"/>
  <c r="Q467" i="11" s="1"/>
  <c r="N467" i="11"/>
  <c r="P467" i="11" s="1"/>
  <c r="AH466" i="11"/>
  <c r="AH469" i="11" s="1"/>
  <c r="AG466" i="11"/>
  <c r="AG469" i="11" s="1"/>
  <c r="AF466" i="11"/>
  <c r="AE466" i="11"/>
  <c r="AE469" i="11" s="1"/>
  <c r="AD466" i="11"/>
  <c r="AC466" i="11"/>
  <c r="AB466" i="11"/>
  <c r="AB469" i="11" s="1"/>
  <c r="O466" i="11"/>
  <c r="Q466" i="11" s="1"/>
  <c r="N466" i="11"/>
  <c r="P466" i="11" s="1"/>
  <c r="Q465" i="11"/>
  <c r="P465" i="11"/>
  <c r="Z464" i="11"/>
  <c r="M464" i="11"/>
  <c r="L464" i="11"/>
  <c r="K464" i="11"/>
  <c r="J464" i="11"/>
  <c r="I464" i="11"/>
  <c r="H464" i="11"/>
  <c r="O463" i="11"/>
  <c r="Q463" i="11" s="1"/>
  <c r="N463" i="11"/>
  <c r="P463" i="11" s="1"/>
  <c r="P462" i="11"/>
  <c r="O462" i="11"/>
  <c r="Q462" i="11" s="1"/>
  <c r="N462" i="11"/>
  <c r="AG461" i="11"/>
  <c r="AF461" i="11"/>
  <c r="AB461" i="11"/>
  <c r="O461" i="11"/>
  <c r="Q461" i="11" s="1"/>
  <c r="N461" i="11"/>
  <c r="P461" i="11" s="1"/>
  <c r="AG460" i="11"/>
  <c r="AF460" i="11"/>
  <c r="AB460" i="11"/>
  <c r="O460" i="11"/>
  <c r="Q460" i="11" s="1"/>
  <c r="N460" i="11"/>
  <c r="P460" i="11" s="1"/>
  <c r="AG459" i="11"/>
  <c r="AF459" i="11"/>
  <c r="AB459" i="11"/>
  <c r="O459" i="11"/>
  <c r="Q459" i="11" s="1"/>
  <c r="N459" i="11"/>
  <c r="P459" i="11" s="1"/>
  <c r="O458" i="11"/>
  <c r="Q458" i="11" s="1"/>
  <c r="N458" i="11"/>
  <c r="P458" i="11" s="1"/>
  <c r="O457" i="11"/>
  <c r="Q457" i="11" s="1"/>
  <c r="N457" i="11"/>
  <c r="P457" i="11" s="1"/>
  <c r="Z454" i="11"/>
  <c r="Z455" i="11" s="1"/>
  <c r="M454" i="11"/>
  <c r="M455" i="11" s="1"/>
  <c r="M489" i="11" s="1"/>
  <c r="L454" i="11"/>
  <c r="L455" i="11" s="1"/>
  <c r="K454" i="11"/>
  <c r="K455" i="11" s="1"/>
  <c r="J454" i="11"/>
  <c r="J455" i="11" s="1"/>
  <c r="I454" i="11"/>
  <c r="O454" i="11" s="1"/>
  <c r="Q454" i="11" s="1"/>
  <c r="H454" i="11"/>
  <c r="N454" i="11" s="1"/>
  <c r="P454" i="11" s="1"/>
  <c r="AB453" i="11"/>
  <c r="O453" i="11"/>
  <c r="Q453" i="11" s="1"/>
  <c r="N453" i="11"/>
  <c r="P453" i="11" s="1"/>
  <c r="O452" i="11"/>
  <c r="Q452" i="11" s="1"/>
  <c r="N452" i="11"/>
  <c r="P452" i="11" s="1"/>
  <c r="O451" i="11"/>
  <c r="Q451" i="11" s="1"/>
  <c r="N451" i="11"/>
  <c r="P451" i="11" s="1"/>
  <c r="O450" i="11"/>
  <c r="Q450" i="11" s="1"/>
  <c r="N450" i="11"/>
  <c r="P450" i="11" s="1"/>
  <c r="AM479" i="11"/>
  <c r="O449" i="11"/>
  <c r="Q449" i="11" s="1"/>
  <c r="N449" i="11"/>
  <c r="P449" i="11" s="1"/>
  <c r="O448" i="11"/>
  <c r="Q448" i="11" s="1"/>
  <c r="N448" i="11"/>
  <c r="P448" i="11" s="1"/>
  <c r="O447" i="11"/>
  <c r="Q447" i="11" s="1"/>
  <c r="N447" i="11"/>
  <c r="P447" i="11" s="1"/>
  <c r="O446" i="11"/>
  <c r="Q446" i="11" s="1"/>
  <c r="N446" i="11"/>
  <c r="P446" i="11" s="1"/>
  <c r="AG454" i="11"/>
  <c r="AG455" i="11" s="1"/>
  <c r="Q445" i="11"/>
  <c r="O445" i="11"/>
  <c r="N445" i="11"/>
  <c r="P445" i="11" s="1"/>
  <c r="AH454" i="11"/>
  <c r="AH455" i="11" s="1"/>
  <c r="O444" i="11"/>
  <c r="Q444" i="11" s="1"/>
  <c r="N444" i="11"/>
  <c r="P444" i="11" s="1"/>
  <c r="AH441" i="11"/>
  <c r="AG441" i="11"/>
  <c r="AF441" i="11"/>
  <c r="AE441" i="11"/>
  <c r="AD441" i="11"/>
  <c r="AC441" i="11"/>
  <c r="AB441" i="11"/>
  <c r="Z441" i="11"/>
  <c r="M441" i="11"/>
  <c r="L441" i="11"/>
  <c r="K441" i="11"/>
  <c r="J441" i="11"/>
  <c r="I441" i="11"/>
  <c r="O441" i="11" s="1"/>
  <c r="Q441" i="11" s="1"/>
  <c r="H441" i="11"/>
  <c r="O440" i="11"/>
  <c r="Q440" i="11" s="1"/>
  <c r="N440" i="11"/>
  <c r="P440" i="11" s="1"/>
  <c r="O439" i="11"/>
  <c r="Q439" i="11" s="1"/>
  <c r="N439" i="11"/>
  <c r="P439" i="11" s="1"/>
  <c r="O438" i="11"/>
  <c r="Q438" i="11" s="1"/>
  <c r="N438" i="11"/>
  <c r="P438" i="11" s="1"/>
  <c r="O437" i="11"/>
  <c r="Q437" i="11" s="1"/>
  <c r="N437" i="11"/>
  <c r="P437" i="11" s="1"/>
  <c r="Q436" i="11"/>
  <c r="O436" i="11"/>
  <c r="N436" i="11"/>
  <c r="P436" i="11" s="1"/>
  <c r="O435" i="11"/>
  <c r="Q435" i="11" s="1"/>
  <c r="N435" i="11"/>
  <c r="P435" i="11" s="1"/>
  <c r="O434" i="11"/>
  <c r="Q434" i="11" s="1"/>
  <c r="N434" i="11"/>
  <c r="P434" i="11" s="1"/>
  <c r="O433" i="11"/>
  <c r="Q433" i="11" s="1"/>
  <c r="N433" i="11"/>
  <c r="P433" i="11" s="1"/>
  <c r="O432" i="11"/>
  <c r="Q432" i="11" s="1"/>
  <c r="N432" i="11"/>
  <c r="P432" i="11" s="1"/>
  <c r="O431" i="11"/>
  <c r="Q431" i="11" s="1"/>
  <c r="N431" i="11"/>
  <c r="P431" i="11" s="1"/>
  <c r="Q430" i="11"/>
  <c r="P430" i="11"/>
  <c r="Q429" i="11"/>
  <c r="P429" i="11"/>
  <c r="AH427" i="11"/>
  <c r="AG427" i="11"/>
  <c r="AF427" i="11"/>
  <c r="AE427" i="11"/>
  <c r="AD427" i="11"/>
  <c r="AC427" i="11"/>
  <c r="AB427" i="11"/>
  <c r="Z427" i="11"/>
  <c r="Q427" i="11"/>
  <c r="L427" i="11"/>
  <c r="J427" i="11"/>
  <c r="H427" i="11"/>
  <c r="Q426" i="11"/>
  <c r="N426" i="11"/>
  <c r="P426" i="11" s="1"/>
  <c r="Q425" i="11"/>
  <c r="N425" i="11"/>
  <c r="P425" i="11" s="1"/>
  <c r="Z423" i="11"/>
  <c r="I423" i="11"/>
  <c r="I428" i="11" s="1"/>
  <c r="O422" i="11"/>
  <c r="Q422" i="11" s="1"/>
  <c r="N422" i="11"/>
  <c r="P422" i="11" s="1"/>
  <c r="O421" i="11"/>
  <c r="Q421" i="11" s="1"/>
  <c r="N421" i="11"/>
  <c r="P421" i="11" s="1"/>
  <c r="O420" i="11"/>
  <c r="Q420" i="11" s="1"/>
  <c r="N420" i="11"/>
  <c r="P420" i="11" s="1"/>
  <c r="O419" i="11"/>
  <c r="Q419" i="11" s="1"/>
  <c r="N419" i="11"/>
  <c r="P419" i="11" s="1"/>
  <c r="O418" i="11"/>
  <c r="Q418" i="11" s="1"/>
  <c r="N418" i="11"/>
  <c r="P418" i="11" s="1"/>
  <c r="O417" i="11"/>
  <c r="Q417" i="11" s="1"/>
  <c r="N417" i="11"/>
  <c r="P417" i="11" s="1"/>
  <c r="O416" i="11"/>
  <c r="Q416" i="11" s="1"/>
  <c r="N416" i="11"/>
  <c r="P416" i="11" s="1"/>
  <c r="O415" i="11"/>
  <c r="Q415" i="11" s="1"/>
  <c r="N415" i="11"/>
  <c r="P415" i="11" s="1"/>
  <c r="O414" i="11"/>
  <c r="Q414" i="11" s="1"/>
  <c r="N414" i="11"/>
  <c r="P414" i="11" s="1"/>
  <c r="Q413" i="11"/>
  <c r="N413" i="11"/>
  <c r="P413" i="11" s="1"/>
  <c r="O412" i="11"/>
  <c r="Q412" i="11" s="1"/>
  <c r="N412" i="11"/>
  <c r="P412" i="11" s="1"/>
  <c r="O411" i="11"/>
  <c r="Q411" i="11" s="1"/>
  <c r="N411" i="11"/>
  <c r="P411" i="11" s="1"/>
  <c r="O410" i="11"/>
  <c r="Q410" i="11" s="1"/>
  <c r="N410" i="11"/>
  <c r="P410" i="11" s="1"/>
  <c r="Q409" i="11"/>
  <c r="O409" i="11"/>
  <c r="N409" i="11"/>
  <c r="P409" i="11" s="1"/>
  <c r="O408" i="11"/>
  <c r="Q408" i="11" s="1"/>
  <c r="N408" i="11"/>
  <c r="P408" i="11" s="1"/>
  <c r="O407" i="11"/>
  <c r="Q407" i="11" s="1"/>
  <c r="N407" i="11"/>
  <c r="P407" i="11" s="1"/>
  <c r="Q406" i="11"/>
  <c r="N406" i="11"/>
  <c r="P406" i="11" s="1"/>
  <c r="M405" i="11"/>
  <c r="M423" i="11" s="1"/>
  <c r="M428" i="11" s="1"/>
  <c r="L405" i="11"/>
  <c r="L423" i="11" s="1"/>
  <c r="L428" i="11" s="1"/>
  <c r="K405" i="11"/>
  <c r="K423" i="11" s="1"/>
  <c r="K428" i="11" s="1"/>
  <c r="J405" i="11"/>
  <c r="J423" i="11" s="1"/>
  <c r="J428" i="11" s="1"/>
  <c r="I405" i="11"/>
  <c r="H405" i="11"/>
  <c r="O404" i="11"/>
  <c r="Q404" i="11" s="1"/>
  <c r="N404" i="11"/>
  <c r="P404" i="11" s="1"/>
  <c r="AH402" i="11"/>
  <c r="AH423" i="11" s="1"/>
  <c r="AG402" i="11"/>
  <c r="AG423" i="11" s="1"/>
  <c r="AF402" i="11"/>
  <c r="AF423" i="11" s="1"/>
  <c r="AF428" i="11" s="1"/>
  <c r="O402" i="11"/>
  <c r="Q402" i="11" s="1"/>
  <c r="N402" i="11"/>
  <c r="P402" i="11" s="1"/>
  <c r="AE401" i="11"/>
  <c r="AE423" i="11" s="1"/>
  <c r="AE428" i="11" s="1"/>
  <c r="AD401" i="11"/>
  <c r="AD423" i="11" s="1"/>
  <c r="AD428" i="11" s="1"/>
  <c r="AC401" i="11"/>
  <c r="AC423" i="11" s="1"/>
  <c r="AB401" i="11"/>
  <c r="AB423" i="11" s="1"/>
  <c r="O401" i="11"/>
  <c r="Q401" i="11" s="1"/>
  <c r="N401" i="11"/>
  <c r="P401" i="11" s="1"/>
  <c r="O400" i="11"/>
  <c r="Q400" i="11" s="1"/>
  <c r="N400" i="11"/>
  <c r="P400" i="11" s="1"/>
  <c r="O399" i="11"/>
  <c r="Q399" i="11" s="1"/>
  <c r="N399" i="11"/>
  <c r="P399" i="11" s="1"/>
  <c r="O398" i="11"/>
  <c r="Q398" i="11" s="1"/>
  <c r="N398" i="11"/>
  <c r="P398" i="11" s="1"/>
  <c r="P397" i="11"/>
  <c r="O397" i="11"/>
  <c r="Q397" i="11" s="1"/>
  <c r="N397" i="11"/>
  <c r="O396" i="11"/>
  <c r="Q396" i="11" s="1"/>
  <c r="N396" i="11"/>
  <c r="P396" i="11" s="1"/>
  <c r="O395" i="11"/>
  <c r="Q395" i="11" s="1"/>
  <c r="N395" i="11"/>
  <c r="P395" i="11" s="1"/>
  <c r="O394" i="11"/>
  <c r="Q394" i="11" s="1"/>
  <c r="N394" i="11"/>
  <c r="P394" i="11" s="1"/>
  <c r="O393" i="11"/>
  <c r="Q393" i="11" s="1"/>
  <c r="N393" i="11"/>
  <c r="P393" i="11" s="1"/>
  <c r="O392" i="11"/>
  <c r="Q392" i="11" s="1"/>
  <c r="N392" i="11"/>
  <c r="P392" i="11" s="1"/>
  <c r="O391" i="11"/>
  <c r="Q391" i="11" s="1"/>
  <c r="N391" i="11"/>
  <c r="P391" i="11" s="1"/>
  <c r="O390" i="11"/>
  <c r="Q390" i="11" s="1"/>
  <c r="N390" i="11"/>
  <c r="P390" i="11" s="1"/>
  <c r="O389" i="11"/>
  <c r="Q389" i="11" s="1"/>
  <c r="N389" i="11"/>
  <c r="P389" i="11" s="1"/>
  <c r="O388" i="11"/>
  <c r="Q388" i="11" s="1"/>
  <c r="N388" i="11"/>
  <c r="P388" i="11" s="1"/>
  <c r="O387" i="11"/>
  <c r="Q387" i="11" s="1"/>
  <c r="N387" i="11"/>
  <c r="P387" i="11" s="1"/>
  <c r="O385" i="11"/>
  <c r="Q385" i="11" s="1"/>
  <c r="N385" i="11"/>
  <c r="P385" i="11" s="1"/>
  <c r="O384" i="11"/>
  <c r="Q384" i="11" s="1"/>
  <c r="N384" i="11"/>
  <c r="P384" i="11" s="1"/>
  <c r="Q383" i="11"/>
  <c r="N383" i="11"/>
  <c r="P383" i="11" s="1"/>
  <c r="O382" i="11"/>
  <c r="Q382" i="11" s="1"/>
  <c r="N382" i="11"/>
  <c r="P382" i="11" s="1"/>
  <c r="O381" i="11"/>
  <c r="Q381" i="11" s="1"/>
  <c r="N381" i="11"/>
  <c r="P381" i="11" s="1"/>
  <c r="P380" i="11"/>
  <c r="O380" i="11"/>
  <c r="Q380" i="11" s="1"/>
  <c r="N380" i="11"/>
  <c r="O379" i="11"/>
  <c r="Q379" i="11" s="1"/>
  <c r="N379" i="11"/>
  <c r="P379" i="11" s="1"/>
  <c r="Z376" i="11"/>
  <c r="M376" i="11"/>
  <c r="L376" i="11"/>
  <c r="K376" i="11"/>
  <c r="J376" i="11"/>
  <c r="I376" i="11"/>
  <c r="H376" i="11"/>
  <c r="AH375" i="11"/>
  <c r="AG375" i="11"/>
  <c r="AF375" i="11"/>
  <c r="AE375" i="11"/>
  <c r="AD375" i="11"/>
  <c r="AC375" i="11"/>
  <c r="AB375" i="11"/>
  <c r="O375" i="11"/>
  <c r="Q375" i="11" s="1"/>
  <c r="N375" i="11"/>
  <c r="P375" i="11" s="1"/>
  <c r="AH374" i="11"/>
  <c r="AG374" i="11"/>
  <c r="AF374" i="11"/>
  <c r="AE374" i="11"/>
  <c r="AD374" i="11"/>
  <c r="AC374" i="11"/>
  <c r="AB374" i="11"/>
  <c r="O374" i="11"/>
  <c r="Q374" i="11" s="1"/>
  <c r="N374" i="11"/>
  <c r="P374" i="11" s="1"/>
  <c r="AH373" i="11"/>
  <c r="AG373" i="11"/>
  <c r="AF373" i="11"/>
  <c r="AE373" i="11"/>
  <c r="AD373" i="11"/>
  <c r="AC373" i="11"/>
  <c r="AB373" i="11"/>
  <c r="O373" i="11"/>
  <c r="Q373" i="11" s="1"/>
  <c r="N373" i="11"/>
  <c r="P373" i="11" s="1"/>
  <c r="Q372" i="11"/>
  <c r="P372" i="11"/>
  <c r="AE371" i="11"/>
  <c r="Z371" i="11"/>
  <c r="M371" i="11"/>
  <c r="L371" i="11"/>
  <c r="K371" i="11"/>
  <c r="J371" i="11"/>
  <c r="I371" i="11"/>
  <c r="O371" i="11" s="1"/>
  <c r="Q371" i="11" s="1"/>
  <c r="H371" i="11"/>
  <c r="N371" i="11" s="1"/>
  <c r="P371" i="11" s="1"/>
  <c r="O370" i="11"/>
  <c r="Q370" i="11" s="1"/>
  <c r="N370" i="11"/>
  <c r="P370" i="11" s="1"/>
  <c r="O369" i="11"/>
  <c r="Q369" i="11" s="1"/>
  <c r="N369" i="11"/>
  <c r="P369" i="11" s="1"/>
  <c r="O368" i="11"/>
  <c r="Q368" i="11" s="1"/>
  <c r="N368" i="11"/>
  <c r="P368" i="11" s="1"/>
  <c r="AH367" i="11"/>
  <c r="AH371" i="11" s="1"/>
  <c r="AG367" i="11"/>
  <c r="AG371" i="11" s="1"/>
  <c r="AF367" i="11"/>
  <c r="AF371" i="11" s="1"/>
  <c r="AE367" i="11"/>
  <c r="AD367" i="11"/>
  <c r="AD371" i="11" s="1"/>
  <c r="AC367" i="11"/>
  <c r="AC371" i="11" s="1"/>
  <c r="AB367" i="11"/>
  <c r="AB371" i="11" s="1"/>
  <c r="O367" i="11"/>
  <c r="Q367" i="11" s="1"/>
  <c r="N367" i="11"/>
  <c r="P367" i="11" s="1"/>
  <c r="O366" i="11"/>
  <c r="Q366" i="11" s="1"/>
  <c r="N366" i="11"/>
  <c r="P366" i="11" s="1"/>
  <c r="O362" i="11"/>
  <c r="Q362" i="11" s="1"/>
  <c r="N362" i="11"/>
  <c r="P362" i="11" s="1"/>
  <c r="AH361" i="11"/>
  <c r="AG361" i="11"/>
  <c r="AF361" i="11"/>
  <c r="AF363" i="11" s="1"/>
  <c r="AE361" i="11"/>
  <c r="AE363" i="11" s="1"/>
  <c r="AD361" i="11"/>
  <c r="AD363" i="11" s="1"/>
  <c r="AC361" i="11"/>
  <c r="AC363" i="11" s="1"/>
  <c r="AB361" i="11"/>
  <c r="Z361" i="11"/>
  <c r="M361" i="11"/>
  <c r="L361" i="11"/>
  <c r="K361" i="11"/>
  <c r="J361" i="11"/>
  <c r="I361" i="11"/>
  <c r="H361" i="11"/>
  <c r="O360" i="11"/>
  <c r="Q360" i="11" s="1"/>
  <c r="N360" i="11"/>
  <c r="P360" i="11" s="1"/>
  <c r="O359" i="11"/>
  <c r="Q359" i="11" s="1"/>
  <c r="N359" i="11"/>
  <c r="P359" i="11" s="1"/>
  <c r="O357" i="11"/>
  <c r="Q357" i="11" s="1"/>
  <c r="N357" i="11"/>
  <c r="P357" i="11" s="1"/>
  <c r="O356" i="11"/>
  <c r="Q356" i="11" s="1"/>
  <c r="N356" i="11"/>
  <c r="P356" i="11" s="1"/>
  <c r="O355" i="11"/>
  <c r="Q355" i="11" s="1"/>
  <c r="N355" i="11"/>
  <c r="P355" i="11" s="1"/>
  <c r="O354" i="11"/>
  <c r="Q354" i="11" s="1"/>
  <c r="N354" i="11"/>
  <c r="P354" i="11" s="1"/>
  <c r="O353" i="11"/>
  <c r="Q353" i="11" s="1"/>
  <c r="N353" i="11"/>
  <c r="P353" i="11" s="1"/>
  <c r="O352" i="11"/>
  <c r="Q352" i="11" s="1"/>
  <c r="N352" i="11"/>
  <c r="P352" i="11" s="1"/>
  <c r="O351" i="11"/>
  <c r="Q351" i="11" s="1"/>
  <c r="N351" i="11"/>
  <c r="P351" i="11" s="1"/>
  <c r="AH350" i="11"/>
  <c r="AG350" i="11"/>
  <c r="O350" i="11"/>
  <c r="Q350" i="11" s="1"/>
  <c r="N350" i="11"/>
  <c r="P350" i="11" s="1"/>
  <c r="O349" i="11"/>
  <c r="Q349" i="11" s="1"/>
  <c r="N349" i="11"/>
  <c r="P349" i="11" s="1"/>
  <c r="O348" i="11"/>
  <c r="Q348" i="11" s="1"/>
  <c r="N348" i="11"/>
  <c r="P348" i="11" s="1"/>
  <c r="O347" i="11"/>
  <c r="Q347" i="11" s="1"/>
  <c r="N347" i="11"/>
  <c r="P347" i="11" s="1"/>
  <c r="O346" i="11"/>
  <c r="Q346" i="11" s="1"/>
  <c r="N346" i="11"/>
  <c r="P346" i="11" s="1"/>
  <c r="Q345" i="11"/>
  <c r="N345" i="11"/>
  <c r="P345" i="11" s="1"/>
  <c r="O344" i="11"/>
  <c r="Q344" i="11" s="1"/>
  <c r="N344" i="11"/>
  <c r="P344" i="11" s="1"/>
  <c r="O343" i="11"/>
  <c r="Q343" i="11" s="1"/>
  <c r="N343" i="11"/>
  <c r="P343" i="11" s="1"/>
  <c r="AH342" i="11"/>
  <c r="AG342" i="11"/>
  <c r="AF342" i="11"/>
  <c r="AE342" i="11"/>
  <c r="AD342" i="11"/>
  <c r="AC342" i="11"/>
  <c r="AB342" i="11"/>
  <c r="Z342" i="11"/>
  <c r="M342" i="11"/>
  <c r="L342" i="11"/>
  <c r="K342" i="11"/>
  <c r="K363" i="11" s="1"/>
  <c r="J342" i="11"/>
  <c r="J363" i="11" s="1"/>
  <c r="I342" i="11"/>
  <c r="H342" i="11"/>
  <c r="H363" i="11" s="1"/>
  <c r="O341" i="11"/>
  <c r="Q341" i="11" s="1"/>
  <c r="N341" i="11"/>
  <c r="P341" i="11" s="1"/>
  <c r="O339" i="11"/>
  <c r="Q339" i="11" s="1"/>
  <c r="N339" i="11"/>
  <c r="P339" i="11" s="1"/>
  <c r="Q338" i="11"/>
  <c r="N338" i="11"/>
  <c r="P338" i="11" s="1"/>
  <c r="O337" i="11"/>
  <c r="Q337" i="11" s="1"/>
  <c r="N337" i="11"/>
  <c r="P337" i="11" s="1"/>
  <c r="Q336" i="11"/>
  <c r="N336" i="11"/>
  <c r="P336" i="11" s="1"/>
  <c r="O332" i="11"/>
  <c r="Q332" i="11" s="1"/>
  <c r="N332" i="11"/>
  <c r="P332" i="11" s="1"/>
  <c r="AH331" i="11"/>
  <c r="AG331" i="11"/>
  <c r="AF331" i="11"/>
  <c r="AE331" i="11"/>
  <c r="AD331" i="11"/>
  <c r="AC331" i="11"/>
  <c r="AB331" i="11"/>
  <c r="Z331" i="11"/>
  <c r="M331" i="11"/>
  <c r="L331" i="11"/>
  <c r="K331" i="11"/>
  <c r="J331" i="11"/>
  <c r="I331" i="11"/>
  <c r="H331" i="11"/>
  <c r="O330" i="11"/>
  <c r="Q330" i="11" s="1"/>
  <c r="N330" i="11"/>
  <c r="P330" i="11" s="1"/>
  <c r="AH328" i="11"/>
  <c r="AG328" i="11"/>
  <c r="AF328" i="11"/>
  <c r="AE328" i="11"/>
  <c r="AD328" i="11"/>
  <c r="AC328" i="11"/>
  <c r="AB328" i="11"/>
  <c r="Z328" i="11"/>
  <c r="M328" i="11"/>
  <c r="L328" i="11"/>
  <c r="K328" i="11"/>
  <c r="J328" i="11"/>
  <c r="I328" i="11"/>
  <c r="H328" i="11"/>
  <c r="O326" i="11"/>
  <c r="Q326" i="11" s="1"/>
  <c r="N326" i="11"/>
  <c r="P326" i="11" s="1"/>
  <c r="O325" i="11"/>
  <c r="Q325" i="11" s="1"/>
  <c r="N325" i="11"/>
  <c r="P325" i="11" s="1"/>
  <c r="O324" i="11"/>
  <c r="Q324" i="11" s="1"/>
  <c r="N324" i="11"/>
  <c r="P324" i="11" s="1"/>
  <c r="O323" i="11"/>
  <c r="Q323" i="11" s="1"/>
  <c r="N323" i="11"/>
  <c r="P323" i="11" s="1"/>
  <c r="O322" i="11"/>
  <c r="Q322" i="11" s="1"/>
  <c r="N322" i="11"/>
  <c r="P322" i="11" s="1"/>
  <c r="O321" i="11"/>
  <c r="Q321" i="11" s="1"/>
  <c r="N321" i="11"/>
  <c r="P321" i="11" s="1"/>
  <c r="AH319" i="11"/>
  <c r="AG319" i="11"/>
  <c r="AF319" i="11"/>
  <c r="AE319" i="11"/>
  <c r="AD319" i="11"/>
  <c r="AC319" i="11"/>
  <c r="AB319" i="11"/>
  <c r="Z319" i="11"/>
  <c r="M319" i="11"/>
  <c r="L319" i="11"/>
  <c r="K319" i="11"/>
  <c r="O319" i="11" s="1"/>
  <c r="Q319" i="11" s="1"/>
  <c r="J319" i="11"/>
  <c r="I319" i="11"/>
  <c r="H319" i="11"/>
  <c r="O318" i="11"/>
  <c r="Q318" i="11" s="1"/>
  <c r="N318" i="11"/>
  <c r="P318" i="11" s="1"/>
  <c r="O317" i="11"/>
  <c r="Q317" i="11" s="1"/>
  <c r="N317" i="11"/>
  <c r="P317" i="11" s="1"/>
  <c r="O316" i="11"/>
  <c r="Q316" i="11" s="1"/>
  <c r="N316" i="11"/>
  <c r="P316" i="11" s="1"/>
  <c r="O315" i="11"/>
  <c r="Q315" i="11" s="1"/>
  <c r="N315" i="11"/>
  <c r="P315" i="11" s="1"/>
  <c r="O314" i="11"/>
  <c r="Q314" i="11" s="1"/>
  <c r="N314" i="11"/>
  <c r="P314" i="11" s="1"/>
  <c r="O313" i="11"/>
  <c r="Q313" i="11" s="1"/>
  <c r="N313" i="11"/>
  <c r="P313" i="11" s="1"/>
  <c r="O312" i="11"/>
  <c r="Q312" i="11" s="1"/>
  <c r="N312" i="11"/>
  <c r="P312" i="11" s="1"/>
  <c r="O311" i="11"/>
  <c r="Q311" i="11" s="1"/>
  <c r="N311" i="11"/>
  <c r="P311" i="11" s="1"/>
  <c r="O310" i="11"/>
  <c r="Q310" i="11" s="1"/>
  <c r="N310" i="11"/>
  <c r="P310" i="11" s="1"/>
  <c r="O309" i="11"/>
  <c r="Q309" i="11" s="1"/>
  <c r="N309" i="11"/>
  <c r="P309" i="11" s="1"/>
  <c r="AH307" i="11"/>
  <c r="AG307" i="11"/>
  <c r="AF307" i="11"/>
  <c r="AE307" i="11"/>
  <c r="AD307" i="11"/>
  <c r="AC307" i="11"/>
  <c r="AB307" i="11"/>
  <c r="Z307" i="11"/>
  <c r="M307" i="11"/>
  <c r="L307" i="11"/>
  <c r="K307" i="11"/>
  <c r="O307" i="11" s="1"/>
  <c r="Q307" i="11" s="1"/>
  <c r="J307" i="11"/>
  <c r="N307" i="11" s="1"/>
  <c r="P307" i="11" s="1"/>
  <c r="I307" i="11"/>
  <c r="H307" i="11"/>
  <c r="O306" i="11"/>
  <c r="Q306" i="11" s="1"/>
  <c r="N306" i="11"/>
  <c r="P306" i="11" s="1"/>
  <c r="O305" i="11"/>
  <c r="Q305" i="11" s="1"/>
  <c r="N305" i="11"/>
  <c r="P305" i="11" s="1"/>
  <c r="O304" i="11"/>
  <c r="Q304" i="11" s="1"/>
  <c r="N304" i="11"/>
  <c r="P304" i="11" s="1"/>
  <c r="O303" i="11"/>
  <c r="Q303" i="11" s="1"/>
  <c r="N303" i="11"/>
  <c r="P303" i="11" s="1"/>
  <c r="AH301" i="11"/>
  <c r="AG301" i="11"/>
  <c r="AF301" i="11"/>
  <c r="AE301" i="11"/>
  <c r="AD301" i="11"/>
  <c r="AC301" i="11"/>
  <c r="AB301" i="11"/>
  <c r="Z301" i="11"/>
  <c r="M301" i="11"/>
  <c r="L301" i="11"/>
  <c r="K301" i="11"/>
  <c r="J301" i="11"/>
  <c r="I301" i="11"/>
  <c r="H301" i="11"/>
  <c r="O300" i="11"/>
  <c r="Q300" i="11" s="1"/>
  <c r="N300" i="11"/>
  <c r="P300" i="11" s="1"/>
  <c r="O299" i="11"/>
  <c r="Q299" i="11" s="1"/>
  <c r="N299" i="11"/>
  <c r="P299" i="11" s="1"/>
  <c r="O298" i="11"/>
  <c r="Q298" i="11" s="1"/>
  <c r="N298" i="11"/>
  <c r="P298" i="11" s="1"/>
  <c r="O297" i="11"/>
  <c r="Q297" i="11" s="1"/>
  <c r="N297" i="11"/>
  <c r="P297" i="11" s="1"/>
  <c r="O296" i="11"/>
  <c r="Q296" i="11" s="1"/>
  <c r="N296" i="11"/>
  <c r="P296" i="11" s="1"/>
  <c r="O295" i="11"/>
  <c r="Q295" i="11" s="1"/>
  <c r="N295" i="11"/>
  <c r="P295" i="11" s="1"/>
  <c r="O294" i="11"/>
  <c r="Q294" i="11" s="1"/>
  <c r="N294" i="11"/>
  <c r="P294" i="11" s="1"/>
  <c r="O293" i="11"/>
  <c r="Q293" i="11" s="1"/>
  <c r="N293" i="11"/>
  <c r="P293" i="11" s="1"/>
  <c r="O292" i="11"/>
  <c r="Q292" i="11" s="1"/>
  <c r="N292" i="11"/>
  <c r="P292" i="11" s="1"/>
  <c r="O291" i="11"/>
  <c r="Q291" i="11" s="1"/>
  <c r="N291" i="11"/>
  <c r="P291" i="11" s="1"/>
  <c r="P290" i="11"/>
  <c r="O290" i="11"/>
  <c r="Q290" i="11" s="1"/>
  <c r="N290" i="11"/>
  <c r="AH288" i="11"/>
  <c r="AG288" i="11"/>
  <c r="AF288" i="11"/>
  <c r="AE288" i="11"/>
  <c r="AD288" i="11"/>
  <c r="AC288" i="11"/>
  <c r="AB288" i="11"/>
  <c r="Z288" i="11"/>
  <c r="M288" i="11"/>
  <c r="L288" i="11"/>
  <c r="K288" i="11"/>
  <c r="J288" i="11"/>
  <c r="I288" i="11"/>
  <c r="H288" i="11"/>
  <c r="N288" i="11" s="1"/>
  <c r="P288" i="11" s="1"/>
  <c r="O287" i="11"/>
  <c r="Q287" i="11" s="1"/>
  <c r="N287" i="11"/>
  <c r="P287" i="11" s="1"/>
  <c r="O286" i="11"/>
  <c r="Q286" i="11" s="1"/>
  <c r="N286" i="11"/>
  <c r="P286" i="11" s="1"/>
  <c r="O285" i="11"/>
  <c r="Q285" i="11" s="1"/>
  <c r="N285" i="11"/>
  <c r="P285" i="11" s="1"/>
  <c r="O284" i="11"/>
  <c r="Q284" i="11" s="1"/>
  <c r="N284" i="11"/>
  <c r="P284" i="11" s="1"/>
  <c r="O283" i="11"/>
  <c r="Q283" i="11" s="1"/>
  <c r="N283" i="11"/>
  <c r="P283" i="11" s="1"/>
  <c r="O282" i="11"/>
  <c r="Q282" i="11" s="1"/>
  <c r="N282" i="11"/>
  <c r="P282" i="11" s="1"/>
  <c r="Q281" i="11"/>
  <c r="P281" i="11"/>
  <c r="AH280" i="11"/>
  <c r="AG280" i="11"/>
  <c r="AF280" i="11"/>
  <c r="AE280" i="11"/>
  <c r="AD280" i="11"/>
  <c r="AC280" i="11"/>
  <c r="AB280" i="11"/>
  <c r="Z280" i="11"/>
  <c r="M280" i="11"/>
  <c r="L280" i="11"/>
  <c r="K280" i="11"/>
  <c r="J280" i="11"/>
  <c r="I280" i="11"/>
  <c r="O280" i="11" s="1"/>
  <c r="Q280" i="11" s="1"/>
  <c r="H280" i="11"/>
  <c r="O279" i="11"/>
  <c r="Q279" i="11" s="1"/>
  <c r="N279" i="11"/>
  <c r="P279" i="11" s="1"/>
  <c r="O278" i="11"/>
  <c r="Q278" i="11" s="1"/>
  <c r="N278" i="11"/>
  <c r="P278" i="11" s="1"/>
  <c r="O277" i="11"/>
  <c r="Q277" i="11" s="1"/>
  <c r="N277" i="11"/>
  <c r="P277" i="11" s="1"/>
  <c r="O276" i="11"/>
  <c r="Q276" i="11" s="1"/>
  <c r="N276" i="11"/>
  <c r="P276" i="11" s="1"/>
  <c r="O275" i="11"/>
  <c r="Q275" i="11" s="1"/>
  <c r="N275" i="11"/>
  <c r="P275" i="11" s="1"/>
  <c r="O274" i="11"/>
  <c r="Q274" i="11" s="1"/>
  <c r="N274" i="11"/>
  <c r="P274" i="11" s="1"/>
  <c r="P273" i="11"/>
  <c r="O273" i="11"/>
  <c r="Q273" i="11" s="1"/>
  <c r="N273" i="11"/>
  <c r="O272" i="11"/>
  <c r="Q272" i="11" s="1"/>
  <c r="N272" i="11"/>
  <c r="P272" i="11" s="1"/>
  <c r="O271" i="11"/>
  <c r="Q271" i="11" s="1"/>
  <c r="N271" i="11"/>
  <c r="P271" i="11" s="1"/>
  <c r="O270" i="11"/>
  <c r="Q270" i="11" s="1"/>
  <c r="N270" i="11"/>
  <c r="P270" i="11" s="1"/>
  <c r="O269" i="11"/>
  <c r="Q269" i="11" s="1"/>
  <c r="N269" i="11"/>
  <c r="P269" i="11" s="1"/>
  <c r="O268" i="11"/>
  <c r="Q268" i="11" s="1"/>
  <c r="N268" i="11"/>
  <c r="P268" i="11" s="1"/>
  <c r="O267" i="11"/>
  <c r="Q267" i="11" s="1"/>
  <c r="N267" i="11"/>
  <c r="P267" i="11" s="1"/>
  <c r="O266" i="11"/>
  <c r="Q266" i="11" s="1"/>
  <c r="N266" i="11"/>
  <c r="P266" i="11" s="1"/>
  <c r="O265" i="11"/>
  <c r="Q265" i="11" s="1"/>
  <c r="N265" i="11"/>
  <c r="P265" i="11" s="1"/>
  <c r="AH263" i="11"/>
  <c r="AG263" i="11"/>
  <c r="AF263" i="11"/>
  <c r="AE263" i="11"/>
  <c r="AD263" i="11"/>
  <c r="AC263" i="11"/>
  <c r="AB263" i="11"/>
  <c r="Z263" i="11"/>
  <c r="M263" i="11"/>
  <c r="L263" i="11"/>
  <c r="K263" i="11"/>
  <c r="J263" i="11"/>
  <c r="I263" i="11"/>
  <c r="H263" i="11"/>
  <c r="O262" i="11"/>
  <c r="Q262" i="11" s="1"/>
  <c r="N262" i="11"/>
  <c r="P262" i="11" s="1"/>
  <c r="O261" i="11"/>
  <c r="Q261" i="11" s="1"/>
  <c r="N261" i="11"/>
  <c r="P261" i="11" s="1"/>
  <c r="O260" i="11"/>
  <c r="Q260" i="11" s="1"/>
  <c r="N260" i="11"/>
  <c r="P260" i="11" s="1"/>
  <c r="O259" i="11"/>
  <c r="Q259" i="11" s="1"/>
  <c r="N259" i="11"/>
  <c r="P259" i="11" s="1"/>
  <c r="Q258" i="11"/>
  <c r="P258" i="11"/>
  <c r="AH257" i="11"/>
  <c r="AG257" i="11"/>
  <c r="AF257" i="11"/>
  <c r="AE257" i="11"/>
  <c r="AD257" i="11"/>
  <c r="AC257" i="11"/>
  <c r="AB257" i="11"/>
  <c r="Z257" i="11"/>
  <c r="M257" i="11"/>
  <c r="L257" i="11"/>
  <c r="K257" i="11"/>
  <c r="J257" i="11"/>
  <c r="I257" i="11"/>
  <c r="H257" i="11"/>
  <c r="O256" i="11"/>
  <c r="Q256" i="11" s="1"/>
  <c r="N256" i="11"/>
  <c r="P256" i="11" s="1"/>
  <c r="O255" i="11"/>
  <c r="Q255" i="11" s="1"/>
  <c r="N255" i="11"/>
  <c r="P255" i="11" s="1"/>
  <c r="Q254" i="11"/>
  <c r="N254" i="11"/>
  <c r="P254" i="11" s="1"/>
  <c r="O253" i="11"/>
  <c r="Q253" i="11" s="1"/>
  <c r="N253" i="11"/>
  <c r="P253" i="11" s="1"/>
  <c r="O252" i="11"/>
  <c r="Q252" i="11" s="1"/>
  <c r="N252" i="11"/>
  <c r="P252" i="11" s="1"/>
  <c r="O251" i="11"/>
  <c r="Q251" i="11" s="1"/>
  <c r="N251" i="11"/>
  <c r="P251" i="11" s="1"/>
  <c r="Q250" i="11"/>
  <c r="P250" i="11"/>
  <c r="N250" i="11"/>
  <c r="O249" i="11"/>
  <c r="Q249" i="11" s="1"/>
  <c r="N249" i="11"/>
  <c r="P249" i="11" s="1"/>
  <c r="O248" i="11"/>
  <c r="Q248" i="11" s="1"/>
  <c r="N248" i="11"/>
  <c r="P248" i="11" s="1"/>
  <c r="O247" i="11"/>
  <c r="Q247" i="11" s="1"/>
  <c r="N247" i="11"/>
  <c r="P247" i="11" s="1"/>
  <c r="O246" i="11"/>
  <c r="Q246" i="11" s="1"/>
  <c r="N246" i="11"/>
  <c r="P246" i="11" s="1"/>
  <c r="O245" i="11"/>
  <c r="Q245" i="11" s="1"/>
  <c r="N245" i="11"/>
  <c r="P245" i="11" s="1"/>
  <c r="Q244" i="11"/>
  <c r="N244" i="11"/>
  <c r="P244" i="11" s="1"/>
  <c r="O243" i="11"/>
  <c r="Q243" i="11" s="1"/>
  <c r="N243" i="11"/>
  <c r="P243" i="11" s="1"/>
  <c r="O242" i="11"/>
  <c r="Q242" i="11" s="1"/>
  <c r="N242" i="11"/>
  <c r="P242" i="11" s="1"/>
  <c r="O241" i="11"/>
  <c r="Q241" i="11" s="1"/>
  <c r="N241" i="11"/>
  <c r="P241" i="11" s="1"/>
  <c r="O240" i="11"/>
  <c r="Q240" i="11" s="1"/>
  <c r="N240" i="11"/>
  <c r="P240" i="11" s="1"/>
  <c r="O239" i="11"/>
  <c r="Q239" i="11" s="1"/>
  <c r="N239" i="11"/>
  <c r="P239" i="11" s="1"/>
  <c r="O238" i="11"/>
  <c r="Q238" i="11" s="1"/>
  <c r="N238" i="11"/>
  <c r="P238" i="11" s="1"/>
  <c r="O237" i="11"/>
  <c r="Q237" i="11" s="1"/>
  <c r="N237" i="11"/>
  <c r="P237" i="11" s="1"/>
  <c r="O236" i="11"/>
  <c r="Q236" i="11" s="1"/>
  <c r="N236" i="11"/>
  <c r="P236" i="11" s="1"/>
  <c r="AH234" i="11"/>
  <c r="AG234" i="11"/>
  <c r="AF234" i="11"/>
  <c r="AE234" i="11"/>
  <c r="AE333" i="11" s="1"/>
  <c r="AE364" i="11" s="1"/>
  <c r="AD234" i="11"/>
  <c r="AD333" i="11" s="1"/>
  <c r="AD364" i="11" s="1"/>
  <c r="AC234" i="11"/>
  <c r="AB234" i="11"/>
  <c r="Z234" i="11"/>
  <c r="M234" i="11"/>
  <c r="L234" i="11"/>
  <c r="K234" i="11"/>
  <c r="J234" i="11"/>
  <c r="I234" i="11"/>
  <c r="H234" i="11"/>
  <c r="O233" i="11"/>
  <c r="Q233" i="11" s="1"/>
  <c r="N233" i="11"/>
  <c r="P233" i="11" s="1"/>
  <c r="O232" i="11"/>
  <c r="Q232" i="11" s="1"/>
  <c r="N232" i="11"/>
  <c r="P232" i="11" s="1"/>
  <c r="O231" i="11"/>
  <c r="Q231" i="11" s="1"/>
  <c r="N231" i="11"/>
  <c r="P231" i="11" s="1"/>
  <c r="O230" i="11"/>
  <c r="Q230" i="11" s="1"/>
  <c r="N230" i="11"/>
  <c r="P230" i="11" s="1"/>
  <c r="Q229" i="11"/>
  <c r="P229" i="11"/>
  <c r="O228" i="11"/>
  <c r="Q228" i="11" s="1"/>
  <c r="N228" i="11"/>
  <c r="P228" i="11" s="1"/>
  <c r="AH227" i="11"/>
  <c r="AG227" i="11"/>
  <c r="AF227" i="11"/>
  <c r="AE227" i="11"/>
  <c r="AD227" i="11"/>
  <c r="AC227" i="11"/>
  <c r="AB227" i="11"/>
  <c r="AB225" i="11"/>
  <c r="Z225" i="11"/>
  <c r="M225" i="11"/>
  <c r="L225" i="11"/>
  <c r="K225" i="11"/>
  <c r="J225" i="11"/>
  <c r="I225" i="11"/>
  <c r="H225" i="11"/>
  <c r="O224" i="11"/>
  <c r="Q224" i="11" s="1"/>
  <c r="N224" i="11"/>
  <c r="P224" i="11" s="1"/>
  <c r="AH223" i="11"/>
  <c r="AH225" i="11" s="1"/>
  <c r="AG223" i="11"/>
  <c r="AG225" i="11" s="1"/>
  <c r="AF223" i="11"/>
  <c r="AF225" i="11" s="1"/>
  <c r="AE223" i="11"/>
  <c r="AE225" i="11" s="1"/>
  <c r="AD223" i="11"/>
  <c r="AD225" i="11" s="1"/>
  <c r="AC223" i="11"/>
  <c r="AC225" i="11" s="1"/>
  <c r="AB223" i="11"/>
  <c r="O223" i="11"/>
  <c r="Q223" i="11" s="1"/>
  <c r="N223" i="11"/>
  <c r="P223" i="11" s="1"/>
  <c r="AD219" i="11"/>
  <c r="AC219" i="11"/>
  <c r="AB219" i="11"/>
  <c r="K219" i="11"/>
  <c r="AH218" i="11"/>
  <c r="AG218" i="11"/>
  <c r="Q218" i="11"/>
  <c r="L218" i="11"/>
  <c r="J218" i="11"/>
  <c r="J219" i="11" s="1"/>
  <c r="H218" i="11"/>
  <c r="Q217" i="11"/>
  <c r="N217" i="11"/>
  <c r="P217" i="11" s="1"/>
  <c r="AH215" i="11"/>
  <c r="AH219" i="11" s="1"/>
  <c r="AG215" i="11"/>
  <c r="AK424" i="11" s="1"/>
  <c r="AF215" i="11"/>
  <c r="AF219" i="11" s="1"/>
  <c r="AE215" i="11"/>
  <c r="AE219" i="11" s="1"/>
  <c r="AD215" i="11"/>
  <c r="AC215" i="11"/>
  <c r="AB215" i="11"/>
  <c r="Z215" i="11"/>
  <c r="Z219" i="11" s="1"/>
  <c r="M215" i="11"/>
  <c r="M219" i="11" s="1"/>
  <c r="L215" i="11"/>
  <c r="L219" i="11" s="1"/>
  <c r="K215" i="11"/>
  <c r="J215" i="11"/>
  <c r="I215" i="11"/>
  <c r="O215" i="11" s="1"/>
  <c r="Q215" i="11" s="1"/>
  <c r="H215" i="11"/>
  <c r="Q214" i="11"/>
  <c r="O214" i="11"/>
  <c r="N214" i="11"/>
  <c r="P214" i="11" s="1"/>
  <c r="O213" i="11"/>
  <c r="Q213" i="11" s="1"/>
  <c r="N213" i="11"/>
  <c r="P213" i="11" s="1"/>
  <c r="Q212" i="11"/>
  <c r="N212" i="11"/>
  <c r="P212" i="11" s="1"/>
  <c r="O211" i="11"/>
  <c r="Q211" i="11" s="1"/>
  <c r="N211" i="11"/>
  <c r="P211" i="11" s="1"/>
  <c r="O210" i="11"/>
  <c r="Q210" i="11" s="1"/>
  <c r="N210" i="11"/>
  <c r="P210" i="11" s="1"/>
  <c r="AH207" i="11"/>
  <c r="AG207" i="11"/>
  <c r="AF207" i="11"/>
  <c r="AE207" i="11"/>
  <c r="AD207" i="11"/>
  <c r="AC207" i="11"/>
  <c r="AB207" i="11"/>
  <c r="Z207" i="11"/>
  <c r="M207" i="11"/>
  <c r="L207" i="11"/>
  <c r="K207" i="11"/>
  <c r="J207" i="11"/>
  <c r="I207" i="11"/>
  <c r="H207" i="11"/>
  <c r="O206" i="11"/>
  <c r="Q206" i="11" s="1"/>
  <c r="N206" i="11"/>
  <c r="P206" i="11" s="1"/>
  <c r="O205" i="11"/>
  <c r="Q205" i="11" s="1"/>
  <c r="N205" i="11"/>
  <c r="P205" i="11" s="1"/>
  <c r="Q204" i="11"/>
  <c r="N204" i="11"/>
  <c r="P204" i="11" s="1"/>
  <c r="O203" i="11"/>
  <c r="Q203" i="11" s="1"/>
  <c r="N203" i="11"/>
  <c r="P203" i="11" s="1"/>
  <c r="AH201" i="11"/>
  <c r="AG201" i="11"/>
  <c r="AF201" i="11"/>
  <c r="AE201" i="11"/>
  <c r="AD201" i="11"/>
  <c r="AC201" i="11"/>
  <c r="AB201" i="11"/>
  <c r="Z201" i="11"/>
  <c r="M201" i="11"/>
  <c r="L201" i="11"/>
  <c r="K201" i="11"/>
  <c r="J201" i="11"/>
  <c r="N201" i="11" s="1"/>
  <c r="P201" i="11" s="1"/>
  <c r="I201" i="11"/>
  <c r="O201" i="11" s="1"/>
  <c r="Q201" i="11" s="1"/>
  <c r="H201" i="11"/>
  <c r="O200" i="11"/>
  <c r="Q200" i="11" s="1"/>
  <c r="N200" i="11"/>
  <c r="P200" i="11" s="1"/>
  <c r="Z198" i="11"/>
  <c r="M198" i="11"/>
  <c r="L198" i="11"/>
  <c r="K198" i="11"/>
  <c r="J198" i="11"/>
  <c r="I198" i="11"/>
  <c r="H198" i="11"/>
  <c r="N198" i="11" s="1"/>
  <c r="P198" i="11" s="1"/>
  <c r="O197" i="11"/>
  <c r="Q197" i="11" s="1"/>
  <c r="N197" i="11"/>
  <c r="P197" i="11" s="1"/>
  <c r="AH196" i="11"/>
  <c r="AG196" i="11"/>
  <c r="AF196" i="11"/>
  <c r="AE196" i="11"/>
  <c r="AD196" i="11"/>
  <c r="AC196" i="11"/>
  <c r="AB196" i="11"/>
  <c r="O196" i="11"/>
  <c r="Q196" i="11" s="1"/>
  <c r="N196" i="11"/>
  <c r="P196" i="11" s="1"/>
  <c r="AH195" i="11"/>
  <c r="AG195" i="11"/>
  <c r="AF195" i="11"/>
  <c r="AE195" i="11"/>
  <c r="AD195" i="11"/>
  <c r="AC195" i="11"/>
  <c r="AB195" i="11"/>
  <c r="O195" i="11"/>
  <c r="Q195" i="11" s="1"/>
  <c r="N195" i="11"/>
  <c r="P195" i="11" s="1"/>
  <c r="O194" i="11"/>
  <c r="Q194" i="11" s="1"/>
  <c r="N194" i="11"/>
  <c r="P194" i="11" s="1"/>
  <c r="AH193" i="11"/>
  <c r="AG193" i="11"/>
  <c r="AF193" i="11"/>
  <c r="AE193" i="11"/>
  <c r="AD193" i="11"/>
  <c r="AC193" i="11"/>
  <c r="AB193" i="11"/>
  <c r="O193" i="11"/>
  <c r="Q193" i="11" s="1"/>
  <c r="N193" i="11"/>
  <c r="P193" i="11" s="1"/>
  <c r="AH191" i="11"/>
  <c r="AG191" i="11"/>
  <c r="AF191" i="11"/>
  <c r="AE191" i="11"/>
  <c r="AD191" i="11"/>
  <c r="AC191" i="11"/>
  <c r="AB191" i="11"/>
  <c r="Z191" i="11"/>
  <c r="M191" i="11"/>
  <c r="L191" i="11"/>
  <c r="K191" i="11"/>
  <c r="J191" i="11"/>
  <c r="I191" i="11"/>
  <c r="O191" i="11" s="1"/>
  <c r="Q191" i="11" s="1"/>
  <c r="H191" i="11"/>
  <c r="N191" i="11" s="1"/>
  <c r="P191" i="11" s="1"/>
  <c r="O190" i="11"/>
  <c r="Q190" i="11" s="1"/>
  <c r="N190" i="11"/>
  <c r="P190" i="11" s="1"/>
  <c r="Q189" i="11"/>
  <c r="P189" i="11"/>
  <c r="Z188" i="11"/>
  <c r="M188" i="11"/>
  <c r="L188" i="11"/>
  <c r="K188" i="11"/>
  <c r="J188" i="11"/>
  <c r="I188" i="11"/>
  <c r="H188" i="11"/>
  <c r="O187" i="11"/>
  <c r="Q187" i="11" s="1"/>
  <c r="N187" i="11"/>
  <c r="P187" i="11" s="1"/>
  <c r="O186" i="11"/>
  <c r="Q186" i="11" s="1"/>
  <c r="N186" i="11"/>
  <c r="P186" i="11" s="1"/>
  <c r="AP185" i="11"/>
  <c r="AH185" i="11"/>
  <c r="AH188" i="11" s="1"/>
  <c r="AG185" i="11"/>
  <c r="AG188" i="11" s="1"/>
  <c r="AF185" i="11"/>
  <c r="AF188" i="11" s="1"/>
  <c r="AE185" i="11"/>
  <c r="AE188" i="11" s="1"/>
  <c r="AD185" i="11"/>
  <c r="AD188" i="11" s="1"/>
  <c r="AC185" i="11"/>
  <c r="AC188" i="11" s="1"/>
  <c r="AB185" i="11"/>
  <c r="AB188" i="11" s="1"/>
  <c r="O185" i="11"/>
  <c r="Q185" i="11" s="1"/>
  <c r="N185" i="11"/>
  <c r="P185" i="11" s="1"/>
  <c r="AP184" i="11"/>
  <c r="Q184" i="11"/>
  <c r="P184" i="11"/>
  <c r="AN183" i="11"/>
  <c r="AQ186" i="11" s="1"/>
  <c r="Z182" i="11"/>
  <c r="M182" i="11"/>
  <c r="L182" i="11"/>
  <c r="K182" i="11"/>
  <c r="J182" i="11"/>
  <c r="I182" i="11"/>
  <c r="H182" i="11"/>
  <c r="O181" i="11"/>
  <c r="Q181" i="11" s="1"/>
  <c r="N181" i="11"/>
  <c r="P181" i="11" s="1"/>
  <c r="AN180" i="11"/>
  <c r="O180" i="11"/>
  <c r="Q180" i="11" s="1"/>
  <c r="N180" i="11"/>
  <c r="P180" i="11" s="1"/>
  <c r="AP179" i="11"/>
  <c r="O179" i="11"/>
  <c r="Q179" i="11" s="1"/>
  <c r="N179" i="11"/>
  <c r="P179" i="11" s="1"/>
  <c r="AP178" i="11"/>
  <c r="O178" i="11"/>
  <c r="Q178" i="11" s="1"/>
  <c r="N178" i="11"/>
  <c r="P178" i="11" s="1"/>
  <c r="AP177" i="11"/>
  <c r="O177" i="11"/>
  <c r="Q177" i="11" s="1"/>
  <c r="N177" i="11"/>
  <c r="P177" i="11" s="1"/>
  <c r="AP176" i="11"/>
  <c r="AH176" i="11"/>
  <c r="AG176" i="11"/>
  <c r="O176" i="11"/>
  <c r="Q176" i="11" s="1"/>
  <c r="N176" i="11"/>
  <c r="P176" i="11" s="1"/>
  <c r="AP175" i="11"/>
  <c r="O175" i="11"/>
  <c r="Q175" i="11" s="1"/>
  <c r="N175" i="11"/>
  <c r="P175" i="11" s="1"/>
  <c r="AP174" i="11"/>
  <c r="O174" i="11"/>
  <c r="Q174" i="11" s="1"/>
  <c r="N174" i="11"/>
  <c r="P174" i="11" s="1"/>
  <c r="AP173" i="11"/>
  <c r="AH173" i="11"/>
  <c r="AG173" i="11"/>
  <c r="AF173" i="11"/>
  <c r="AE173" i="11"/>
  <c r="AE182" i="11" s="1"/>
  <c r="AD173" i="11"/>
  <c r="AD182" i="11" s="1"/>
  <c r="AC173" i="11"/>
  <c r="AC182" i="11" s="1"/>
  <c r="AB173" i="11"/>
  <c r="AB182" i="11" s="1"/>
  <c r="O173" i="11"/>
  <c r="Q173" i="11" s="1"/>
  <c r="N173" i="11"/>
  <c r="P173" i="11" s="1"/>
  <c r="AP172" i="11"/>
  <c r="AH172" i="11"/>
  <c r="AG172" i="11"/>
  <c r="AF172" i="11"/>
  <c r="O172" i="11"/>
  <c r="Q172" i="11" s="1"/>
  <c r="N172" i="11"/>
  <c r="P172" i="11" s="1"/>
  <c r="Q171" i="11"/>
  <c r="P171" i="11"/>
  <c r="O169" i="11"/>
  <c r="Q169" i="11" s="1"/>
  <c r="N169" i="11"/>
  <c r="P169" i="11" s="1"/>
  <c r="AH168" i="11"/>
  <c r="AG168" i="11"/>
  <c r="AF168" i="11"/>
  <c r="AE168" i="11"/>
  <c r="AD168" i="11"/>
  <c r="AC168" i="11"/>
  <c r="AB168" i="11"/>
  <c r="Z168" i="11"/>
  <c r="M168" i="11"/>
  <c r="L168" i="11"/>
  <c r="K168" i="11"/>
  <c r="J168" i="11"/>
  <c r="N168" i="11" s="1"/>
  <c r="P168" i="11" s="1"/>
  <c r="I168" i="11"/>
  <c r="O168" i="11" s="1"/>
  <c r="Q168" i="11" s="1"/>
  <c r="H168" i="11"/>
  <c r="O167" i="11"/>
  <c r="Q167" i="11" s="1"/>
  <c r="N167" i="11"/>
  <c r="P167" i="11" s="1"/>
  <c r="O166" i="11"/>
  <c r="Q166" i="11" s="1"/>
  <c r="N166" i="11"/>
  <c r="P166" i="11" s="1"/>
  <c r="Q165" i="11"/>
  <c r="P165" i="11"/>
  <c r="AH164" i="11"/>
  <c r="AG164" i="11"/>
  <c r="AF164" i="11"/>
  <c r="AE164" i="11"/>
  <c r="AD164" i="11"/>
  <c r="AC164" i="11"/>
  <c r="AB164" i="11"/>
  <c r="Z164" i="11"/>
  <c r="M164" i="11"/>
  <c r="L164" i="11"/>
  <c r="K164" i="11"/>
  <c r="J164" i="11"/>
  <c r="I164" i="11"/>
  <c r="H164" i="11"/>
  <c r="N164" i="11" s="1"/>
  <c r="P164" i="11" s="1"/>
  <c r="O163" i="11"/>
  <c r="Q163" i="11" s="1"/>
  <c r="N163" i="11"/>
  <c r="P163" i="11" s="1"/>
  <c r="O162" i="11"/>
  <c r="Q162" i="11" s="1"/>
  <c r="N162" i="11"/>
  <c r="P162" i="11" s="1"/>
  <c r="O161" i="11"/>
  <c r="Q161" i="11" s="1"/>
  <c r="N161" i="11"/>
  <c r="P161" i="11" s="1"/>
  <c r="Q160" i="11"/>
  <c r="P160" i="11"/>
  <c r="AH159" i="11"/>
  <c r="AG159" i="11"/>
  <c r="AF159" i="11"/>
  <c r="AE159" i="11"/>
  <c r="AD159" i="11"/>
  <c r="AC159" i="11"/>
  <c r="AB159" i="11"/>
  <c r="Z159" i="11"/>
  <c r="M159" i="11"/>
  <c r="L159" i="11"/>
  <c r="K159" i="11"/>
  <c r="J159" i="11"/>
  <c r="I159" i="11"/>
  <c r="O159" i="11" s="1"/>
  <c r="Q159" i="11" s="1"/>
  <c r="H159" i="11"/>
  <c r="N159" i="11" s="1"/>
  <c r="P159" i="11" s="1"/>
  <c r="O158" i="11"/>
  <c r="Q158" i="11" s="1"/>
  <c r="N158" i="11"/>
  <c r="P158" i="11" s="1"/>
  <c r="Q157" i="11"/>
  <c r="P157" i="11"/>
  <c r="AH156" i="11"/>
  <c r="AG156" i="11"/>
  <c r="AF156" i="11"/>
  <c r="AE156" i="11"/>
  <c r="AD156" i="11"/>
  <c r="AC156" i="11"/>
  <c r="AB156" i="11"/>
  <c r="Z156" i="11"/>
  <c r="M156" i="11"/>
  <c r="L156" i="11"/>
  <c r="K156" i="11"/>
  <c r="J156" i="11"/>
  <c r="I156" i="11"/>
  <c r="O156" i="11" s="1"/>
  <c r="Q156" i="11" s="1"/>
  <c r="H156" i="11"/>
  <c r="O155" i="11"/>
  <c r="Q155" i="11" s="1"/>
  <c r="N155" i="11"/>
  <c r="P155" i="11" s="1"/>
  <c r="O154" i="11"/>
  <c r="Q154" i="11" s="1"/>
  <c r="N154" i="11"/>
  <c r="P154" i="11" s="1"/>
  <c r="O153" i="11"/>
  <c r="Q153" i="11" s="1"/>
  <c r="N153" i="11"/>
  <c r="P153" i="11" s="1"/>
  <c r="Q152" i="11"/>
  <c r="P152" i="11"/>
  <c r="AH151" i="11"/>
  <c r="AG151" i="11"/>
  <c r="AF151" i="11"/>
  <c r="AE151" i="11"/>
  <c r="AD151" i="11"/>
  <c r="AC151" i="11"/>
  <c r="AB151" i="11"/>
  <c r="Z151" i="11"/>
  <c r="M151" i="11"/>
  <c r="L151" i="11"/>
  <c r="K151" i="11"/>
  <c r="J151" i="11"/>
  <c r="I151" i="11"/>
  <c r="O151" i="11" s="1"/>
  <c r="Q151" i="11" s="1"/>
  <c r="H151" i="11"/>
  <c r="O150" i="11"/>
  <c r="Q150" i="11" s="1"/>
  <c r="N150" i="11"/>
  <c r="P150" i="11" s="1"/>
  <c r="O149" i="11"/>
  <c r="Q149" i="11" s="1"/>
  <c r="N149" i="11"/>
  <c r="P149" i="11" s="1"/>
  <c r="O148" i="11"/>
  <c r="Q148" i="11" s="1"/>
  <c r="N148" i="11"/>
  <c r="P148" i="11" s="1"/>
  <c r="O147" i="11"/>
  <c r="Q147" i="11" s="1"/>
  <c r="N147" i="11"/>
  <c r="P147" i="11" s="1"/>
  <c r="O146" i="11"/>
  <c r="Q146" i="11" s="1"/>
  <c r="N146" i="11"/>
  <c r="P146" i="11" s="1"/>
  <c r="Q145" i="11"/>
  <c r="P145" i="11"/>
  <c r="AE144" i="11"/>
  <c r="AD144" i="11"/>
  <c r="AC144" i="11"/>
  <c r="AB144" i="11"/>
  <c r="Z144" i="11"/>
  <c r="M144" i="11"/>
  <c r="L144" i="11"/>
  <c r="K144" i="11"/>
  <c r="J144" i="11"/>
  <c r="I144" i="11"/>
  <c r="O144" i="11" s="1"/>
  <c r="Q144" i="11" s="1"/>
  <c r="H144" i="11"/>
  <c r="N144" i="11" s="1"/>
  <c r="P144" i="11" s="1"/>
  <c r="AH143" i="11"/>
  <c r="AH144" i="11" s="1"/>
  <c r="AG143" i="11"/>
  <c r="AG144" i="11" s="1"/>
  <c r="AF143" i="11"/>
  <c r="AF144" i="11" s="1"/>
  <c r="O143" i="11"/>
  <c r="Q143" i="11" s="1"/>
  <c r="N143" i="11"/>
  <c r="P143" i="11" s="1"/>
  <c r="Q142" i="11"/>
  <c r="P142" i="11"/>
  <c r="AH141" i="11"/>
  <c r="AG141" i="11"/>
  <c r="AF141" i="11"/>
  <c r="AE141" i="11"/>
  <c r="AD141" i="11"/>
  <c r="AC141" i="11"/>
  <c r="AB141" i="11"/>
  <c r="Z141" i="11"/>
  <c r="M141" i="11"/>
  <c r="L141" i="11"/>
  <c r="K141" i="11"/>
  <c r="J141" i="11"/>
  <c r="I141" i="11"/>
  <c r="H141" i="11"/>
  <c r="O140" i="11"/>
  <c r="Q140" i="11" s="1"/>
  <c r="N140" i="11"/>
  <c r="P140" i="11" s="1"/>
  <c r="O139" i="11"/>
  <c r="Q139" i="11" s="1"/>
  <c r="N139" i="11"/>
  <c r="P139" i="11" s="1"/>
  <c r="O138" i="11"/>
  <c r="Q138" i="11" s="1"/>
  <c r="N138" i="11"/>
  <c r="P138" i="11" s="1"/>
  <c r="O137" i="11"/>
  <c r="Q137" i="11" s="1"/>
  <c r="N137" i="11"/>
  <c r="P137" i="11" s="1"/>
  <c r="Q136" i="11"/>
  <c r="P136" i="11"/>
  <c r="AH135" i="11"/>
  <c r="AG135" i="11"/>
  <c r="AF135" i="11"/>
  <c r="AE135" i="11"/>
  <c r="AD135" i="11"/>
  <c r="AC135" i="11"/>
  <c r="AB135" i="11"/>
  <c r="Z135" i="11"/>
  <c r="M135" i="11"/>
  <c r="L135" i="11"/>
  <c r="K135" i="11"/>
  <c r="J135" i="11"/>
  <c r="I135" i="11"/>
  <c r="O135" i="11" s="1"/>
  <c r="Q135" i="11" s="1"/>
  <c r="H135" i="11"/>
  <c r="O134" i="11"/>
  <c r="Q134" i="11" s="1"/>
  <c r="N134" i="11"/>
  <c r="P134" i="11" s="1"/>
  <c r="O133" i="11"/>
  <c r="Q133" i="11" s="1"/>
  <c r="N133" i="11"/>
  <c r="P133" i="11" s="1"/>
  <c r="O132" i="11"/>
  <c r="Q132" i="11" s="1"/>
  <c r="N132" i="11"/>
  <c r="P132" i="11" s="1"/>
  <c r="Q131" i="11"/>
  <c r="P131" i="11"/>
  <c r="AH130" i="11"/>
  <c r="AG130" i="11"/>
  <c r="AF130" i="11"/>
  <c r="AE130" i="11"/>
  <c r="AD130" i="11"/>
  <c r="AC130" i="11"/>
  <c r="AB130" i="11"/>
  <c r="Z130" i="11"/>
  <c r="M130" i="11"/>
  <c r="L130" i="11"/>
  <c r="K130" i="11"/>
  <c r="J130" i="11"/>
  <c r="I130" i="11"/>
  <c r="H130" i="11"/>
  <c r="O129" i="11"/>
  <c r="Q129" i="11" s="1"/>
  <c r="N129" i="11"/>
  <c r="P129" i="11" s="1"/>
  <c r="O128" i="11"/>
  <c r="Q128" i="11" s="1"/>
  <c r="N128" i="11"/>
  <c r="P128" i="11" s="1"/>
  <c r="O127" i="11"/>
  <c r="Q127" i="11" s="1"/>
  <c r="N127" i="11"/>
  <c r="P127" i="11" s="1"/>
  <c r="O126" i="11"/>
  <c r="Q126" i="11" s="1"/>
  <c r="N126" i="11"/>
  <c r="P126" i="11" s="1"/>
  <c r="Q125" i="11"/>
  <c r="P125" i="11"/>
  <c r="AH124" i="11"/>
  <c r="AG124" i="11"/>
  <c r="AF124" i="11"/>
  <c r="AE124" i="11"/>
  <c r="AD124" i="11"/>
  <c r="AC124" i="11"/>
  <c r="AB124" i="11"/>
  <c r="Z124" i="11"/>
  <c r="M124" i="11"/>
  <c r="L124" i="11"/>
  <c r="K124" i="11"/>
  <c r="J124" i="11"/>
  <c r="I124" i="11"/>
  <c r="H124" i="11"/>
  <c r="O123" i="11"/>
  <c r="Q123" i="11" s="1"/>
  <c r="N123" i="11"/>
  <c r="P123" i="11" s="1"/>
  <c r="P122" i="11"/>
  <c r="O122" i="11"/>
  <c r="Q122" i="11" s="1"/>
  <c r="N122" i="11"/>
  <c r="O121" i="11"/>
  <c r="Q121" i="11" s="1"/>
  <c r="N121" i="11"/>
  <c r="P121" i="11" s="1"/>
  <c r="O120" i="11"/>
  <c r="Q120" i="11" s="1"/>
  <c r="N120" i="11"/>
  <c r="P120" i="11" s="1"/>
  <c r="O119" i="11"/>
  <c r="Q119" i="11" s="1"/>
  <c r="N119" i="11"/>
  <c r="P119" i="11" s="1"/>
  <c r="Q118" i="11"/>
  <c r="P118" i="11"/>
  <c r="Q117" i="11"/>
  <c r="P117" i="11"/>
  <c r="M115" i="11"/>
  <c r="L115" i="11"/>
  <c r="K115" i="11"/>
  <c r="J115" i="11"/>
  <c r="N115" i="11" s="1"/>
  <c r="P115" i="11" s="1"/>
  <c r="I115" i="11"/>
  <c r="O115" i="11" s="1"/>
  <c r="Q115" i="11" s="1"/>
  <c r="H115" i="11"/>
  <c r="O114" i="11"/>
  <c r="Q114" i="11" s="1"/>
  <c r="N114" i="11"/>
  <c r="P114" i="11" s="1"/>
  <c r="O113" i="11"/>
  <c r="Q113" i="11" s="1"/>
  <c r="N113" i="11"/>
  <c r="P113" i="11" s="1"/>
  <c r="Q112" i="11"/>
  <c r="P112" i="11"/>
  <c r="AH111" i="11"/>
  <c r="AG111" i="11"/>
  <c r="AF111" i="11"/>
  <c r="AE111" i="11"/>
  <c r="AD111" i="11"/>
  <c r="AC111" i="11"/>
  <c r="AB111" i="11"/>
  <c r="Z111" i="11"/>
  <c r="M111" i="11"/>
  <c r="L111" i="11"/>
  <c r="K111" i="11"/>
  <c r="J111" i="11"/>
  <c r="I111" i="11"/>
  <c r="H111" i="11"/>
  <c r="O110" i="11"/>
  <c r="Q110" i="11" s="1"/>
  <c r="N110" i="11"/>
  <c r="P110" i="11" s="1"/>
  <c r="O109" i="11"/>
  <c r="Q109" i="11" s="1"/>
  <c r="N109" i="11"/>
  <c r="P109" i="11" s="1"/>
  <c r="O108" i="11"/>
  <c r="Q108" i="11" s="1"/>
  <c r="N108" i="11"/>
  <c r="P108" i="11" s="1"/>
  <c r="O107" i="11"/>
  <c r="Q107" i="11" s="1"/>
  <c r="N107" i="11"/>
  <c r="P107" i="11" s="1"/>
  <c r="O106" i="11"/>
  <c r="Q106" i="11" s="1"/>
  <c r="N106" i="11"/>
  <c r="P106" i="11" s="1"/>
  <c r="O105" i="11"/>
  <c r="Q105" i="11" s="1"/>
  <c r="N105" i="11"/>
  <c r="P105" i="11" s="1"/>
  <c r="O104" i="11"/>
  <c r="Q104" i="11" s="1"/>
  <c r="N104" i="11"/>
  <c r="P104" i="11" s="1"/>
  <c r="Q103" i="11"/>
  <c r="P103" i="11"/>
  <c r="AH102" i="11"/>
  <c r="AG102" i="11"/>
  <c r="AF102" i="11"/>
  <c r="AE102" i="11"/>
  <c r="AD102" i="11"/>
  <c r="AC102" i="11"/>
  <c r="AB102" i="11"/>
  <c r="Z102" i="11"/>
  <c r="M102" i="11"/>
  <c r="L102" i="11"/>
  <c r="K102" i="11"/>
  <c r="J102" i="11"/>
  <c r="I102" i="11"/>
  <c r="O102" i="11" s="1"/>
  <c r="Q102" i="11" s="1"/>
  <c r="H102" i="11"/>
  <c r="O100" i="11"/>
  <c r="Q100" i="11" s="1"/>
  <c r="N100" i="11"/>
  <c r="P100" i="11" s="1"/>
  <c r="O99" i="11"/>
  <c r="Q99" i="11" s="1"/>
  <c r="N99" i="11"/>
  <c r="P99" i="11" s="1"/>
  <c r="O98" i="11"/>
  <c r="Q98" i="11" s="1"/>
  <c r="N98" i="11"/>
  <c r="P98" i="11" s="1"/>
  <c r="O97" i="11"/>
  <c r="Q97" i="11" s="1"/>
  <c r="N97" i="11"/>
  <c r="P97" i="11" s="1"/>
  <c r="O96" i="11"/>
  <c r="Q96" i="11" s="1"/>
  <c r="N96" i="11"/>
  <c r="P96" i="11" s="1"/>
  <c r="O95" i="11"/>
  <c r="Q95" i="11" s="1"/>
  <c r="N95" i="11"/>
  <c r="P95" i="11" s="1"/>
  <c r="O94" i="11"/>
  <c r="Q94" i="11" s="1"/>
  <c r="N94" i="11"/>
  <c r="P94" i="11" s="1"/>
  <c r="O93" i="11"/>
  <c r="Q93" i="11" s="1"/>
  <c r="N93" i="11"/>
  <c r="P93" i="11" s="1"/>
  <c r="O92" i="11"/>
  <c r="Q92" i="11" s="1"/>
  <c r="N92" i="11"/>
  <c r="P92" i="11" s="1"/>
  <c r="AH90" i="11"/>
  <c r="AG90" i="11"/>
  <c r="AF90" i="11"/>
  <c r="AE90" i="11"/>
  <c r="AD90" i="11"/>
  <c r="AC90" i="11"/>
  <c r="AB90" i="11"/>
  <c r="Z90" i="11"/>
  <c r="M90" i="11"/>
  <c r="L90" i="11"/>
  <c r="K90" i="11"/>
  <c r="J90" i="11"/>
  <c r="I90" i="11"/>
  <c r="H90" i="11"/>
  <c r="Q89" i="11"/>
  <c r="P89" i="11"/>
  <c r="O89" i="11"/>
  <c r="N89" i="11"/>
  <c r="O88" i="11"/>
  <c r="Q88" i="11" s="1"/>
  <c r="N88" i="11"/>
  <c r="P88" i="11" s="1"/>
  <c r="O87" i="11"/>
  <c r="Q87" i="11" s="1"/>
  <c r="N87" i="11"/>
  <c r="P87" i="11" s="1"/>
  <c r="O86" i="11"/>
  <c r="Q86" i="11" s="1"/>
  <c r="N86" i="11"/>
  <c r="P86" i="11" s="1"/>
  <c r="AH84" i="11"/>
  <c r="AG84" i="11"/>
  <c r="AF84" i="11"/>
  <c r="AE84" i="11"/>
  <c r="AD84" i="11"/>
  <c r="AC84" i="11"/>
  <c r="AB84" i="11"/>
  <c r="Z84" i="11"/>
  <c r="M84" i="11"/>
  <c r="L84" i="11"/>
  <c r="K84" i="11"/>
  <c r="J84" i="11"/>
  <c r="I84" i="11"/>
  <c r="O84" i="11" s="1"/>
  <c r="Q84" i="11" s="1"/>
  <c r="H84" i="11"/>
  <c r="O83" i="11"/>
  <c r="Q83" i="11" s="1"/>
  <c r="N83" i="11"/>
  <c r="P83" i="11" s="1"/>
  <c r="O82" i="11"/>
  <c r="Q82" i="11" s="1"/>
  <c r="N82" i="11"/>
  <c r="P82" i="11" s="1"/>
  <c r="Q81" i="11"/>
  <c r="P81" i="11"/>
  <c r="O80" i="11"/>
  <c r="Q80" i="11" s="1"/>
  <c r="N80" i="11"/>
  <c r="P80" i="11" s="1"/>
  <c r="O79" i="11"/>
  <c r="Q79" i="11" s="1"/>
  <c r="N79" i="11"/>
  <c r="P79" i="11" s="1"/>
  <c r="O78" i="11"/>
  <c r="Q78" i="11" s="1"/>
  <c r="N78" i="11"/>
  <c r="P78" i="11" s="1"/>
  <c r="O77" i="11"/>
  <c r="Q77" i="11" s="1"/>
  <c r="N77" i="11"/>
  <c r="P77" i="11" s="1"/>
  <c r="O76" i="11"/>
  <c r="Q76" i="11" s="1"/>
  <c r="N76" i="11"/>
  <c r="P76" i="11" s="1"/>
  <c r="O75" i="11"/>
  <c r="Q75" i="11" s="1"/>
  <c r="N75" i="11"/>
  <c r="P75" i="11" s="1"/>
  <c r="O74" i="11"/>
  <c r="Q74" i="11" s="1"/>
  <c r="N74" i="11"/>
  <c r="P74" i="11" s="1"/>
  <c r="O73" i="11"/>
  <c r="Q73" i="11" s="1"/>
  <c r="N73" i="11"/>
  <c r="P73" i="11" s="1"/>
  <c r="AH71" i="11"/>
  <c r="AG71" i="11"/>
  <c r="AF71" i="11"/>
  <c r="AE71" i="11"/>
  <c r="AD71" i="11"/>
  <c r="AC71" i="11"/>
  <c r="AB71" i="11"/>
  <c r="Z71" i="11"/>
  <c r="M71" i="11"/>
  <c r="L71" i="11"/>
  <c r="K71" i="11"/>
  <c r="J71" i="11"/>
  <c r="I71" i="11"/>
  <c r="H71" i="11"/>
  <c r="N71" i="11" s="1"/>
  <c r="P71" i="11" s="1"/>
  <c r="O70" i="11"/>
  <c r="Q70" i="11" s="1"/>
  <c r="N70" i="11"/>
  <c r="P70" i="11" s="1"/>
  <c r="O69" i="11"/>
  <c r="Q69" i="11" s="1"/>
  <c r="N69" i="11"/>
  <c r="P69" i="11" s="1"/>
  <c r="O68" i="11"/>
  <c r="Q68" i="11" s="1"/>
  <c r="N68" i="11"/>
  <c r="P68" i="11" s="1"/>
  <c r="O67" i="11"/>
  <c r="Q67" i="11" s="1"/>
  <c r="N67" i="11"/>
  <c r="P67" i="11" s="1"/>
  <c r="O66" i="11"/>
  <c r="Q66" i="11" s="1"/>
  <c r="N66" i="11"/>
  <c r="P66" i="11" s="1"/>
  <c r="O65" i="11"/>
  <c r="Q65" i="11" s="1"/>
  <c r="N65" i="11"/>
  <c r="P65" i="11" s="1"/>
  <c r="O63" i="11"/>
  <c r="Q63" i="11" s="1"/>
  <c r="N63" i="11"/>
  <c r="P63" i="11" s="1"/>
  <c r="AH62" i="11"/>
  <c r="AG62" i="11"/>
  <c r="AF62" i="11"/>
  <c r="AE62" i="11"/>
  <c r="AD62" i="11"/>
  <c r="AC62" i="11"/>
  <c r="AB62" i="11"/>
  <c r="Z62" i="11"/>
  <c r="M62" i="11"/>
  <c r="L62" i="11"/>
  <c r="K62" i="11"/>
  <c r="J62" i="11"/>
  <c r="I62" i="11"/>
  <c r="H62" i="11"/>
  <c r="N62" i="11" s="1"/>
  <c r="P62" i="11" s="1"/>
  <c r="O61" i="11"/>
  <c r="Q61" i="11" s="1"/>
  <c r="N61" i="11"/>
  <c r="P61" i="11" s="1"/>
  <c r="O60" i="11"/>
  <c r="Q60" i="11" s="1"/>
  <c r="N60" i="11"/>
  <c r="P60" i="11" s="1"/>
  <c r="O59" i="11"/>
  <c r="Q59" i="11" s="1"/>
  <c r="N59" i="11"/>
  <c r="P59" i="11" s="1"/>
  <c r="O58" i="11"/>
  <c r="Q58" i="11" s="1"/>
  <c r="N58" i="11"/>
  <c r="P58" i="11" s="1"/>
  <c r="O57" i="11"/>
  <c r="Q57" i="11" s="1"/>
  <c r="N57" i="11"/>
  <c r="P57" i="11" s="1"/>
  <c r="O56" i="11"/>
  <c r="Q56" i="11" s="1"/>
  <c r="N56" i="11"/>
  <c r="P56" i="11" s="1"/>
  <c r="O55" i="11"/>
  <c r="Q55" i="11" s="1"/>
  <c r="N55" i="11"/>
  <c r="P55" i="11" s="1"/>
  <c r="O54" i="11"/>
  <c r="Q54" i="11" s="1"/>
  <c r="N54" i="11"/>
  <c r="P54" i="11" s="1"/>
  <c r="O53" i="11"/>
  <c r="Q53" i="11" s="1"/>
  <c r="N53" i="11"/>
  <c r="P53" i="11" s="1"/>
  <c r="O52" i="11"/>
  <c r="Q52" i="11" s="1"/>
  <c r="N52" i="11"/>
  <c r="P52" i="11" s="1"/>
  <c r="O51" i="11"/>
  <c r="Q51" i="11" s="1"/>
  <c r="N51" i="11"/>
  <c r="P51" i="11" s="1"/>
  <c r="O50" i="11"/>
  <c r="Q50" i="11" s="1"/>
  <c r="N50" i="11"/>
  <c r="P50" i="11" s="1"/>
  <c r="O49" i="11"/>
  <c r="Q49" i="11" s="1"/>
  <c r="N49" i="11"/>
  <c r="P49" i="11" s="1"/>
  <c r="O48" i="11"/>
  <c r="Q48" i="11" s="1"/>
  <c r="N48" i="11"/>
  <c r="P48" i="11" s="1"/>
  <c r="O47" i="11"/>
  <c r="Q47" i="11" s="1"/>
  <c r="N47" i="11"/>
  <c r="P47" i="11" s="1"/>
  <c r="AH45" i="11"/>
  <c r="AG45" i="11"/>
  <c r="AF45" i="11"/>
  <c r="AE45" i="11"/>
  <c r="AD45" i="11"/>
  <c r="AC45" i="11"/>
  <c r="AB45" i="11"/>
  <c r="Z45" i="11"/>
  <c r="M45" i="11"/>
  <c r="L45" i="11"/>
  <c r="K45" i="11"/>
  <c r="J45" i="11"/>
  <c r="I45" i="11"/>
  <c r="H45" i="11"/>
  <c r="O44" i="11"/>
  <c r="Q44" i="11" s="1"/>
  <c r="N44" i="11"/>
  <c r="P44" i="11" s="1"/>
  <c r="O43" i="11"/>
  <c r="Q43" i="11" s="1"/>
  <c r="N43" i="11"/>
  <c r="P43" i="11" s="1"/>
  <c r="O42" i="11"/>
  <c r="Q42" i="11" s="1"/>
  <c r="N42" i="11"/>
  <c r="P42" i="11" s="1"/>
  <c r="O41" i="11"/>
  <c r="Q41" i="11" s="1"/>
  <c r="N41" i="11"/>
  <c r="P41" i="11" s="1"/>
  <c r="AH39" i="11"/>
  <c r="AG39" i="11"/>
  <c r="AF39" i="11"/>
  <c r="AE39" i="11"/>
  <c r="AD39" i="11"/>
  <c r="AC39" i="11"/>
  <c r="AB39" i="11"/>
  <c r="Z39" i="11"/>
  <c r="M39" i="11"/>
  <c r="L39" i="11"/>
  <c r="K39" i="11"/>
  <c r="J39" i="11"/>
  <c r="I39" i="11"/>
  <c r="H39" i="11"/>
  <c r="O38" i="11"/>
  <c r="Q38" i="11" s="1"/>
  <c r="N38" i="11"/>
  <c r="P38" i="11" s="1"/>
  <c r="O37" i="11"/>
  <c r="Q37" i="11" s="1"/>
  <c r="N37" i="11"/>
  <c r="P37" i="11" s="1"/>
  <c r="Q36" i="11"/>
  <c r="N36" i="11"/>
  <c r="P36" i="11" s="1"/>
  <c r="O35" i="11"/>
  <c r="Q35" i="11" s="1"/>
  <c r="N35" i="11"/>
  <c r="P35" i="11" s="1"/>
  <c r="O34" i="11"/>
  <c r="Q34" i="11" s="1"/>
  <c r="N34" i="11"/>
  <c r="P34" i="11" s="1"/>
  <c r="O33" i="11"/>
  <c r="Q33" i="11" s="1"/>
  <c r="N33" i="11"/>
  <c r="P33" i="11" s="1"/>
  <c r="O32" i="11"/>
  <c r="Q32" i="11" s="1"/>
  <c r="N32" i="11"/>
  <c r="P32" i="11" s="1"/>
  <c r="O31" i="11"/>
  <c r="Q31" i="11" s="1"/>
  <c r="N31" i="11"/>
  <c r="P31" i="11" s="1"/>
  <c r="O30" i="11"/>
  <c r="Q30" i="11" s="1"/>
  <c r="N30" i="11"/>
  <c r="P30" i="11" s="1"/>
  <c r="O29" i="11"/>
  <c r="Q29" i="11" s="1"/>
  <c r="N29" i="11"/>
  <c r="P29" i="11" s="1"/>
  <c r="O28" i="11"/>
  <c r="Q28" i="11" s="1"/>
  <c r="N28" i="11"/>
  <c r="P28" i="11" s="1"/>
  <c r="O27" i="11"/>
  <c r="Q27" i="11" s="1"/>
  <c r="N27" i="11"/>
  <c r="P27" i="11" s="1"/>
  <c r="O26" i="11"/>
  <c r="Q26" i="11" s="1"/>
  <c r="N26" i="11"/>
  <c r="P26" i="11" s="1"/>
  <c r="O25" i="11"/>
  <c r="Q25" i="11" s="1"/>
  <c r="N25" i="11"/>
  <c r="P25" i="11" s="1"/>
  <c r="O24" i="11"/>
  <c r="Q24" i="11" s="1"/>
  <c r="N24" i="11"/>
  <c r="P24" i="11" s="1"/>
  <c r="O23" i="11"/>
  <c r="Q23" i="11" s="1"/>
  <c r="N23" i="11"/>
  <c r="P23" i="11" s="1"/>
  <c r="O22" i="11"/>
  <c r="Q22" i="11" s="1"/>
  <c r="N22" i="11"/>
  <c r="P22" i="11" s="1"/>
  <c r="O21" i="11"/>
  <c r="Q21" i="11" s="1"/>
  <c r="N21" i="11"/>
  <c r="P21" i="11" s="1"/>
  <c r="O20" i="11"/>
  <c r="Q20" i="11" s="1"/>
  <c r="N20" i="11"/>
  <c r="P20" i="11" s="1"/>
  <c r="O19" i="11"/>
  <c r="Q19" i="11" s="1"/>
  <c r="N19" i="11"/>
  <c r="P19" i="11" s="1"/>
  <c r="O18" i="11"/>
  <c r="Q18" i="11" s="1"/>
  <c r="N18" i="11"/>
  <c r="P18" i="11" s="1"/>
  <c r="O17" i="11"/>
  <c r="Q17" i="11" s="1"/>
  <c r="N17" i="11"/>
  <c r="P17" i="11" s="1"/>
  <c r="AH15" i="11"/>
  <c r="AG15" i="11"/>
  <c r="AF15" i="11"/>
  <c r="AE15" i="11"/>
  <c r="AD15" i="11"/>
  <c r="AC15" i="11"/>
  <c r="AB15" i="11"/>
  <c r="Z15" i="11"/>
  <c r="M15" i="11"/>
  <c r="L15" i="11"/>
  <c r="L116" i="11" s="1"/>
  <c r="K15" i="11"/>
  <c r="K116" i="11" s="1"/>
  <c r="J15" i="11"/>
  <c r="I15" i="11"/>
  <c r="O15" i="11" s="1"/>
  <c r="Q15" i="11" s="1"/>
  <c r="H15" i="11"/>
  <c r="N15" i="11" s="1"/>
  <c r="P15" i="11" s="1"/>
  <c r="O14" i="11"/>
  <c r="Q14" i="11" s="1"/>
  <c r="N14" i="11"/>
  <c r="P14" i="11" s="1"/>
  <c r="O13" i="11"/>
  <c r="Q13" i="11" s="1"/>
  <c r="N13" i="11"/>
  <c r="P13" i="11" s="1"/>
  <c r="O12" i="11"/>
  <c r="Q12" i="11" s="1"/>
  <c r="N12" i="11"/>
  <c r="P12" i="11" s="1"/>
  <c r="O11" i="11"/>
  <c r="Q11" i="11" s="1"/>
  <c r="N11" i="11"/>
  <c r="P11" i="11" s="1"/>
  <c r="O10" i="11"/>
  <c r="Q10" i="11" s="1"/>
  <c r="N10" i="11"/>
  <c r="P10" i="11" s="1"/>
  <c r="AH172" i="10"/>
  <c r="AN181" i="10"/>
  <c r="AH402" i="10"/>
  <c r="AH467" i="10"/>
  <c r="AH477" i="10"/>
  <c r="AH486" i="10"/>
  <c r="AH507" i="10"/>
  <c r="AH518" i="10"/>
  <c r="N225" i="11" l="1"/>
  <c r="P225" i="11" s="1"/>
  <c r="O288" i="11"/>
  <c r="Q288" i="11" s="1"/>
  <c r="AE479" i="11"/>
  <c r="AI333" i="11"/>
  <c r="N84" i="11"/>
  <c r="P84" i="11" s="1"/>
  <c r="N39" i="11"/>
  <c r="P39" i="11" s="1"/>
  <c r="N45" i="11"/>
  <c r="P45" i="11" s="1"/>
  <c r="O62" i="11"/>
  <c r="Q62" i="11" s="1"/>
  <c r="O39" i="11"/>
  <c r="Q39" i="11" s="1"/>
  <c r="N156" i="11"/>
  <c r="P156" i="11" s="1"/>
  <c r="O225" i="11"/>
  <c r="Q225" i="11" s="1"/>
  <c r="N319" i="11"/>
  <c r="P319" i="11" s="1"/>
  <c r="N331" i="11"/>
  <c r="P331" i="11" s="1"/>
  <c r="N427" i="11"/>
  <c r="P427" i="11" s="1"/>
  <c r="AD488" i="11"/>
  <c r="I219" i="11"/>
  <c r="O219" i="11" s="1"/>
  <c r="Q219" i="11" s="1"/>
  <c r="I363" i="11"/>
  <c r="N565" i="11"/>
  <c r="P565" i="11" s="1"/>
  <c r="AB376" i="11"/>
  <c r="J571" i="11"/>
  <c r="J581" i="11" s="1"/>
  <c r="N130" i="11"/>
  <c r="P130" i="11" s="1"/>
  <c r="AC376" i="11"/>
  <c r="N376" i="11"/>
  <c r="P376" i="11" s="1"/>
  <c r="N464" i="11"/>
  <c r="P464" i="11" s="1"/>
  <c r="K571" i="11"/>
  <c r="O141" i="11"/>
  <c r="Q141" i="11" s="1"/>
  <c r="N207" i="11"/>
  <c r="P207" i="11" s="1"/>
  <c r="N234" i="11"/>
  <c r="P234" i="11" s="1"/>
  <c r="N361" i="11"/>
  <c r="P361" i="11" s="1"/>
  <c r="AD376" i="11"/>
  <c r="O376" i="11"/>
  <c r="Q376" i="11" s="1"/>
  <c r="O464" i="11"/>
  <c r="Q464" i="11" s="1"/>
  <c r="N549" i="11"/>
  <c r="P549" i="11" s="1"/>
  <c r="L571" i="11"/>
  <c r="L581" i="11" s="1"/>
  <c r="M571" i="11"/>
  <c r="M581" i="11" s="1"/>
  <c r="AF488" i="11"/>
  <c r="H219" i="11"/>
  <c r="N219" i="11" s="1"/>
  <c r="P219" i="11" s="1"/>
  <c r="O188" i="11"/>
  <c r="Q188" i="11" s="1"/>
  <c r="M170" i="11"/>
  <c r="AG520" i="11"/>
  <c r="AF182" i="11"/>
  <c r="AH520" i="11"/>
  <c r="AI363" i="11"/>
  <c r="AI488" i="11"/>
  <c r="N111" i="11"/>
  <c r="P111" i="11" s="1"/>
  <c r="AG219" i="11"/>
  <c r="AB428" i="11"/>
  <c r="AI116" i="11"/>
  <c r="O549" i="11"/>
  <c r="Q549" i="11" s="1"/>
  <c r="AH182" i="11"/>
  <c r="AC428" i="11"/>
  <c r="AI376" i="11"/>
  <c r="AI183" i="11"/>
  <c r="AI220" i="11" s="1"/>
  <c r="AI495" i="11" s="1"/>
  <c r="AI550" i="11" s="1"/>
  <c r="AF198" i="11"/>
  <c r="K581" i="11"/>
  <c r="AG198" i="11"/>
  <c r="AF454" i="11"/>
  <c r="AF455" i="11" s="1"/>
  <c r="AC479" i="11"/>
  <c r="AH198" i="11"/>
  <c r="AB363" i="11"/>
  <c r="H581" i="11"/>
  <c r="N182" i="11"/>
  <c r="P182" i="11" s="1"/>
  <c r="AG363" i="11"/>
  <c r="AB488" i="11"/>
  <c r="O580" i="11"/>
  <c r="Q580" i="11" s="1"/>
  <c r="AB170" i="11"/>
  <c r="O182" i="11"/>
  <c r="Q182" i="11" s="1"/>
  <c r="AH363" i="11"/>
  <c r="AC488" i="11"/>
  <c r="M550" i="11"/>
  <c r="AG376" i="11"/>
  <c r="O198" i="11"/>
  <c r="Q198" i="11" s="1"/>
  <c r="AG182" i="11"/>
  <c r="N90" i="11"/>
  <c r="P90" i="11" s="1"/>
  <c r="O164" i="11"/>
  <c r="Q164" i="11" s="1"/>
  <c r="AH428" i="11"/>
  <c r="O553" i="11"/>
  <c r="Q553" i="11" s="1"/>
  <c r="O570" i="11"/>
  <c r="Q570" i="11" s="1"/>
  <c r="H170" i="11"/>
  <c r="Z550" i="11"/>
  <c r="H571" i="11"/>
  <c r="N571" i="11" s="1"/>
  <c r="P571" i="11" s="1"/>
  <c r="AB116" i="11"/>
  <c r="O90" i="11"/>
  <c r="Q90" i="11" s="1"/>
  <c r="AC170" i="11"/>
  <c r="N151" i="11"/>
  <c r="P151" i="11" s="1"/>
  <c r="N188" i="11"/>
  <c r="P188" i="11" s="1"/>
  <c r="Z428" i="11"/>
  <c r="AG488" i="11"/>
  <c r="N578" i="11"/>
  <c r="P578" i="11" s="1"/>
  <c r="O130" i="11"/>
  <c r="Q130" i="11" s="1"/>
  <c r="AH333" i="11"/>
  <c r="AH364" i="11" s="1"/>
  <c r="AD469" i="11"/>
  <c r="AD479" i="11"/>
  <c r="AE116" i="11"/>
  <c r="O45" i="11"/>
  <c r="Q45" i="11" s="1"/>
  <c r="O71" i="11"/>
  <c r="Q71" i="11" s="1"/>
  <c r="AB198" i="11"/>
  <c r="AF333" i="11"/>
  <c r="AF364" i="11" s="1"/>
  <c r="Z170" i="11"/>
  <c r="AC116" i="11"/>
  <c r="AD116" i="11"/>
  <c r="L170" i="11"/>
  <c r="L183" i="11" s="1"/>
  <c r="L220" i="11" s="1"/>
  <c r="O257" i="11"/>
  <c r="Q257" i="11" s="1"/>
  <c r="M363" i="11"/>
  <c r="O405" i="11"/>
  <c r="Q405" i="11" s="1"/>
  <c r="J116" i="11"/>
  <c r="AG333" i="11"/>
  <c r="AG364" i="11" s="1"/>
  <c r="AH488" i="11"/>
  <c r="AC198" i="11"/>
  <c r="AG116" i="11"/>
  <c r="AD198" i="11"/>
  <c r="N257" i="11"/>
  <c r="P257" i="11" s="1"/>
  <c r="N263" i="11"/>
  <c r="P263" i="11" s="1"/>
  <c r="N301" i="11"/>
  <c r="P301" i="11" s="1"/>
  <c r="O331" i="11"/>
  <c r="Q331" i="11" s="1"/>
  <c r="H455" i="11"/>
  <c r="N455" i="11" s="1"/>
  <c r="P455" i="11" s="1"/>
  <c r="N469" i="11"/>
  <c r="P469" i="11" s="1"/>
  <c r="N488" i="11"/>
  <c r="P488" i="11" s="1"/>
  <c r="N328" i="11"/>
  <c r="P328" i="11" s="1"/>
  <c r="AH376" i="11"/>
  <c r="AD170" i="11"/>
  <c r="O578" i="11"/>
  <c r="Q578" i="11" s="1"/>
  <c r="AF116" i="11"/>
  <c r="AE198" i="11"/>
  <c r="O207" i="11"/>
  <c r="Q207" i="11" s="1"/>
  <c r="O263" i="11"/>
  <c r="Q263" i="11" s="1"/>
  <c r="O301" i="11"/>
  <c r="Q301" i="11" s="1"/>
  <c r="I455" i="11"/>
  <c r="O455" i="11" s="1"/>
  <c r="Q455" i="11" s="1"/>
  <c r="AC469" i="11"/>
  <c r="O469" i="11"/>
  <c r="Q469" i="11" s="1"/>
  <c r="O488" i="11"/>
  <c r="Q488" i="11" s="1"/>
  <c r="AK216" i="11"/>
  <c r="AG428" i="11"/>
  <c r="AC183" i="11"/>
  <c r="AC220" i="11" s="1"/>
  <c r="AF183" i="11"/>
  <c r="AF220" i="11" s="1"/>
  <c r="AG183" i="11"/>
  <c r="AG220" i="11" s="1"/>
  <c r="Z363" i="11"/>
  <c r="N553" i="11"/>
  <c r="P553" i="11" s="1"/>
  <c r="Z489" i="11"/>
  <c r="N520" i="11"/>
  <c r="P520" i="11" s="1"/>
  <c r="O520" i="11"/>
  <c r="Q520" i="11" s="1"/>
  <c r="Z116" i="11"/>
  <c r="AF170" i="11"/>
  <c r="O328" i="11"/>
  <c r="Q328" i="11" s="1"/>
  <c r="AE376" i="11"/>
  <c r="AF469" i="11"/>
  <c r="I571" i="11"/>
  <c r="N479" i="11"/>
  <c r="P479" i="11" s="1"/>
  <c r="I116" i="11"/>
  <c r="O423" i="11"/>
  <c r="Q423" i="11" s="1"/>
  <c r="O479" i="11"/>
  <c r="Q479" i="11" s="1"/>
  <c r="H116" i="11"/>
  <c r="I333" i="11"/>
  <c r="AE170" i="11"/>
  <c r="AP183" i="11"/>
  <c r="AP189" i="11" s="1"/>
  <c r="J333" i="11"/>
  <c r="J364" i="11" s="1"/>
  <c r="N280" i="11"/>
  <c r="P280" i="11" s="1"/>
  <c r="N550" i="11"/>
  <c r="P550" i="11" s="1"/>
  <c r="I550" i="11"/>
  <c r="AH170" i="11"/>
  <c r="AN188" i="11"/>
  <c r="AN189" i="11" s="1"/>
  <c r="K170" i="11"/>
  <c r="K183" i="11" s="1"/>
  <c r="K220" i="11" s="1"/>
  <c r="N141" i="11"/>
  <c r="P141" i="11" s="1"/>
  <c r="M333" i="11"/>
  <c r="O428" i="11"/>
  <c r="Q428" i="11" s="1"/>
  <c r="H489" i="11"/>
  <c r="J170" i="11"/>
  <c r="O234" i="11"/>
  <c r="Q234" i="11" s="1"/>
  <c r="J489" i="11"/>
  <c r="N102" i="11"/>
  <c r="P102" i="11" s="1"/>
  <c r="I170" i="11"/>
  <c r="N124" i="11"/>
  <c r="P124" i="11" s="1"/>
  <c r="K489" i="11"/>
  <c r="AQ180" i="11"/>
  <c r="AQ187" i="11" s="1"/>
  <c r="N405" i="11"/>
  <c r="P405" i="11" s="1"/>
  <c r="H423" i="11"/>
  <c r="L363" i="11"/>
  <c r="N363" i="11" s="1"/>
  <c r="P363" i="11" s="1"/>
  <c r="O124" i="11"/>
  <c r="Q124" i="11" s="1"/>
  <c r="N342" i="11"/>
  <c r="P342" i="11" s="1"/>
  <c r="L489" i="11"/>
  <c r="AG170" i="11"/>
  <c r="N135" i="11"/>
  <c r="P135" i="11" s="1"/>
  <c r="O111" i="11"/>
  <c r="Q111" i="11" s="1"/>
  <c r="Z333" i="11"/>
  <c r="O342" i="11"/>
  <c r="Q342" i="11" s="1"/>
  <c r="H333" i="11"/>
  <c r="K333" i="11"/>
  <c r="K364" i="11" s="1"/>
  <c r="L333" i="11"/>
  <c r="N218" i="11"/>
  <c r="P218" i="11" s="1"/>
  <c r="AB333" i="11"/>
  <c r="O361" i="11"/>
  <c r="Q361" i="11" s="1"/>
  <c r="N441" i="11"/>
  <c r="P441" i="11" s="1"/>
  <c r="AF376" i="11"/>
  <c r="AH116" i="11"/>
  <c r="M116" i="11"/>
  <c r="M183" i="11" s="1"/>
  <c r="M220" i="11" s="1"/>
  <c r="AC333" i="11"/>
  <c r="AC364" i="11" s="1"/>
  <c r="N580" i="11"/>
  <c r="P580" i="11" s="1"/>
  <c r="N570" i="11"/>
  <c r="P570" i="11" s="1"/>
  <c r="N215" i="11"/>
  <c r="P215" i="11" s="1"/>
  <c r="AQ187" i="10"/>
  <c r="AQ186" i="10"/>
  <c r="AQ180" i="10"/>
  <c r="AL487" i="10"/>
  <c r="AL479" i="10"/>
  <c r="AL454" i="10"/>
  <c r="AL453" i="10"/>
  <c r="AL445" i="10"/>
  <c r="AL446" i="10"/>
  <c r="AL447" i="10"/>
  <c r="AL448" i="10"/>
  <c r="AL449" i="10"/>
  <c r="AL450" i="10"/>
  <c r="AL451" i="10"/>
  <c r="AL452" i="10"/>
  <c r="AL444" i="10"/>
  <c r="AG172" i="9"/>
  <c r="O363" i="11" l="1"/>
  <c r="Q363" i="11" s="1"/>
  <c r="AD183" i="11"/>
  <c r="N581" i="11"/>
  <c r="P581" i="11" s="1"/>
  <c r="AB183" i="11"/>
  <c r="AB220" i="11" s="1"/>
  <c r="L364" i="11"/>
  <c r="L554" i="11" s="1"/>
  <c r="AB364" i="11"/>
  <c r="Z183" i="11"/>
  <c r="Z220" i="11" s="1"/>
  <c r="AI364" i="11"/>
  <c r="AD220" i="11"/>
  <c r="AD495" i="11" s="1"/>
  <c r="AD550" i="11" s="1"/>
  <c r="L555" i="11"/>
  <c r="L582" i="11" s="1"/>
  <c r="L1" i="11" s="1"/>
  <c r="AE183" i="11"/>
  <c r="AE220" i="11" s="1"/>
  <c r="J183" i="11"/>
  <c r="J220" i="11" s="1"/>
  <c r="M364" i="11"/>
  <c r="M554" i="11" s="1"/>
  <c r="M555" i="11" s="1"/>
  <c r="M582" i="11" s="1"/>
  <c r="M1" i="11" s="1"/>
  <c r="K554" i="11"/>
  <c r="K555" i="11" s="1"/>
  <c r="K582" i="11" s="1"/>
  <c r="K1" i="11" s="1"/>
  <c r="I489" i="11"/>
  <c r="O489" i="11" s="1"/>
  <c r="Q489" i="11" s="1"/>
  <c r="AO190" i="11"/>
  <c r="O550" i="11"/>
  <c r="Q550" i="11" s="1"/>
  <c r="AE495" i="11"/>
  <c r="AE550" i="11" s="1"/>
  <c r="Z364" i="11"/>
  <c r="Z554" i="11" s="1"/>
  <c r="Z555" i="11" s="1"/>
  <c r="Z582" i="11" s="1"/>
  <c r="Z1" i="11" s="1"/>
  <c r="AF495" i="11"/>
  <c r="AF550" i="11" s="1"/>
  <c r="AC495" i="11"/>
  <c r="AC550" i="11" s="1"/>
  <c r="AB495" i="11"/>
  <c r="AB550" i="11" s="1"/>
  <c r="N170" i="11"/>
  <c r="P170" i="11" s="1"/>
  <c r="AG495" i="11"/>
  <c r="AG550" i="11" s="1"/>
  <c r="H364" i="11"/>
  <c r="N333" i="11"/>
  <c r="P333" i="11" s="1"/>
  <c r="I581" i="11"/>
  <c r="O581" i="11" s="1"/>
  <c r="Q581" i="11" s="1"/>
  <c r="O571" i="11"/>
  <c r="Q571" i="11" s="1"/>
  <c r="AH183" i="11"/>
  <c r="AH220" i="11" s="1"/>
  <c r="AK376" i="11"/>
  <c r="I364" i="11"/>
  <c r="O333" i="11"/>
  <c r="Q333" i="11" s="1"/>
  <c r="N489" i="11"/>
  <c r="P489" i="11" s="1"/>
  <c r="N116" i="11"/>
  <c r="P116" i="11" s="1"/>
  <c r="H183" i="11"/>
  <c r="O170" i="11"/>
  <c r="Q170" i="11" s="1"/>
  <c r="J554" i="11"/>
  <c r="J555" i="11" s="1"/>
  <c r="J582" i="11" s="1"/>
  <c r="J1" i="11" s="1"/>
  <c r="O116" i="11"/>
  <c r="Q116" i="11" s="1"/>
  <c r="I183" i="11"/>
  <c r="H428" i="11"/>
  <c r="N428" i="11" s="1"/>
  <c r="P428" i="11" s="1"/>
  <c r="N423" i="11"/>
  <c r="P423" i="11" s="1"/>
  <c r="AH116" i="10"/>
  <c r="O364" i="11" l="1"/>
  <c r="Q364" i="11" s="1"/>
  <c r="I554" i="11"/>
  <c r="O554" i="11" s="1"/>
  <c r="Q554" i="11" s="1"/>
  <c r="AH495" i="11"/>
  <c r="AH550" i="11" s="1"/>
  <c r="N364" i="11"/>
  <c r="P364" i="11" s="1"/>
  <c r="H554" i="11"/>
  <c r="N554" i="11" s="1"/>
  <c r="P554" i="11" s="1"/>
  <c r="I220" i="11"/>
  <c r="O183" i="11"/>
  <c r="Q183" i="11" s="1"/>
  <c r="H220" i="11"/>
  <c r="N183" i="11"/>
  <c r="P183" i="11" s="1"/>
  <c r="AH553" i="10"/>
  <c r="AH549" i="10"/>
  <c r="AH533" i="10"/>
  <c r="AH532" i="10"/>
  <c r="AH522" i="10"/>
  <c r="AH520" i="10"/>
  <c r="AH517" i="10"/>
  <c r="AH514" i="10"/>
  <c r="AH505" i="10"/>
  <c r="AH487" i="10"/>
  <c r="AH485" i="10"/>
  <c r="AH484" i="10"/>
  <c r="AH483" i="10"/>
  <c r="AH488" i="10" s="1"/>
  <c r="AH482" i="10"/>
  <c r="AH481" i="10"/>
  <c r="AH478" i="10"/>
  <c r="AH475" i="10"/>
  <c r="AH474" i="10"/>
  <c r="AH473" i="10"/>
  <c r="AH472" i="10"/>
  <c r="AH471" i="10"/>
  <c r="AH468" i="10"/>
  <c r="AH466" i="10"/>
  <c r="AH469" i="10" s="1"/>
  <c r="AH461" i="10"/>
  <c r="AH460" i="10"/>
  <c r="AH459" i="10"/>
  <c r="AH453" i="10"/>
  <c r="AH441" i="10"/>
  <c r="AH427" i="10"/>
  <c r="AH423" i="10"/>
  <c r="AH428" i="10" s="1"/>
  <c r="AH376" i="10"/>
  <c r="AH375" i="10"/>
  <c r="AH374" i="10"/>
  <c r="AH373" i="10"/>
  <c r="AH367" i="10"/>
  <c r="AH371" i="10" s="1"/>
  <c r="AH361" i="10"/>
  <c r="AH350" i="10"/>
  <c r="AH342" i="10"/>
  <c r="AH363" i="10" s="1"/>
  <c r="AH331" i="10"/>
  <c r="AH328" i="10"/>
  <c r="AH319" i="10"/>
  <c r="AH307" i="10"/>
  <c r="AH301" i="10"/>
  <c r="AH288" i="10"/>
  <c r="AH280" i="10"/>
  <c r="AH263" i="10"/>
  <c r="AH257" i="10"/>
  <c r="AH234" i="10"/>
  <c r="AH333" i="10" s="1"/>
  <c r="AH227" i="10"/>
  <c r="AH223" i="10"/>
  <c r="AH225" i="10" s="1"/>
  <c r="AH218" i="10"/>
  <c r="AH215" i="10"/>
  <c r="AH219" i="10" s="1"/>
  <c r="AH207" i="10"/>
  <c r="AH201" i="10"/>
  <c r="AH198" i="10"/>
  <c r="AH196" i="10"/>
  <c r="AH195" i="10"/>
  <c r="AH193" i="10"/>
  <c r="AH191" i="10"/>
  <c r="AH185" i="10"/>
  <c r="AH188" i="10" s="1"/>
  <c r="AH182" i="10"/>
  <c r="AH183" i="10" s="1"/>
  <c r="AH220" i="10" s="1"/>
  <c r="AH176" i="10"/>
  <c r="AH173" i="10"/>
  <c r="AH168" i="10"/>
  <c r="AH164" i="10"/>
  <c r="AH159" i="10"/>
  <c r="AH156" i="10"/>
  <c r="AH151" i="10"/>
  <c r="AH143" i="10"/>
  <c r="AH144" i="10" s="1"/>
  <c r="AH141" i="10"/>
  <c r="AH135" i="10"/>
  <c r="AH130" i="10"/>
  <c r="AH124" i="10"/>
  <c r="AH170" i="10" s="1"/>
  <c r="AH111" i="10"/>
  <c r="AH102" i="10"/>
  <c r="AH90" i="10"/>
  <c r="AH84" i="10"/>
  <c r="AH71" i="10"/>
  <c r="AH62" i="10"/>
  <c r="AH45" i="10"/>
  <c r="AH39" i="10"/>
  <c r="AH15" i="10"/>
  <c r="O579" i="10"/>
  <c r="Q579" i="10" s="1"/>
  <c r="N579" i="10"/>
  <c r="P579" i="10" s="1"/>
  <c r="M578" i="10"/>
  <c r="M580" i="10" s="1"/>
  <c r="L578" i="10"/>
  <c r="L580" i="10" s="1"/>
  <c r="K578" i="10"/>
  <c r="K580" i="10" s="1"/>
  <c r="J578" i="10"/>
  <c r="J580" i="10" s="1"/>
  <c r="I578" i="10"/>
  <c r="I580" i="10" s="1"/>
  <c r="H578" i="10"/>
  <c r="N578" i="10" s="1"/>
  <c r="P578" i="10" s="1"/>
  <c r="O577" i="10"/>
  <c r="Q577" i="10" s="1"/>
  <c r="N577" i="10"/>
  <c r="P577" i="10" s="1"/>
  <c r="O576" i="10"/>
  <c r="Q576" i="10" s="1"/>
  <c r="N576" i="10"/>
  <c r="P576" i="10" s="1"/>
  <c r="O575" i="10"/>
  <c r="Q575" i="10" s="1"/>
  <c r="N575" i="10"/>
  <c r="P575" i="10" s="1"/>
  <c r="O574" i="10"/>
  <c r="Q574" i="10" s="1"/>
  <c r="N574" i="10"/>
  <c r="P574" i="10" s="1"/>
  <c r="M570" i="10"/>
  <c r="L570" i="10"/>
  <c r="K570" i="10"/>
  <c r="J570" i="10"/>
  <c r="I570" i="10"/>
  <c r="H570" i="10"/>
  <c r="O569" i="10"/>
  <c r="Q569" i="10" s="1"/>
  <c r="N569" i="10"/>
  <c r="P569" i="10" s="1"/>
  <c r="Q568" i="10"/>
  <c r="O568" i="10"/>
  <c r="N568" i="10"/>
  <c r="P568" i="10" s="1"/>
  <c r="O567" i="10"/>
  <c r="Q567" i="10" s="1"/>
  <c r="N567" i="10"/>
  <c r="P567" i="10" s="1"/>
  <c r="M565" i="10"/>
  <c r="L565" i="10"/>
  <c r="K565" i="10"/>
  <c r="K571" i="10" s="1"/>
  <c r="J565" i="10"/>
  <c r="J571" i="10" s="1"/>
  <c r="I565" i="10"/>
  <c r="O565" i="10" s="1"/>
  <c r="Q565" i="10" s="1"/>
  <c r="H565" i="10"/>
  <c r="H571" i="10" s="1"/>
  <c r="Q564" i="10"/>
  <c r="O564" i="10"/>
  <c r="N564" i="10"/>
  <c r="P564" i="10" s="1"/>
  <c r="O563" i="10"/>
  <c r="Q563" i="10" s="1"/>
  <c r="N563" i="10"/>
  <c r="P563" i="10" s="1"/>
  <c r="P562" i="10"/>
  <c r="O562" i="10"/>
  <c r="Q562" i="10" s="1"/>
  <c r="N562" i="10"/>
  <c r="O561" i="10"/>
  <c r="Q561" i="10" s="1"/>
  <c r="N561" i="10"/>
  <c r="P561" i="10" s="1"/>
  <c r="O560" i="10"/>
  <c r="Q560" i="10" s="1"/>
  <c r="N560" i="10"/>
  <c r="P560" i="10" s="1"/>
  <c r="O558" i="10"/>
  <c r="Q558" i="10" s="1"/>
  <c r="N558" i="10"/>
  <c r="P558" i="10" s="1"/>
  <c r="AG553" i="10"/>
  <c r="AF553" i="10"/>
  <c r="AE553" i="10"/>
  <c r="AD553" i="10"/>
  <c r="AC553" i="10"/>
  <c r="AB553" i="10"/>
  <c r="Z553" i="10"/>
  <c r="M553" i="10"/>
  <c r="L553" i="10"/>
  <c r="K553" i="10"/>
  <c r="J553" i="10"/>
  <c r="I553" i="10"/>
  <c r="O553" i="10" s="1"/>
  <c r="Q553" i="10" s="1"/>
  <c r="H553" i="10"/>
  <c r="N553" i="10" s="1"/>
  <c r="P553" i="10" s="1"/>
  <c r="P552" i="10"/>
  <c r="O552" i="10"/>
  <c r="Q552" i="10" s="1"/>
  <c r="N552" i="10"/>
  <c r="J550" i="10"/>
  <c r="AG549" i="10"/>
  <c r="AF549" i="10"/>
  <c r="AE549" i="10"/>
  <c r="AD549" i="10"/>
  <c r="AC549" i="10"/>
  <c r="AB549" i="10"/>
  <c r="Z549" i="10"/>
  <c r="Z550" i="10" s="1"/>
  <c r="M549" i="10"/>
  <c r="L549" i="10"/>
  <c r="N549" i="10" s="1"/>
  <c r="P549" i="10" s="1"/>
  <c r="K549" i="10"/>
  <c r="J549" i="10"/>
  <c r="I549" i="10"/>
  <c r="H549" i="10"/>
  <c r="O548" i="10"/>
  <c r="Q548" i="10" s="1"/>
  <c r="N548" i="10"/>
  <c r="P548" i="10" s="1"/>
  <c r="O547" i="10"/>
  <c r="Q547" i="10" s="1"/>
  <c r="N547" i="10"/>
  <c r="P547" i="10" s="1"/>
  <c r="P546" i="10"/>
  <c r="O546" i="10"/>
  <c r="Q546" i="10" s="1"/>
  <c r="N546" i="10"/>
  <c r="O544" i="10"/>
  <c r="Q544" i="10" s="1"/>
  <c r="N544" i="10"/>
  <c r="P544" i="10" s="1"/>
  <c r="Q543" i="10"/>
  <c r="N543" i="10"/>
  <c r="P543" i="10" s="1"/>
  <c r="O542" i="10"/>
  <c r="Q542" i="10" s="1"/>
  <c r="N542" i="10"/>
  <c r="P542" i="10" s="1"/>
  <c r="O541" i="10"/>
  <c r="Q541" i="10" s="1"/>
  <c r="N541" i="10"/>
  <c r="P541" i="10" s="1"/>
  <c r="Q540" i="10"/>
  <c r="O540" i="10"/>
  <c r="N540" i="10"/>
  <c r="P540" i="10" s="1"/>
  <c r="O539" i="10"/>
  <c r="Q539" i="10" s="1"/>
  <c r="N539" i="10"/>
  <c r="P539" i="10" s="1"/>
  <c r="O538" i="10"/>
  <c r="Q538" i="10" s="1"/>
  <c r="N538" i="10"/>
  <c r="P538" i="10" s="1"/>
  <c r="P537" i="10"/>
  <c r="O537" i="10"/>
  <c r="Q537" i="10" s="1"/>
  <c r="N537" i="10"/>
  <c r="O536" i="10"/>
  <c r="Q536" i="10" s="1"/>
  <c r="N536" i="10"/>
  <c r="P536" i="10" s="1"/>
  <c r="O535" i="10"/>
  <c r="Q535" i="10" s="1"/>
  <c r="N535" i="10"/>
  <c r="P535" i="10" s="1"/>
  <c r="AF534" i="10"/>
  <c r="AE534" i="10"/>
  <c r="AD534" i="10"/>
  <c r="AC534" i="10"/>
  <c r="AB534" i="10"/>
  <c r="O534" i="10"/>
  <c r="Q534" i="10" s="1"/>
  <c r="N534" i="10"/>
  <c r="P534" i="10" s="1"/>
  <c r="AG533" i="10"/>
  <c r="O533" i="10"/>
  <c r="Q533" i="10" s="1"/>
  <c r="N533" i="10"/>
  <c r="P533" i="10" s="1"/>
  <c r="AG532" i="10"/>
  <c r="AF532" i="10"/>
  <c r="AE532" i="10"/>
  <c r="AD532" i="10"/>
  <c r="AC532" i="10"/>
  <c r="AB532" i="10"/>
  <c r="O532" i="10"/>
  <c r="Q532" i="10" s="1"/>
  <c r="N532" i="10"/>
  <c r="P532" i="10" s="1"/>
  <c r="O531" i="10"/>
  <c r="Q531" i="10" s="1"/>
  <c r="N531" i="10"/>
  <c r="P531" i="10" s="1"/>
  <c r="O530" i="10"/>
  <c r="Q530" i="10" s="1"/>
  <c r="N530" i="10"/>
  <c r="P530" i="10" s="1"/>
  <c r="O529" i="10"/>
  <c r="Q529" i="10" s="1"/>
  <c r="N529" i="10"/>
  <c r="P529" i="10" s="1"/>
  <c r="P528" i="10"/>
  <c r="O528" i="10"/>
  <c r="Q528" i="10" s="1"/>
  <c r="N528" i="10"/>
  <c r="O527" i="10"/>
  <c r="Q527" i="10" s="1"/>
  <c r="N527" i="10"/>
  <c r="P527" i="10" s="1"/>
  <c r="O526" i="10"/>
  <c r="Q526" i="10" s="1"/>
  <c r="N526" i="10"/>
  <c r="P526" i="10" s="1"/>
  <c r="Q525" i="10"/>
  <c r="N525" i="10"/>
  <c r="P525" i="10" s="1"/>
  <c r="O524" i="10"/>
  <c r="Q524" i="10" s="1"/>
  <c r="N524" i="10"/>
  <c r="P524" i="10" s="1"/>
  <c r="O523" i="10"/>
  <c r="Q523" i="10" s="1"/>
  <c r="N523" i="10"/>
  <c r="P523" i="10" s="1"/>
  <c r="AG522" i="10"/>
  <c r="Q522" i="10"/>
  <c r="O522" i="10"/>
  <c r="N522" i="10"/>
  <c r="P522" i="10" s="1"/>
  <c r="O521" i="10"/>
  <c r="Q521" i="10" s="1"/>
  <c r="N521" i="10"/>
  <c r="P521" i="10" s="1"/>
  <c r="AF520" i="10"/>
  <c r="AE520" i="10"/>
  <c r="AD520" i="10"/>
  <c r="AC520" i="10"/>
  <c r="AB520" i="10"/>
  <c r="Z520" i="10"/>
  <c r="M520" i="10"/>
  <c r="L520" i="10"/>
  <c r="L550" i="10" s="1"/>
  <c r="K520" i="10"/>
  <c r="K550" i="10" s="1"/>
  <c r="J520" i="10"/>
  <c r="I520" i="10"/>
  <c r="I550" i="10" s="1"/>
  <c r="H520" i="10"/>
  <c r="AG518" i="10"/>
  <c r="O518" i="10"/>
  <c r="Q518" i="10" s="1"/>
  <c r="N518" i="10"/>
  <c r="P518" i="10" s="1"/>
  <c r="AG517" i="10"/>
  <c r="O517" i="10"/>
  <c r="Q517" i="10" s="1"/>
  <c r="N517" i="10"/>
  <c r="P517" i="10" s="1"/>
  <c r="O516" i="10"/>
  <c r="Q516" i="10" s="1"/>
  <c r="N516" i="10"/>
  <c r="P516" i="10" s="1"/>
  <c r="AG514" i="10"/>
  <c r="O514" i="10"/>
  <c r="Q514" i="10" s="1"/>
  <c r="N514" i="10"/>
  <c r="P514" i="10" s="1"/>
  <c r="O513" i="10"/>
  <c r="Q513" i="10" s="1"/>
  <c r="N513" i="10"/>
  <c r="P513" i="10" s="1"/>
  <c r="P512" i="10"/>
  <c r="O512" i="10"/>
  <c r="Q512" i="10" s="1"/>
  <c r="N512" i="10"/>
  <c r="O511" i="10"/>
  <c r="Q511" i="10" s="1"/>
  <c r="N511" i="10"/>
  <c r="P511" i="10" s="1"/>
  <c r="O510" i="10"/>
  <c r="Q510" i="10" s="1"/>
  <c r="N510" i="10"/>
  <c r="P510" i="10" s="1"/>
  <c r="O509" i="10"/>
  <c r="Q509" i="10" s="1"/>
  <c r="N509" i="10"/>
  <c r="P509" i="10" s="1"/>
  <c r="O508" i="10"/>
  <c r="Q508" i="10" s="1"/>
  <c r="N508" i="10"/>
  <c r="P508" i="10" s="1"/>
  <c r="AG507" i="10"/>
  <c r="O507" i="10"/>
  <c r="Q507" i="10" s="1"/>
  <c r="N507" i="10"/>
  <c r="P507" i="10" s="1"/>
  <c r="Q506" i="10"/>
  <c r="P506" i="10"/>
  <c r="O506" i="10"/>
  <c r="N506" i="10"/>
  <c r="AG505" i="10"/>
  <c r="AF505" i="10"/>
  <c r="AE505" i="10"/>
  <c r="AD505" i="10"/>
  <c r="AC505" i="10"/>
  <c r="AB505" i="10"/>
  <c r="P505" i="10"/>
  <c r="O505" i="10"/>
  <c r="Q505" i="10" s="1"/>
  <c r="N505" i="10"/>
  <c r="O504" i="10"/>
  <c r="Q504" i="10" s="1"/>
  <c r="N504" i="10"/>
  <c r="P504" i="10" s="1"/>
  <c r="O503" i="10"/>
  <c r="Q503" i="10" s="1"/>
  <c r="N503" i="10"/>
  <c r="P503" i="10" s="1"/>
  <c r="O502" i="10"/>
  <c r="Q502" i="10" s="1"/>
  <c r="N502" i="10"/>
  <c r="P502" i="10" s="1"/>
  <c r="O501" i="10"/>
  <c r="Q501" i="10" s="1"/>
  <c r="N501" i="10"/>
  <c r="P501" i="10" s="1"/>
  <c r="AG500" i="10"/>
  <c r="AF500" i="10"/>
  <c r="O500" i="10"/>
  <c r="Q500" i="10" s="1"/>
  <c r="N500" i="10"/>
  <c r="P500" i="10" s="1"/>
  <c r="O499" i="10"/>
  <c r="Q499" i="10" s="1"/>
  <c r="N499" i="10"/>
  <c r="P499" i="10" s="1"/>
  <c r="O498" i="10"/>
  <c r="Q498" i="10" s="1"/>
  <c r="N498" i="10"/>
  <c r="P498" i="10" s="1"/>
  <c r="O496" i="10"/>
  <c r="Q496" i="10" s="1"/>
  <c r="N496" i="10"/>
  <c r="P496" i="10" s="1"/>
  <c r="O495" i="10"/>
  <c r="Q495" i="10" s="1"/>
  <c r="N495" i="10"/>
  <c r="P495" i="10" s="1"/>
  <c r="P494" i="10"/>
  <c r="O494" i="10"/>
  <c r="Q494" i="10" s="1"/>
  <c r="N494" i="10"/>
  <c r="O493" i="10"/>
  <c r="Q493" i="10" s="1"/>
  <c r="N493" i="10"/>
  <c r="P493" i="10" s="1"/>
  <c r="O492" i="10"/>
  <c r="Q492" i="10" s="1"/>
  <c r="N492" i="10"/>
  <c r="P492" i="10" s="1"/>
  <c r="O491" i="10"/>
  <c r="Q491" i="10" s="1"/>
  <c r="N491" i="10"/>
  <c r="P491" i="10" s="1"/>
  <c r="Q490" i="10"/>
  <c r="P490" i="10"/>
  <c r="Z488" i="10"/>
  <c r="M488" i="10"/>
  <c r="L488" i="10"/>
  <c r="K488" i="10"/>
  <c r="J488" i="10"/>
  <c r="I488" i="10"/>
  <c r="H488" i="10"/>
  <c r="AG487" i="10"/>
  <c r="AF487" i="10"/>
  <c r="AE487" i="10"/>
  <c r="AD487" i="10"/>
  <c r="AC487" i="10"/>
  <c r="AB487" i="10"/>
  <c r="O487" i="10"/>
  <c r="Q487" i="10" s="1"/>
  <c r="N487" i="10"/>
  <c r="P487" i="10" s="1"/>
  <c r="AG486" i="10"/>
  <c r="AF486" i="10"/>
  <c r="AB486" i="10"/>
  <c r="O486" i="10"/>
  <c r="Q486" i="10" s="1"/>
  <c r="N486" i="10"/>
  <c r="P486" i="10" s="1"/>
  <c r="AG485" i="10"/>
  <c r="AF485" i="10"/>
  <c r="AB485" i="10"/>
  <c r="Q485" i="10"/>
  <c r="P485" i="10"/>
  <c r="O485" i="10"/>
  <c r="N485" i="10"/>
  <c r="AG484" i="10"/>
  <c r="AF484" i="10"/>
  <c r="AE484" i="10"/>
  <c r="AD484" i="10"/>
  <c r="AC484" i="10"/>
  <c r="AB484" i="10"/>
  <c r="Q484" i="10"/>
  <c r="P484" i="10"/>
  <c r="O484" i="10"/>
  <c r="N484" i="10"/>
  <c r="AG483" i="10"/>
  <c r="AF483" i="10"/>
  <c r="AB483" i="10"/>
  <c r="O483" i="10"/>
  <c r="Q483" i="10" s="1"/>
  <c r="N483" i="10"/>
  <c r="P483" i="10" s="1"/>
  <c r="AG482" i="10"/>
  <c r="AF482" i="10"/>
  <c r="AB482" i="10"/>
  <c r="O482" i="10"/>
  <c r="Q482" i="10" s="1"/>
  <c r="N482" i="10"/>
  <c r="P482" i="10" s="1"/>
  <c r="AG481" i="10"/>
  <c r="AF481" i="10"/>
  <c r="AE481" i="10"/>
  <c r="AD481" i="10"/>
  <c r="AC481" i="10"/>
  <c r="AB481" i="10"/>
  <c r="O481" i="10"/>
  <c r="Q481" i="10" s="1"/>
  <c r="N481" i="10"/>
  <c r="P481" i="10" s="1"/>
  <c r="Z479" i="10"/>
  <c r="N479" i="10"/>
  <c r="P479" i="10" s="1"/>
  <c r="M479" i="10"/>
  <c r="L479" i="10"/>
  <c r="K479" i="10"/>
  <c r="J479" i="10"/>
  <c r="I479" i="10"/>
  <c r="H479" i="10"/>
  <c r="AG478" i="10"/>
  <c r="AF478" i="10"/>
  <c r="AE478" i="10"/>
  <c r="AD478" i="10"/>
  <c r="AC478" i="10"/>
  <c r="AB478" i="10"/>
  <c r="O478" i="10"/>
  <c r="Q478" i="10" s="1"/>
  <c r="N478" i="10"/>
  <c r="P478" i="10" s="1"/>
  <c r="AG477" i="10"/>
  <c r="AF477" i="10"/>
  <c r="AE477" i="10"/>
  <c r="AD477" i="10"/>
  <c r="AC477" i="10"/>
  <c r="AB477" i="10"/>
  <c r="O477" i="10"/>
  <c r="Q477" i="10" s="1"/>
  <c r="N477" i="10"/>
  <c r="P477" i="10" s="1"/>
  <c r="O476" i="10"/>
  <c r="Q476" i="10" s="1"/>
  <c r="N476" i="10"/>
  <c r="P476" i="10" s="1"/>
  <c r="AG475" i="10"/>
  <c r="AE475" i="10"/>
  <c r="AD475" i="10"/>
  <c r="AC475" i="10"/>
  <c r="AB475" i="10"/>
  <c r="O475" i="10"/>
  <c r="Q475" i="10" s="1"/>
  <c r="N475" i="10"/>
  <c r="P475" i="10" s="1"/>
  <c r="AG474" i="10"/>
  <c r="AF474" i="10"/>
  <c r="AE474" i="10"/>
  <c r="AD474" i="10"/>
  <c r="AC474" i="10"/>
  <c r="AB474" i="10"/>
  <c r="O474" i="10"/>
  <c r="Q474" i="10" s="1"/>
  <c r="N474" i="10"/>
  <c r="P474" i="10" s="1"/>
  <c r="AG473" i="10"/>
  <c r="AF473" i="10"/>
  <c r="AB473" i="10"/>
  <c r="O473" i="10"/>
  <c r="Q473" i="10" s="1"/>
  <c r="N473" i="10"/>
  <c r="P473" i="10" s="1"/>
  <c r="AG472" i="10"/>
  <c r="AF472" i="10"/>
  <c r="AB472" i="10"/>
  <c r="O472" i="10"/>
  <c r="Q472" i="10" s="1"/>
  <c r="N472" i="10"/>
  <c r="P472" i="10" s="1"/>
  <c r="AG471" i="10"/>
  <c r="AF471" i="10"/>
  <c r="AB471" i="10"/>
  <c r="O471" i="10"/>
  <c r="Q471" i="10" s="1"/>
  <c r="N471" i="10"/>
  <c r="P471" i="10" s="1"/>
  <c r="AD469" i="10"/>
  <c r="AC469" i="10"/>
  <c r="Z469" i="10"/>
  <c r="M469" i="10"/>
  <c r="L469" i="10"/>
  <c r="K469" i="10"/>
  <c r="J469" i="10"/>
  <c r="I469" i="10"/>
  <c r="H469" i="10"/>
  <c r="AG468" i="10"/>
  <c r="AD468" i="10"/>
  <c r="AC468" i="10"/>
  <c r="AB468" i="10"/>
  <c r="O468" i="10"/>
  <c r="Q468" i="10" s="1"/>
  <c r="N468" i="10"/>
  <c r="P468" i="10" s="1"/>
  <c r="AG467" i="10"/>
  <c r="AF467" i="10"/>
  <c r="AB467" i="10"/>
  <c r="O467" i="10"/>
  <c r="Q467" i="10" s="1"/>
  <c r="N467" i="10"/>
  <c r="P467" i="10" s="1"/>
  <c r="AG466" i="10"/>
  <c r="AG469" i="10" s="1"/>
  <c r="AF466" i="10"/>
  <c r="AF469" i="10" s="1"/>
  <c r="AE466" i="10"/>
  <c r="AE469" i="10" s="1"/>
  <c r="AD466" i="10"/>
  <c r="AC466" i="10"/>
  <c r="AB466" i="10"/>
  <c r="O466" i="10"/>
  <c r="Q466" i="10" s="1"/>
  <c r="N466" i="10"/>
  <c r="P466" i="10" s="1"/>
  <c r="Q465" i="10"/>
  <c r="P465" i="10"/>
  <c r="Z464" i="10"/>
  <c r="M464" i="10"/>
  <c r="L464" i="10"/>
  <c r="K464" i="10"/>
  <c r="J464" i="10"/>
  <c r="I464" i="10"/>
  <c r="O464" i="10" s="1"/>
  <c r="Q464" i="10" s="1"/>
  <c r="H464" i="10"/>
  <c r="O463" i="10"/>
  <c r="Q463" i="10" s="1"/>
  <c r="N463" i="10"/>
  <c r="P463" i="10" s="1"/>
  <c r="O462" i="10"/>
  <c r="Q462" i="10" s="1"/>
  <c r="N462" i="10"/>
  <c r="P462" i="10" s="1"/>
  <c r="AG461" i="10"/>
  <c r="AF461" i="10"/>
  <c r="AB461" i="10"/>
  <c r="Q461" i="10"/>
  <c r="O461" i="10"/>
  <c r="N461" i="10"/>
  <c r="P461" i="10" s="1"/>
  <c r="AG460" i="10"/>
  <c r="AF460" i="10"/>
  <c r="AB460" i="10"/>
  <c r="O460" i="10"/>
  <c r="Q460" i="10" s="1"/>
  <c r="N460" i="10"/>
  <c r="P460" i="10" s="1"/>
  <c r="AG459" i="10"/>
  <c r="AF459" i="10"/>
  <c r="AB459" i="10"/>
  <c r="O459" i="10"/>
  <c r="Q459" i="10" s="1"/>
  <c r="N459" i="10"/>
  <c r="P459" i="10" s="1"/>
  <c r="O458" i="10"/>
  <c r="Q458" i="10" s="1"/>
  <c r="N458" i="10"/>
  <c r="P458" i="10" s="1"/>
  <c r="Q457" i="10"/>
  <c r="P457" i="10"/>
  <c r="O457" i="10"/>
  <c r="N457" i="10"/>
  <c r="K455" i="10"/>
  <c r="Z454" i="10"/>
  <c r="Z455" i="10" s="1"/>
  <c r="M454" i="10"/>
  <c r="M455" i="10" s="1"/>
  <c r="L454" i="10"/>
  <c r="L455" i="10" s="1"/>
  <c r="K454" i="10"/>
  <c r="J454" i="10"/>
  <c r="I454" i="10"/>
  <c r="I455" i="10" s="1"/>
  <c r="H454" i="10"/>
  <c r="H455" i="10" s="1"/>
  <c r="AG453" i="10"/>
  <c r="AB453" i="10"/>
  <c r="O453" i="10"/>
  <c r="Q453" i="10" s="1"/>
  <c r="N453" i="10"/>
  <c r="P453" i="10" s="1"/>
  <c r="O452" i="10"/>
  <c r="Q452" i="10" s="1"/>
  <c r="N452" i="10"/>
  <c r="P452" i="10" s="1"/>
  <c r="O451" i="10"/>
  <c r="Q451" i="10" s="1"/>
  <c r="N451" i="10"/>
  <c r="P451" i="10" s="1"/>
  <c r="O450" i="10"/>
  <c r="Q450" i="10" s="1"/>
  <c r="N450" i="10"/>
  <c r="P450" i="10" s="1"/>
  <c r="O449" i="10"/>
  <c r="Q449" i="10" s="1"/>
  <c r="N449" i="10"/>
  <c r="P449" i="10" s="1"/>
  <c r="O448" i="10"/>
  <c r="Q448" i="10" s="1"/>
  <c r="N448" i="10"/>
  <c r="P448" i="10" s="1"/>
  <c r="O447" i="10"/>
  <c r="Q447" i="10" s="1"/>
  <c r="N447" i="10"/>
  <c r="P447" i="10" s="1"/>
  <c r="O446" i="10"/>
  <c r="Q446" i="10" s="1"/>
  <c r="N446" i="10"/>
  <c r="P446" i="10" s="1"/>
  <c r="O445" i="10"/>
  <c r="Q445" i="10" s="1"/>
  <c r="N445" i="10"/>
  <c r="P445" i="10" s="1"/>
  <c r="O444" i="10"/>
  <c r="Q444" i="10" s="1"/>
  <c r="N444" i="10"/>
  <c r="P444" i="10" s="1"/>
  <c r="AK442" i="10"/>
  <c r="AG441" i="10"/>
  <c r="AF441" i="10"/>
  <c r="AE441" i="10"/>
  <c r="AD441" i="10"/>
  <c r="AC441" i="10"/>
  <c r="AB441" i="10"/>
  <c r="Z441" i="10"/>
  <c r="M441" i="10"/>
  <c r="L441" i="10"/>
  <c r="K441" i="10"/>
  <c r="J441" i="10"/>
  <c r="I441" i="10"/>
  <c r="O441" i="10" s="1"/>
  <c r="Q441" i="10" s="1"/>
  <c r="H441" i="10"/>
  <c r="N441" i="10" s="1"/>
  <c r="P441" i="10" s="1"/>
  <c r="O440" i="10"/>
  <c r="Q440" i="10" s="1"/>
  <c r="N440" i="10"/>
  <c r="P440" i="10" s="1"/>
  <c r="O439" i="10"/>
  <c r="Q439" i="10" s="1"/>
  <c r="N439" i="10"/>
  <c r="P439" i="10" s="1"/>
  <c r="O438" i="10"/>
  <c r="Q438" i="10" s="1"/>
  <c r="N438" i="10"/>
  <c r="P438" i="10" s="1"/>
  <c r="O437" i="10"/>
  <c r="Q437" i="10" s="1"/>
  <c r="N437" i="10"/>
  <c r="P437" i="10" s="1"/>
  <c r="P436" i="10"/>
  <c r="O436" i="10"/>
  <c r="Q436" i="10" s="1"/>
  <c r="N436" i="10"/>
  <c r="O435" i="10"/>
  <c r="Q435" i="10" s="1"/>
  <c r="N435" i="10"/>
  <c r="P435" i="10" s="1"/>
  <c r="O434" i="10"/>
  <c r="Q434" i="10" s="1"/>
  <c r="N434" i="10"/>
  <c r="P434" i="10" s="1"/>
  <c r="O433" i="10"/>
  <c r="Q433" i="10" s="1"/>
  <c r="N433" i="10"/>
  <c r="P433" i="10" s="1"/>
  <c r="O432" i="10"/>
  <c r="Q432" i="10" s="1"/>
  <c r="N432" i="10"/>
  <c r="P432" i="10" s="1"/>
  <c r="O431" i="10"/>
  <c r="Q431" i="10" s="1"/>
  <c r="N431" i="10"/>
  <c r="P431" i="10" s="1"/>
  <c r="Q430" i="10"/>
  <c r="P430" i="10"/>
  <c r="Q429" i="10"/>
  <c r="P429" i="10"/>
  <c r="AG427" i="10"/>
  <c r="AF427" i="10"/>
  <c r="AE427" i="10"/>
  <c r="AD427" i="10"/>
  <c r="AC427" i="10"/>
  <c r="AB427" i="10"/>
  <c r="Z427" i="10"/>
  <c r="Q427" i="10"/>
  <c r="L427" i="10"/>
  <c r="J427" i="10"/>
  <c r="H427" i="10"/>
  <c r="N427" i="10" s="1"/>
  <c r="P427" i="10" s="1"/>
  <c r="Q426" i="10"/>
  <c r="N426" i="10"/>
  <c r="P426" i="10" s="1"/>
  <c r="Q425" i="10"/>
  <c r="N425" i="10"/>
  <c r="P425" i="10" s="1"/>
  <c r="AF423" i="10"/>
  <c r="AE423" i="10"/>
  <c r="AC423" i="10"/>
  <c r="AB423" i="10"/>
  <c r="AB428" i="10" s="1"/>
  <c r="Z423" i="10"/>
  <c r="Z428" i="10" s="1"/>
  <c r="J423" i="10"/>
  <c r="J428" i="10" s="1"/>
  <c r="I423" i="10"/>
  <c r="O422" i="10"/>
  <c r="Q422" i="10" s="1"/>
  <c r="N422" i="10"/>
  <c r="P422" i="10" s="1"/>
  <c r="O421" i="10"/>
  <c r="Q421" i="10" s="1"/>
  <c r="N421" i="10"/>
  <c r="P421" i="10" s="1"/>
  <c r="O420" i="10"/>
  <c r="Q420" i="10" s="1"/>
  <c r="N420" i="10"/>
  <c r="P420" i="10" s="1"/>
  <c r="Q419" i="10"/>
  <c r="P419" i="10"/>
  <c r="O419" i="10"/>
  <c r="N419" i="10"/>
  <c r="O418" i="10"/>
  <c r="Q418" i="10" s="1"/>
  <c r="N418" i="10"/>
  <c r="P418" i="10" s="1"/>
  <c r="O417" i="10"/>
  <c r="Q417" i="10" s="1"/>
  <c r="N417" i="10"/>
  <c r="P417" i="10" s="1"/>
  <c r="O416" i="10"/>
  <c r="Q416" i="10" s="1"/>
  <c r="N416" i="10"/>
  <c r="P416" i="10" s="1"/>
  <c r="O415" i="10"/>
  <c r="Q415" i="10" s="1"/>
  <c r="N415" i="10"/>
  <c r="P415" i="10" s="1"/>
  <c r="O414" i="10"/>
  <c r="Q414" i="10" s="1"/>
  <c r="N414" i="10"/>
  <c r="P414" i="10" s="1"/>
  <c r="Q413" i="10"/>
  <c r="N413" i="10"/>
  <c r="P413" i="10" s="1"/>
  <c r="O412" i="10"/>
  <c r="Q412" i="10" s="1"/>
  <c r="N412" i="10"/>
  <c r="P412" i="10" s="1"/>
  <c r="O411" i="10"/>
  <c r="Q411" i="10" s="1"/>
  <c r="N411" i="10"/>
  <c r="P411" i="10" s="1"/>
  <c r="O410" i="10"/>
  <c r="Q410" i="10" s="1"/>
  <c r="N410" i="10"/>
  <c r="P410" i="10" s="1"/>
  <c r="O409" i="10"/>
  <c r="Q409" i="10" s="1"/>
  <c r="N409" i="10"/>
  <c r="P409" i="10" s="1"/>
  <c r="O408" i="10"/>
  <c r="Q408" i="10" s="1"/>
  <c r="N408" i="10"/>
  <c r="P408" i="10" s="1"/>
  <c r="O407" i="10"/>
  <c r="Q407" i="10" s="1"/>
  <c r="N407" i="10"/>
  <c r="P407" i="10" s="1"/>
  <c r="Q406" i="10"/>
  <c r="N406" i="10"/>
  <c r="P406" i="10" s="1"/>
  <c r="M405" i="10"/>
  <c r="M423" i="10" s="1"/>
  <c r="M428" i="10" s="1"/>
  <c r="L405" i="10"/>
  <c r="L423" i="10" s="1"/>
  <c r="L428" i="10" s="1"/>
  <c r="K405" i="10"/>
  <c r="J405" i="10"/>
  <c r="N405" i="10" s="1"/>
  <c r="P405" i="10" s="1"/>
  <c r="I405" i="10"/>
  <c r="H405" i="10"/>
  <c r="H423" i="10" s="1"/>
  <c r="O404" i="10"/>
  <c r="Q404" i="10" s="1"/>
  <c r="N404" i="10"/>
  <c r="P404" i="10" s="1"/>
  <c r="AG402" i="10"/>
  <c r="AG423" i="10" s="1"/>
  <c r="AF402" i="10"/>
  <c r="Q402" i="10"/>
  <c r="P402" i="10"/>
  <c r="O402" i="10"/>
  <c r="N402" i="10"/>
  <c r="AE401" i="10"/>
  <c r="AD401" i="10"/>
  <c r="AD423" i="10" s="1"/>
  <c r="AC401" i="10"/>
  <c r="AB401" i="10"/>
  <c r="O401" i="10"/>
  <c r="Q401" i="10" s="1"/>
  <c r="N401" i="10"/>
  <c r="P401" i="10" s="1"/>
  <c r="O400" i="10"/>
  <c r="Q400" i="10" s="1"/>
  <c r="N400" i="10"/>
  <c r="P400" i="10" s="1"/>
  <c r="O399" i="10"/>
  <c r="Q399" i="10" s="1"/>
  <c r="N399" i="10"/>
  <c r="P399" i="10" s="1"/>
  <c r="O398" i="10"/>
  <c r="Q398" i="10" s="1"/>
  <c r="N398" i="10"/>
  <c r="P398" i="10" s="1"/>
  <c r="O397" i="10"/>
  <c r="Q397" i="10" s="1"/>
  <c r="N397" i="10"/>
  <c r="P397" i="10" s="1"/>
  <c r="O396" i="10"/>
  <c r="Q396" i="10" s="1"/>
  <c r="N396" i="10"/>
  <c r="P396" i="10" s="1"/>
  <c r="O395" i="10"/>
  <c r="Q395" i="10" s="1"/>
  <c r="N395" i="10"/>
  <c r="P395" i="10" s="1"/>
  <c r="O394" i="10"/>
  <c r="Q394" i="10" s="1"/>
  <c r="N394" i="10"/>
  <c r="P394" i="10" s="1"/>
  <c r="O393" i="10"/>
  <c r="Q393" i="10" s="1"/>
  <c r="N393" i="10"/>
  <c r="P393" i="10" s="1"/>
  <c r="O392" i="10"/>
  <c r="Q392" i="10" s="1"/>
  <c r="N392" i="10"/>
  <c r="P392" i="10" s="1"/>
  <c r="O391" i="10"/>
  <c r="Q391" i="10" s="1"/>
  <c r="N391" i="10"/>
  <c r="P391" i="10" s="1"/>
  <c r="O390" i="10"/>
  <c r="Q390" i="10" s="1"/>
  <c r="N390" i="10"/>
  <c r="P390" i="10" s="1"/>
  <c r="O389" i="10"/>
  <c r="Q389" i="10" s="1"/>
  <c r="N389" i="10"/>
  <c r="P389" i="10" s="1"/>
  <c r="O388" i="10"/>
  <c r="Q388" i="10" s="1"/>
  <c r="N388" i="10"/>
  <c r="P388" i="10" s="1"/>
  <c r="O387" i="10"/>
  <c r="Q387" i="10" s="1"/>
  <c r="N387" i="10"/>
  <c r="P387" i="10" s="1"/>
  <c r="O385" i="10"/>
  <c r="Q385" i="10" s="1"/>
  <c r="N385" i="10"/>
  <c r="P385" i="10" s="1"/>
  <c r="P384" i="10"/>
  <c r="O384" i="10"/>
  <c r="Q384" i="10" s="1"/>
  <c r="N384" i="10"/>
  <c r="Q383" i="10"/>
  <c r="N383" i="10"/>
  <c r="P383" i="10" s="1"/>
  <c r="O382" i="10"/>
  <c r="Q382" i="10" s="1"/>
  <c r="N382" i="10"/>
  <c r="P382" i="10" s="1"/>
  <c r="O381" i="10"/>
  <c r="Q381" i="10" s="1"/>
  <c r="N381" i="10"/>
  <c r="P381" i="10" s="1"/>
  <c r="Q380" i="10"/>
  <c r="O380" i="10"/>
  <c r="N380" i="10"/>
  <c r="P380" i="10" s="1"/>
  <c r="Q379" i="10"/>
  <c r="O379" i="10"/>
  <c r="N379" i="10"/>
  <c r="P379" i="10" s="1"/>
  <c r="Z376" i="10"/>
  <c r="M376" i="10"/>
  <c r="L376" i="10"/>
  <c r="K376" i="10"/>
  <c r="J376" i="10"/>
  <c r="N376" i="10" s="1"/>
  <c r="P376" i="10" s="1"/>
  <c r="I376" i="10"/>
  <c r="H376" i="10"/>
  <c r="AG375" i="10"/>
  <c r="AF375" i="10"/>
  <c r="AE375" i="10"/>
  <c r="AD375" i="10"/>
  <c r="AC375" i="10"/>
  <c r="AC376" i="10" s="1"/>
  <c r="AB375" i="10"/>
  <c r="AB376" i="10" s="1"/>
  <c r="O375" i="10"/>
  <c r="Q375" i="10" s="1"/>
  <c r="N375" i="10"/>
  <c r="P375" i="10" s="1"/>
  <c r="AG374" i="10"/>
  <c r="AF374" i="10"/>
  <c r="AE374" i="10"/>
  <c r="AD374" i="10"/>
  <c r="AC374" i="10"/>
  <c r="AB374" i="10"/>
  <c r="O374" i="10"/>
  <c r="Q374" i="10" s="1"/>
  <c r="N374" i="10"/>
  <c r="P374" i="10" s="1"/>
  <c r="AG373" i="10"/>
  <c r="AF373" i="10"/>
  <c r="AE373" i="10"/>
  <c r="AD373" i="10"/>
  <c r="AC373" i="10"/>
  <c r="AB373" i="10"/>
  <c r="O373" i="10"/>
  <c r="Q373" i="10" s="1"/>
  <c r="N373" i="10"/>
  <c r="P373" i="10" s="1"/>
  <c r="Q372" i="10"/>
  <c r="P372" i="10"/>
  <c r="AG371" i="10"/>
  <c r="AF371" i="10"/>
  <c r="AE371" i="10"/>
  <c r="AD371" i="10"/>
  <c r="Z371" i="10"/>
  <c r="M371" i="10"/>
  <c r="L371" i="10"/>
  <c r="K371" i="10"/>
  <c r="J371" i="10"/>
  <c r="I371" i="10"/>
  <c r="H371" i="10"/>
  <c r="O370" i="10"/>
  <c r="Q370" i="10" s="1"/>
  <c r="N370" i="10"/>
  <c r="P370" i="10" s="1"/>
  <c r="O369" i="10"/>
  <c r="Q369" i="10" s="1"/>
  <c r="N369" i="10"/>
  <c r="P369" i="10" s="1"/>
  <c r="O368" i="10"/>
  <c r="Q368" i="10" s="1"/>
  <c r="N368" i="10"/>
  <c r="P368" i="10" s="1"/>
  <c r="AG367" i="10"/>
  <c r="AF367" i="10"/>
  <c r="AE367" i="10"/>
  <c r="AD367" i="10"/>
  <c r="AC367" i="10"/>
  <c r="AC371" i="10" s="1"/>
  <c r="AB367" i="10"/>
  <c r="AB371" i="10" s="1"/>
  <c r="O367" i="10"/>
  <c r="Q367" i="10" s="1"/>
  <c r="N367" i="10"/>
  <c r="P367" i="10" s="1"/>
  <c r="O366" i="10"/>
  <c r="Q366" i="10" s="1"/>
  <c r="N366" i="10"/>
  <c r="P366" i="10" s="1"/>
  <c r="AG363" i="10"/>
  <c r="AE363" i="10"/>
  <c r="AD363" i="10"/>
  <c r="AB363" i="10"/>
  <c r="O362" i="10"/>
  <c r="Q362" i="10" s="1"/>
  <c r="N362" i="10"/>
  <c r="P362" i="10" s="1"/>
  <c r="AG361" i="10"/>
  <c r="AF361" i="10"/>
  <c r="AE361" i="10"/>
  <c r="AD361" i="10"/>
  <c r="AC361" i="10"/>
  <c r="AB361" i="10"/>
  <c r="Z361" i="10"/>
  <c r="M361" i="10"/>
  <c r="L361" i="10"/>
  <c r="K361" i="10"/>
  <c r="J361" i="10"/>
  <c r="I361" i="10"/>
  <c r="H361" i="10"/>
  <c r="N361" i="10" s="1"/>
  <c r="P361" i="10" s="1"/>
  <c r="O360" i="10"/>
  <c r="Q360" i="10" s="1"/>
  <c r="N360" i="10"/>
  <c r="P360" i="10" s="1"/>
  <c r="O359" i="10"/>
  <c r="Q359" i="10" s="1"/>
  <c r="N359" i="10"/>
  <c r="P359" i="10" s="1"/>
  <c r="O357" i="10"/>
  <c r="Q357" i="10" s="1"/>
  <c r="N357" i="10"/>
  <c r="P357" i="10" s="1"/>
  <c r="O356" i="10"/>
  <c r="Q356" i="10" s="1"/>
  <c r="N356" i="10"/>
  <c r="P356" i="10" s="1"/>
  <c r="O355" i="10"/>
  <c r="Q355" i="10" s="1"/>
  <c r="N355" i="10"/>
  <c r="P355" i="10" s="1"/>
  <c r="O354" i="10"/>
  <c r="Q354" i="10" s="1"/>
  <c r="N354" i="10"/>
  <c r="P354" i="10" s="1"/>
  <c r="Q353" i="10"/>
  <c r="P353" i="10"/>
  <c r="O353" i="10"/>
  <c r="N353" i="10"/>
  <c r="O352" i="10"/>
  <c r="Q352" i="10" s="1"/>
  <c r="N352" i="10"/>
  <c r="P352" i="10" s="1"/>
  <c r="O351" i="10"/>
  <c r="Q351" i="10" s="1"/>
  <c r="N351" i="10"/>
  <c r="P351" i="10" s="1"/>
  <c r="AG350" i="10"/>
  <c r="O350" i="10"/>
  <c r="Q350" i="10" s="1"/>
  <c r="N350" i="10"/>
  <c r="P350" i="10" s="1"/>
  <c r="O349" i="10"/>
  <c r="Q349" i="10" s="1"/>
  <c r="N349" i="10"/>
  <c r="P349" i="10" s="1"/>
  <c r="O348" i="10"/>
  <c r="Q348" i="10" s="1"/>
  <c r="N348" i="10"/>
  <c r="P348" i="10" s="1"/>
  <c r="O347" i="10"/>
  <c r="Q347" i="10" s="1"/>
  <c r="N347" i="10"/>
  <c r="P347" i="10" s="1"/>
  <c r="O346" i="10"/>
  <c r="Q346" i="10" s="1"/>
  <c r="N346" i="10"/>
  <c r="P346" i="10" s="1"/>
  <c r="Q345" i="10"/>
  <c r="P345" i="10"/>
  <c r="N345" i="10"/>
  <c r="Q344" i="10"/>
  <c r="O344" i="10"/>
  <c r="N344" i="10"/>
  <c r="P344" i="10" s="1"/>
  <c r="O343" i="10"/>
  <c r="Q343" i="10" s="1"/>
  <c r="N343" i="10"/>
  <c r="P343" i="10" s="1"/>
  <c r="AG342" i="10"/>
  <c r="AF342" i="10"/>
  <c r="AF363" i="10" s="1"/>
  <c r="AE342" i="10"/>
  <c r="AD342" i="10"/>
  <c r="AC342" i="10"/>
  <c r="AC363" i="10" s="1"/>
  <c r="AB342" i="10"/>
  <c r="Z342" i="10"/>
  <c r="Z363" i="10" s="1"/>
  <c r="M342" i="10"/>
  <c r="L342" i="10"/>
  <c r="K342" i="10"/>
  <c r="J342" i="10"/>
  <c r="I342" i="10"/>
  <c r="H342" i="10"/>
  <c r="O341" i="10"/>
  <c r="Q341" i="10" s="1"/>
  <c r="N341" i="10"/>
  <c r="P341" i="10" s="1"/>
  <c r="O339" i="10"/>
  <c r="Q339" i="10" s="1"/>
  <c r="N339" i="10"/>
  <c r="P339" i="10" s="1"/>
  <c r="Q338" i="10"/>
  <c r="N338" i="10"/>
  <c r="P338" i="10" s="1"/>
  <c r="O337" i="10"/>
  <c r="Q337" i="10" s="1"/>
  <c r="N337" i="10"/>
  <c r="P337" i="10" s="1"/>
  <c r="Q336" i="10"/>
  <c r="N336" i="10"/>
  <c r="P336" i="10" s="1"/>
  <c r="O332" i="10"/>
  <c r="Q332" i="10" s="1"/>
  <c r="N332" i="10"/>
  <c r="P332" i="10" s="1"/>
  <c r="AG331" i="10"/>
  <c r="AF331" i="10"/>
  <c r="AE331" i="10"/>
  <c r="AD331" i="10"/>
  <c r="AC331" i="10"/>
  <c r="AB331" i="10"/>
  <c r="Z331" i="10"/>
  <c r="M331" i="10"/>
  <c r="L331" i="10"/>
  <c r="K331" i="10"/>
  <c r="J331" i="10"/>
  <c r="I331" i="10"/>
  <c r="O331" i="10" s="1"/>
  <c r="Q331" i="10" s="1"/>
  <c r="H331" i="10"/>
  <c r="O330" i="10"/>
  <c r="Q330" i="10" s="1"/>
  <c r="N330" i="10"/>
  <c r="P330" i="10" s="1"/>
  <c r="AG328" i="10"/>
  <c r="AF328" i="10"/>
  <c r="AE328" i="10"/>
  <c r="AD328" i="10"/>
  <c r="AC328" i="10"/>
  <c r="AB328" i="10"/>
  <c r="Z328" i="10"/>
  <c r="M328" i="10"/>
  <c r="L328" i="10"/>
  <c r="K328" i="10"/>
  <c r="J328" i="10"/>
  <c r="I328" i="10"/>
  <c r="O328" i="10" s="1"/>
  <c r="Q328" i="10" s="1"/>
  <c r="H328" i="10"/>
  <c r="O326" i="10"/>
  <c r="Q326" i="10" s="1"/>
  <c r="N326" i="10"/>
  <c r="P326" i="10" s="1"/>
  <c r="O325" i="10"/>
  <c r="Q325" i="10" s="1"/>
  <c r="N325" i="10"/>
  <c r="P325" i="10" s="1"/>
  <c r="O324" i="10"/>
  <c r="Q324" i="10" s="1"/>
  <c r="N324" i="10"/>
  <c r="P324" i="10" s="1"/>
  <c r="O323" i="10"/>
  <c r="Q323" i="10" s="1"/>
  <c r="N323" i="10"/>
  <c r="P323" i="10" s="1"/>
  <c r="O322" i="10"/>
  <c r="Q322" i="10" s="1"/>
  <c r="N322" i="10"/>
  <c r="P322" i="10" s="1"/>
  <c r="O321" i="10"/>
  <c r="Q321" i="10" s="1"/>
  <c r="N321" i="10"/>
  <c r="P321" i="10" s="1"/>
  <c r="AG319" i="10"/>
  <c r="AF319" i="10"/>
  <c r="AE319" i="10"/>
  <c r="AD319" i="10"/>
  <c r="AC319" i="10"/>
  <c r="AB319" i="10"/>
  <c r="Z319" i="10"/>
  <c r="M319" i="10"/>
  <c r="L319" i="10"/>
  <c r="K319" i="10"/>
  <c r="J319" i="10"/>
  <c r="I319" i="10"/>
  <c r="H319" i="10"/>
  <c r="N319" i="10" s="1"/>
  <c r="P319" i="10" s="1"/>
  <c r="O318" i="10"/>
  <c r="Q318" i="10" s="1"/>
  <c r="N318" i="10"/>
  <c r="P318" i="10" s="1"/>
  <c r="O317" i="10"/>
  <c r="Q317" i="10" s="1"/>
  <c r="N317" i="10"/>
  <c r="P317" i="10" s="1"/>
  <c r="O316" i="10"/>
  <c r="Q316" i="10" s="1"/>
  <c r="N316" i="10"/>
  <c r="P316" i="10" s="1"/>
  <c r="O315" i="10"/>
  <c r="Q315" i="10" s="1"/>
  <c r="N315" i="10"/>
  <c r="P315" i="10" s="1"/>
  <c r="O314" i="10"/>
  <c r="Q314" i="10" s="1"/>
  <c r="N314" i="10"/>
  <c r="P314" i="10" s="1"/>
  <c r="O313" i="10"/>
  <c r="Q313" i="10" s="1"/>
  <c r="N313" i="10"/>
  <c r="P313" i="10" s="1"/>
  <c r="P312" i="10"/>
  <c r="O312" i="10"/>
  <c r="Q312" i="10" s="1"/>
  <c r="N312" i="10"/>
  <c r="P311" i="10"/>
  <c r="O311" i="10"/>
  <c r="Q311" i="10" s="1"/>
  <c r="N311" i="10"/>
  <c r="O310" i="10"/>
  <c r="Q310" i="10" s="1"/>
  <c r="N310" i="10"/>
  <c r="P310" i="10" s="1"/>
  <c r="O309" i="10"/>
  <c r="Q309" i="10" s="1"/>
  <c r="N309" i="10"/>
  <c r="P309" i="10" s="1"/>
  <c r="AG307" i="10"/>
  <c r="AF307" i="10"/>
  <c r="AE307" i="10"/>
  <c r="AD307" i="10"/>
  <c r="AC307" i="10"/>
  <c r="AB307" i="10"/>
  <c r="Z307" i="10"/>
  <c r="M307" i="10"/>
  <c r="L307" i="10"/>
  <c r="K307" i="10"/>
  <c r="J307" i="10"/>
  <c r="I307" i="10"/>
  <c r="O307" i="10" s="1"/>
  <c r="Q307" i="10" s="1"/>
  <c r="H307" i="10"/>
  <c r="N307" i="10" s="1"/>
  <c r="P307" i="10" s="1"/>
  <c r="O306" i="10"/>
  <c r="Q306" i="10" s="1"/>
  <c r="N306" i="10"/>
  <c r="P306" i="10" s="1"/>
  <c r="O305" i="10"/>
  <c r="Q305" i="10" s="1"/>
  <c r="N305" i="10"/>
  <c r="P305" i="10" s="1"/>
  <c r="O304" i="10"/>
  <c r="Q304" i="10" s="1"/>
  <c r="N304" i="10"/>
  <c r="P304" i="10" s="1"/>
  <c r="O303" i="10"/>
  <c r="Q303" i="10" s="1"/>
  <c r="N303" i="10"/>
  <c r="P303" i="10" s="1"/>
  <c r="AG301" i="10"/>
  <c r="AF301" i="10"/>
  <c r="AE301" i="10"/>
  <c r="AD301" i="10"/>
  <c r="AC301" i="10"/>
  <c r="AB301" i="10"/>
  <c r="Z301" i="10"/>
  <c r="M301" i="10"/>
  <c r="L301" i="10"/>
  <c r="K301" i="10"/>
  <c r="J301" i="10"/>
  <c r="I301" i="10"/>
  <c r="O301" i="10" s="1"/>
  <c r="Q301" i="10" s="1"/>
  <c r="H301" i="10"/>
  <c r="O300" i="10"/>
  <c r="Q300" i="10" s="1"/>
  <c r="N300" i="10"/>
  <c r="P300" i="10" s="1"/>
  <c r="O299" i="10"/>
  <c r="Q299" i="10" s="1"/>
  <c r="N299" i="10"/>
  <c r="P299" i="10" s="1"/>
  <c r="O298" i="10"/>
  <c r="Q298" i="10" s="1"/>
  <c r="N298" i="10"/>
  <c r="P298" i="10" s="1"/>
  <c r="O297" i="10"/>
  <c r="Q297" i="10" s="1"/>
  <c r="N297" i="10"/>
  <c r="P297" i="10" s="1"/>
  <c r="O296" i="10"/>
  <c r="Q296" i="10" s="1"/>
  <c r="N296" i="10"/>
  <c r="P296" i="10" s="1"/>
  <c r="O295" i="10"/>
  <c r="Q295" i="10" s="1"/>
  <c r="N295" i="10"/>
  <c r="P295" i="10" s="1"/>
  <c r="O294" i="10"/>
  <c r="Q294" i="10" s="1"/>
  <c r="N294" i="10"/>
  <c r="P294" i="10" s="1"/>
  <c r="O293" i="10"/>
  <c r="Q293" i="10" s="1"/>
  <c r="N293" i="10"/>
  <c r="P293" i="10" s="1"/>
  <c r="O292" i="10"/>
  <c r="Q292" i="10" s="1"/>
  <c r="N292" i="10"/>
  <c r="P292" i="10" s="1"/>
  <c r="O291" i="10"/>
  <c r="Q291" i="10" s="1"/>
  <c r="N291" i="10"/>
  <c r="P291" i="10" s="1"/>
  <c r="O290" i="10"/>
  <c r="Q290" i="10" s="1"/>
  <c r="N290" i="10"/>
  <c r="P290" i="10" s="1"/>
  <c r="AG288" i="10"/>
  <c r="AF288" i="10"/>
  <c r="AE288" i="10"/>
  <c r="AD288" i="10"/>
  <c r="AC288" i="10"/>
  <c r="AB288" i="10"/>
  <c r="Z288" i="10"/>
  <c r="M288" i="10"/>
  <c r="L288" i="10"/>
  <c r="K288" i="10"/>
  <c r="J288" i="10"/>
  <c r="I288" i="10"/>
  <c r="O288" i="10" s="1"/>
  <c r="Q288" i="10" s="1"/>
  <c r="H288" i="10"/>
  <c r="N288" i="10" s="1"/>
  <c r="P288" i="10" s="1"/>
  <c r="O287" i="10"/>
  <c r="Q287" i="10" s="1"/>
  <c r="N287" i="10"/>
  <c r="P287" i="10" s="1"/>
  <c r="O286" i="10"/>
  <c r="Q286" i="10" s="1"/>
  <c r="N286" i="10"/>
  <c r="P286" i="10" s="1"/>
  <c r="Q285" i="10"/>
  <c r="O285" i="10"/>
  <c r="N285" i="10"/>
  <c r="P285" i="10" s="1"/>
  <c r="O284" i="10"/>
  <c r="Q284" i="10" s="1"/>
  <c r="N284" i="10"/>
  <c r="P284" i="10" s="1"/>
  <c r="O283" i="10"/>
  <c r="Q283" i="10" s="1"/>
  <c r="N283" i="10"/>
  <c r="P283" i="10" s="1"/>
  <c r="O282" i="10"/>
  <c r="Q282" i="10" s="1"/>
  <c r="N282" i="10"/>
  <c r="P282" i="10" s="1"/>
  <c r="Q281" i="10"/>
  <c r="P281" i="10"/>
  <c r="AG280" i="10"/>
  <c r="AF280" i="10"/>
  <c r="AE280" i="10"/>
  <c r="AD280" i="10"/>
  <c r="AC280" i="10"/>
  <c r="AB280" i="10"/>
  <c r="Z280" i="10"/>
  <c r="M280" i="10"/>
  <c r="L280" i="10"/>
  <c r="K280" i="10"/>
  <c r="J280" i="10"/>
  <c r="I280" i="10"/>
  <c r="H280" i="10"/>
  <c r="O279" i="10"/>
  <c r="Q279" i="10" s="1"/>
  <c r="N279" i="10"/>
  <c r="P279" i="10" s="1"/>
  <c r="O278" i="10"/>
  <c r="Q278" i="10" s="1"/>
  <c r="N278" i="10"/>
  <c r="P278" i="10" s="1"/>
  <c r="O277" i="10"/>
  <c r="Q277" i="10" s="1"/>
  <c r="N277" i="10"/>
  <c r="P277" i="10" s="1"/>
  <c r="Q276" i="10"/>
  <c r="P276" i="10"/>
  <c r="O276" i="10"/>
  <c r="N276" i="10"/>
  <c r="O275" i="10"/>
  <c r="Q275" i="10" s="1"/>
  <c r="N275" i="10"/>
  <c r="P275" i="10" s="1"/>
  <c r="O274" i="10"/>
  <c r="Q274" i="10" s="1"/>
  <c r="N274" i="10"/>
  <c r="P274" i="10" s="1"/>
  <c r="O273" i="10"/>
  <c r="Q273" i="10" s="1"/>
  <c r="N273" i="10"/>
  <c r="P273" i="10" s="1"/>
  <c r="O272" i="10"/>
  <c r="Q272" i="10" s="1"/>
  <c r="N272" i="10"/>
  <c r="P272" i="10" s="1"/>
  <c r="O271" i="10"/>
  <c r="Q271" i="10" s="1"/>
  <c r="N271" i="10"/>
  <c r="P271" i="10" s="1"/>
  <c r="O270" i="10"/>
  <c r="Q270" i="10" s="1"/>
  <c r="N270" i="10"/>
  <c r="P270" i="10" s="1"/>
  <c r="O269" i="10"/>
  <c r="Q269" i="10" s="1"/>
  <c r="N269" i="10"/>
  <c r="P269" i="10" s="1"/>
  <c r="O268" i="10"/>
  <c r="Q268" i="10" s="1"/>
  <c r="N268" i="10"/>
  <c r="P268" i="10" s="1"/>
  <c r="O267" i="10"/>
  <c r="Q267" i="10" s="1"/>
  <c r="N267" i="10"/>
  <c r="P267" i="10" s="1"/>
  <c r="O266" i="10"/>
  <c r="Q266" i="10" s="1"/>
  <c r="N266" i="10"/>
  <c r="P266" i="10" s="1"/>
  <c r="O265" i="10"/>
  <c r="Q265" i="10" s="1"/>
  <c r="N265" i="10"/>
  <c r="P265" i="10" s="1"/>
  <c r="AG263" i="10"/>
  <c r="AF263" i="10"/>
  <c r="AE263" i="10"/>
  <c r="AD263" i="10"/>
  <c r="AC263" i="10"/>
  <c r="AB263" i="10"/>
  <c r="Z263" i="10"/>
  <c r="M263" i="10"/>
  <c r="L263" i="10"/>
  <c r="K263" i="10"/>
  <c r="J263" i="10"/>
  <c r="I263" i="10"/>
  <c r="O263" i="10" s="1"/>
  <c r="Q263" i="10" s="1"/>
  <c r="H263" i="10"/>
  <c r="Q262" i="10"/>
  <c r="O262" i="10"/>
  <c r="N262" i="10"/>
  <c r="P262" i="10" s="1"/>
  <c r="O261" i="10"/>
  <c r="Q261" i="10" s="1"/>
  <c r="N261" i="10"/>
  <c r="P261" i="10" s="1"/>
  <c r="O260" i="10"/>
  <c r="Q260" i="10" s="1"/>
  <c r="N260" i="10"/>
  <c r="P260" i="10" s="1"/>
  <c r="O259" i="10"/>
  <c r="Q259" i="10" s="1"/>
  <c r="N259" i="10"/>
  <c r="P259" i="10" s="1"/>
  <c r="Q258" i="10"/>
  <c r="P258" i="10"/>
  <c r="AG257" i="10"/>
  <c r="AF257" i="10"/>
  <c r="AE257" i="10"/>
  <c r="AD257" i="10"/>
  <c r="AC257" i="10"/>
  <c r="AB257" i="10"/>
  <c r="Z257" i="10"/>
  <c r="N257" i="10"/>
  <c r="P257" i="10" s="1"/>
  <c r="M257" i="10"/>
  <c r="L257" i="10"/>
  <c r="K257" i="10"/>
  <c r="O257" i="10" s="1"/>
  <c r="Q257" i="10" s="1"/>
  <c r="J257" i="10"/>
  <c r="I257" i="10"/>
  <c r="H257" i="10"/>
  <c r="O256" i="10"/>
  <c r="Q256" i="10" s="1"/>
  <c r="N256" i="10"/>
  <c r="P256" i="10" s="1"/>
  <c r="O255" i="10"/>
  <c r="Q255" i="10" s="1"/>
  <c r="N255" i="10"/>
  <c r="P255" i="10" s="1"/>
  <c r="Q254" i="10"/>
  <c r="N254" i="10"/>
  <c r="P254" i="10" s="1"/>
  <c r="O253" i="10"/>
  <c r="Q253" i="10" s="1"/>
  <c r="N253" i="10"/>
  <c r="P253" i="10" s="1"/>
  <c r="O252" i="10"/>
  <c r="Q252" i="10" s="1"/>
  <c r="N252" i="10"/>
  <c r="P252" i="10" s="1"/>
  <c r="O251" i="10"/>
  <c r="Q251" i="10" s="1"/>
  <c r="N251" i="10"/>
  <c r="P251" i="10" s="1"/>
  <c r="Q250" i="10"/>
  <c r="N250" i="10"/>
  <c r="P250" i="10" s="1"/>
  <c r="O249" i="10"/>
  <c r="Q249" i="10" s="1"/>
  <c r="N249" i="10"/>
  <c r="P249" i="10" s="1"/>
  <c r="P248" i="10"/>
  <c r="O248" i="10"/>
  <c r="Q248" i="10" s="1"/>
  <c r="N248" i="10"/>
  <c r="O247" i="10"/>
  <c r="Q247" i="10" s="1"/>
  <c r="N247" i="10"/>
  <c r="P247" i="10" s="1"/>
  <c r="O246" i="10"/>
  <c r="Q246" i="10" s="1"/>
  <c r="N246" i="10"/>
  <c r="P246" i="10" s="1"/>
  <c r="O245" i="10"/>
  <c r="Q245" i="10" s="1"/>
  <c r="N245" i="10"/>
  <c r="P245" i="10" s="1"/>
  <c r="Q244" i="10"/>
  <c r="N244" i="10"/>
  <c r="P244" i="10" s="1"/>
  <c r="O243" i="10"/>
  <c r="Q243" i="10" s="1"/>
  <c r="N243" i="10"/>
  <c r="P243" i="10" s="1"/>
  <c r="O242" i="10"/>
  <c r="Q242" i="10" s="1"/>
  <c r="N242" i="10"/>
  <c r="P242" i="10" s="1"/>
  <c r="O241" i="10"/>
  <c r="Q241" i="10" s="1"/>
  <c r="N241" i="10"/>
  <c r="P241" i="10" s="1"/>
  <c r="O240" i="10"/>
  <c r="Q240" i="10" s="1"/>
  <c r="N240" i="10"/>
  <c r="P240" i="10" s="1"/>
  <c r="Q239" i="10"/>
  <c r="P239" i="10"/>
  <c r="O239" i="10"/>
  <c r="N239" i="10"/>
  <c r="O238" i="10"/>
  <c r="Q238" i="10" s="1"/>
  <c r="N238" i="10"/>
  <c r="P238" i="10" s="1"/>
  <c r="O237" i="10"/>
  <c r="Q237" i="10" s="1"/>
  <c r="N237" i="10"/>
  <c r="P237" i="10" s="1"/>
  <c r="O236" i="10"/>
  <c r="Q236" i="10" s="1"/>
  <c r="N236" i="10"/>
  <c r="P236" i="10" s="1"/>
  <c r="AG234" i="10"/>
  <c r="AF234" i="10"/>
  <c r="AE234" i="10"/>
  <c r="AD234" i="10"/>
  <c r="AC234" i="10"/>
  <c r="AB234" i="10"/>
  <c r="Z234" i="10"/>
  <c r="M234" i="10"/>
  <c r="L234" i="10"/>
  <c r="K234" i="10"/>
  <c r="J234" i="10"/>
  <c r="I234" i="10"/>
  <c r="O234" i="10" s="1"/>
  <c r="Q234" i="10" s="1"/>
  <c r="H234" i="10"/>
  <c r="Q233" i="10"/>
  <c r="O233" i="10"/>
  <c r="N233" i="10"/>
  <c r="P233" i="10" s="1"/>
  <c r="O232" i="10"/>
  <c r="Q232" i="10" s="1"/>
  <c r="N232" i="10"/>
  <c r="P232" i="10" s="1"/>
  <c r="O231" i="10"/>
  <c r="Q231" i="10" s="1"/>
  <c r="N231" i="10"/>
  <c r="P231" i="10" s="1"/>
  <c r="O230" i="10"/>
  <c r="Q230" i="10" s="1"/>
  <c r="N230" i="10"/>
  <c r="P230" i="10" s="1"/>
  <c r="Q229" i="10"/>
  <c r="P229" i="10"/>
  <c r="Q228" i="10"/>
  <c r="P228" i="10"/>
  <c r="O228" i="10"/>
  <c r="N228" i="10"/>
  <c r="AG227" i="10"/>
  <c r="AF227" i="10"/>
  <c r="AE227" i="10"/>
  <c r="AD227" i="10"/>
  <c r="AC227" i="10"/>
  <c r="AB227" i="10"/>
  <c r="AB225" i="10"/>
  <c r="Z225" i="10"/>
  <c r="M225" i="10"/>
  <c r="L225" i="10"/>
  <c r="K225" i="10"/>
  <c r="J225" i="10"/>
  <c r="I225" i="10"/>
  <c r="O225" i="10" s="1"/>
  <c r="Q225" i="10" s="1"/>
  <c r="H225" i="10"/>
  <c r="O224" i="10"/>
  <c r="Q224" i="10" s="1"/>
  <c r="N224" i="10"/>
  <c r="P224" i="10" s="1"/>
  <c r="AG223" i="10"/>
  <c r="AG225" i="10" s="1"/>
  <c r="AF223" i="10"/>
  <c r="AF225" i="10" s="1"/>
  <c r="AE223" i="10"/>
  <c r="AE225" i="10" s="1"/>
  <c r="AD223" i="10"/>
  <c r="AD225" i="10" s="1"/>
  <c r="AC223" i="10"/>
  <c r="AC225" i="10" s="1"/>
  <c r="AB223" i="10"/>
  <c r="O223" i="10"/>
  <c r="Q223" i="10" s="1"/>
  <c r="N223" i="10"/>
  <c r="P223" i="10" s="1"/>
  <c r="AC219" i="10"/>
  <c r="AB219" i="10"/>
  <c r="Z219" i="10"/>
  <c r="AG218" i="10"/>
  <c r="Q218" i="10"/>
  <c r="L218" i="10"/>
  <c r="L219" i="10" s="1"/>
  <c r="J218" i="10"/>
  <c r="J219" i="10" s="1"/>
  <c r="H218" i="10"/>
  <c r="N218" i="10" s="1"/>
  <c r="P218" i="10" s="1"/>
  <c r="Q217" i="10"/>
  <c r="N217" i="10"/>
  <c r="P217" i="10" s="1"/>
  <c r="AG215" i="10"/>
  <c r="AG219" i="10" s="1"/>
  <c r="AF215" i="10"/>
  <c r="AF219" i="10" s="1"/>
  <c r="AE215" i="10"/>
  <c r="AE219" i="10" s="1"/>
  <c r="AD215" i="10"/>
  <c r="AD219" i="10" s="1"/>
  <c r="AC215" i="10"/>
  <c r="AB215" i="10"/>
  <c r="Z215" i="10"/>
  <c r="M215" i="10"/>
  <c r="L215" i="10"/>
  <c r="K215" i="10"/>
  <c r="K219" i="10" s="1"/>
  <c r="J215" i="10"/>
  <c r="I215" i="10"/>
  <c r="I219" i="10" s="1"/>
  <c r="H215" i="10"/>
  <c r="N215" i="10" s="1"/>
  <c r="P215" i="10" s="1"/>
  <c r="O214" i="10"/>
  <c r="Q214" i="10" s="1"/>
  <c r="N214" i="10"/>
  <c r="P214" i="10" s="1"/>
  <c r="O213" i="10"/>
  <c r="Q213" i="10" s="1"/>
  <c r="N213" i="10"/>
  <c r="P213" i="10" s="1"/>
  <c r="Q212" i="10"/>
  <c r="N212" i="10"/>
  <c r="P212" i="10" s="1"/>
  <c r="O211" i="10"/>
  <c r="Q211" i="10" s="1"/>
  <c r="N211" i="10"/>
  <c r="P211" i="10" s="1"/>
  <c r="O210" i="10"/>
  <c r="Q210" i="10" s="1"/>
  <c r="N210" i="10"/>
  <c r="P210" i="10" s="1"/>
  <c r="AG207" i="10"/>
  <c r="AF207" i="10"/>
  <c r="AE207" i="10"/>
  <c r="AD207" i="10"/>
  <c r="AC207" i="10"/>
  <c r="AB207" i="10"/>
  <c r="Z207" i="10"/>
  <c r="M207" i="10"/>
  <c r="L207" i="10"/>
  <c r="K207" i="10"/>
  <c r="J207" i="10"/>
  <c r="I207" i="10"/>
  <c r="H207" i="10"/>
  <c r="O206" i="10"/>
  <c r="Q206" i="10" s="1"/>
  <c r="N206" i="10"/>
  <c r="P206" i="10" s="1"/>
  <c r="O205" i="10"/>
  <c r="Q205" i="10" s="1"/>
  <c r="N205" i="10"/>
  <c r="P205" i="10" s="1"/>
  <c r="Q204" i="10"/>
  <c r="N204" i="10"/>
  <c r="P204" i="10" s="1"/>
  <c r="O203" i="10"/>
  <c r="Q203" i="10" s="1"/>
  <c r="N203" i="10"/>
  <c r="P203" i="10" s="1"/>
  <c r="AG201" i="10"/>
  <c r="AF201" i="10"/>
  <c r="AE201" i="10"/>
  <c r="AD201" i="10"/>
  <c r="AC201" i="10"/>
  <c r="AB201" i="10"/>
  <c r="Z201" i="10"/>
  <c r="M201" i="10"/>
  <c r="L201" i="10"/>
  <c r="K201" i="10"/>
  <c r="J201" i="10"/>
  <c r="I201" i="10"/>
  <c r="O201" i="10" s="1"/>
  <c r="Q201" i="10" s="1"/>
  <c r="H201" i="10"/>
  <c r="O200" i="10"/>
  <c r="Q200" i="10" s="1"/>
  <c r="N200" i="10"/>
  <c r="P200" i="10" s="1"/>
  <c r="AG198" i="10"/>
  <c r="AE198" i="10"/>
  <c r="Z198" i="10"/>
  <c r="M198" i="10"/>
  <c r="L198" i="10"/>
  <c r="K198" i="10"/>
  <c r="J198" i="10"/>
  <c r="N198" i="10" s="1"/>
  <c r="P198" i="10" s="1"/>
  <c r="I198" i="10"/>
  <c r="H198" i="10"/>
  <c r="O197" i="10"/>
  <c r="Q197" i="10" s="1"/>
  <c r="N197" i="10"/>
  <c r="P197" i="10" s="1"/>
  <c r="AG196" i="10"/>
  <c r="AF196" i="10"/>
  <c r="AE196" i="10"/>
  <c r="AD196" i="10"/>
  <c r="AC196" i="10"/>
  <c r="AB196" i="10"/>
  <c r="O196" i="10"/>
  <c r="Q196" i="10" s="1"/>
  <c r="N196" i="10"/>
  <c r="P196" i="10" s="1"/>
  <c r="AG195" i="10"/>
  <c r="AF195" i="10"/>
  <c r="AE195" i="10"/>
  <c r="AD195" i="10"/>
  <c r="AC195" i="10"/>
  <c r="AB195" i="10"/>
  <c r="O195" i="10"/>
  <c r="Q195" i="10" s="1"/>
  <c r="N195" i="10"/>
  <c r="P195" i="10" s="1"/>
  <c r="O194" i="10"/>
  <c r="Q194" i="10" s="1"/>
  <c r="N194" i="10"/>
  <c r="P194" i="10" s="1"/>
  <c r="AG193" i="10"/>
  <c r="AF193" i="10"/>
  <c r="AE193" i="10"/>
  <c r="AD193" i="10"/>
  <c r="AC193" i="10"/>
  <c r="AB193" i="10"/>
  <c r="Q193" i="10"/>
  <c r="O193" i="10"/>
  <c r="N193" i="10"/>
  <c r="P193" i="10" s="1"/>
  <c r="AG191" i="10"/>
  <c r="AF191" i="10"/>
  <c r="AE191" i="10"/>
  <c r="AD191" i="10"/>
  <c r="AC191" i="10"/>
  <c r="AB191" i="10"/>
  <c r="Z191" i="10"/>
  <c r="M191" i="10"/>
  <c r="L191" i="10"/>
  <c r="K191" i="10"/>
  <c r="J191" i="10"/>
  <c r="I191" i="10"/>
  <c r="H191" i="10"/>
  <c r="N191" i="10" s="1"/>
  <c r="P191" i="10" s="1"/>
  <c r="O190" i="10"/>
  <c r="Q190" i="10" s="1"/>
  <c r="N190" i="10"/>
  <c r="P190" i="10" s="1"/>
  <c r="Q189" i="10"/>
  <c r="P189" i="10"/>
  <c r="AF188" i="10"/>
  <c r="AB188" i="10"/>
  <c r="Z188" i="10"/>
  <c r="M188" i="10"/>
  <c r="L188" i="10"/>
  <c r="K188" i="10"/>
  <c r="J188" i="10"/>
  <c r="I188" i="10"/>
  <c r="O188" i="10" s="1"/>
  <c r="Q188" i="10" s="1"/>
  <c r="H188" i="10"/>
  <c r="N188" i="10" s="1"/>
  <c r="P188" i="10" s="1"/>
  <c r="O187" i="10"/>
  <c r="Q187" i="10" s="1"/>
  <c r="N187" i="10"/>
  <c r="P187" i="10" s="1"/>
  <c r="O186" i="10"/>
  <c r="Q186" i="10" s="1"/>
  <c r="N186" i="10"/>
  <c r="P186" i="10" s="1"/>
  <c r="AP185" i="10"/>
  <c r="AG185" i="10"/>
  <c r="AG188" i="10" s="1"/>
  <c r="AF185" i="10"/>
  <c r="AE185" i="10"/>
  <c r="AE188" i="10" s="1"/>
  <c r="AD185" i="10"/>
  <c r="AD188" i="10" s="1"/>
  <c r="AC185" i="10"/>
  <c r="AC188" i="10" s="1"/>
  <c r="AB185" i="10"/>
  <c r="O185" i="10"/>
  <c r="Q185" i="10" s="1"/>
  <c r="N185" i="10"/>
  <c r="P185" i="10" s="1"/>
  <c r="AP184" i="10"/>
  <c r="Q184" i="10"/>
  <c r="P184" i="10"/>
  <c r="AN183" i="10"/>
  <c r="AP183" i="10" s="1"/>
  <c r="AE182" i="10"/>
  <c r="AD182" i="10"/>
  <c r="AC182" i="10"/>
  <c r="AB182" i="10"/>
  <c r="Z182" i="10"/>
  <c r="M182" i="10"/>
  <c r="L182" i="10"/>
  <c r="K182" i="10"/>
  <c r="J182" i="10"/>
  <c r="I182" i="10"/>
  <c r="O182" i="10" s="1"/>
  <c r="Q182" i="10" s="1"/>
  <c r="H182" i="10"/>
  <c r="N182" i="10" s="1"/>
  <c r="P182" i="10" s="1"/>
  <c r="AN188" i="10"/>
  <c r="AN189" i="10" s="1"/>
  <c r="O181" i="10"/>
  <c r="Q181" i="10" s="1"/>
  <c r="N181" i="10"/>
  <c r="P181" i="10" s="1"/>
  <c r="AN180" i="10"/>
  <c r="O180" i="10"/>
  <c r="Q180" i="10" s="1"/>
  <c r="N180" i="10"/>
  <c r="P180" i="10" s="1"/>
  <c r="AP179" i="10"/>
  <c r="O179" i="10"/>
  <c r="Q179" i="10" s="1"/>
  <c r="N179" i="10"/>
  <c r="P179" i="10" s="1"/>
  <c r="AP178" i="10"/>
  <c r="O178" i="10"/>
  <c r="Q178" i="10" s="1"/>
  <c r="N178" i="10"/>
  <c r="P178" i="10" s="1"/>
  <c r="AP177" i="10"/>
  <c r="O177" i="10"/>
  <c r="Q177" i="10" s="1"/>
  <c r="N177" i="10"/>
  <c r="P177" i="10" s="1"/>
  <c r="AP176" i="10"/>
  <c r="AG176" i="10"/>
  <c r="P176" i="10"/>
  <c r="O176" i="10"/>
  <c r="Q176" i="10" s="1"/>
  <c r="N176" i="10"/>
  <c r="AP175" i="10"/>
  <c r="O175" i="10"/>
  <c r="Q175" i="10" s="1"/>
  <c r="N175" i="10"/>
  <c r="P175" i="10" s="1"/>
  <c r="AP174" i="10"/>
  <c r="O174" i="10"/>
  <c r="Q174" i="10" s="1"/>
  <c r="N174" i="10"/>
  <c r="P174" i="10" s="1"/>
  <c r="AP173" i="10"/>
  <c r="AG173" i="10"/>
  <c r="AF173" i="10"/>
  <c r="AE173" i="10"/>
  <c r="AD173" i="10"/>
  <c r="AC173" i="10"/>
  <c r="AB173" i="10"/>
  <c r="O173" i="10"/>
  <c r="Q173" i="10" s="1"/>
  <c r="N173" i="10"/>
  <c r="P173" i="10" s="1"/>
  <c r="AP172" i="10"/>
  <c r="AG172" i="10"/>
  <c r="AF172" i="10"/>
  <c r="O172" i="10"/>
  <c r="Q172" i="10" s="1"/>
  <c r="N172" i="10"/>
  <c r="P172" i="10" s="1"/>
  <c r="Q171" i="10"/>
  <c r="P171" i="10"/>
  <c r="O169" i="10"/>
  <c r="Q169" i="10" s="1"/>
  <c r="N169" i="10"/>
  <c r="P169" i="10" s="1"/>
  <c r="AG168" i="10"/>
  <c r="AF168" i="10"/>
  <c r="AE168" i="10"/>
  <c r="AD168" i="10"/>
  <c r="AC168" i="10"/>
  <c r="AB168" i="10"/>
  <c r="Z168" i="10"/>
  <c r="M168" i="10"/>
  <c r="L168" i="10"/>
  <c r="K168" i="10"/>
  <c r="J168" i="10"/>
  <c r="I168" i="10"/>
  <c r="O168" i="10" s="1"/>
  <c r="Q168" i="10" s="1"/>
  <c r="H168" i="10"/>
  <c r="N168" i="10" s="1"/>
  <c r="P168" i="10" s="1"/>
  <c r="O167" i="10"/>
  <c r="Q167" i="10" s="1"/>
  <c r="N167" i="10"/>
  <c r="P167" i="10" s="1"/>
  <c r="O166" i="10"/>
  <c r="Q166" i="10" s="1"/>
  <c r="N166" i="10"/>
  <c r="P166" i="10" s="1"/>
  <c r="Q165" i="10"/>
  <c r="P165" i="10"/>
  <c r="AG164" i="10"/>
  <c r="AF164" i="10"/>
  <c r="AE164" i="10"/>
  <c r="AD164" i="10"/>
  <c r="AC164" i="10"/>
  <c r="AB164" i="10"/>
  <c r="Z164" i="10"/>
  <c r="M164" i="10"/>
  <c r="L164" i="10"/>
  <c r="K164" i="10"/>
  <c r="J164" i="10"/>
  <c r="I164" i="10"/>
  <c r="H164" i="10"/>
  <c r="O163" i="10"/>
  <c r="Q163" i="10" s="1"/>
  <c r="N163" i="10"/>
  <c r="P163" i="10" s="1"/>
  <c r="O162" i="10"/>
  <c r="Q162" i="10" s="1"/>
  <c r="N162" i="10"/>
  <c r="P162" i="10" s="1"/>
  <c r="O161" i="10"/>
  <c r="Q161" i="10" s="1"/>
  <c r="N161" i="10"/>
  <c r="P161" i="10" s="1"/>
  <c r="Q160" i="10"/>
  <c r="P160" i="10"/>
  <c r="AG159" i="10"/>
  <c r="AF159" i="10"/>
  <c r="AE159" i="10"/>
  <c r="AD159" i="10"/>
  <c r="AC159" i="10"/>
  <c r="AB159" i="10"/>
  <c r="Z159" i="10"/>
  <c r="M159" i="10"/>
  <c r="L159" i="10"/>
  <c r="K159" i="10"/>
  <c r="J159" i="10"/>
  <c r="I159" i="10"/>
  <c r="O159" i="10" s="1"/>
  <c r="Q159" i="10" s="1"/>
  <c r="H159" i="10"/>
  <c r="N159" i="10" s="1"/>
  <c r="P159" i="10" s="1"/>
  <c r="O158" i="10"/>
  <c r="Q158" i="10" s="1"/>
  <c r="N158" i="10"/>
  <c r="P158" i="10" s="1"/>
  <c r="Q157" i="10"/>
  <c r="P157" i="10"/>
  <c r="AG156" i="10"/>
  <c r="AF156" i="10"/>
  <c r="AE156" i="10"/>
  <c r="AD156" i="10"/>
  <c r="AC156" i="10"/>
  <c r="AB156" i="10"/>
  <c r="Z156" i="10"/>
  <c r="M156" i="10"/>
  <c r="L156" i="10"/>
  <c r="K156" i="10"/>
  <c r="O156" i="10" s="1"/>
  <c r="Q156" i="10" s="1"/>
  <c r="J156" i="10"/>
  <c r="I156" i="10"/>
  <c r="H156" i="10"/>
  <c r="O155" i="10"/>
  <c r="Q155" i="10" s="1"/>
  <c r="N155" i="10"/>
  <c r="P155" i="10" s="1"/>
  <c r="O154" i="10"/>
  <c r="Q154" i="10" s="1"/>
  <c r="N154" i="10"/>
  <c r="P154" i="10" s="1"/>
  <c r="O153" i="10"/>
  <c r="Q153" i="10" s="1"/>
  <c r="N153" i="10"/>
  <c r="P153" i="10" s="1"/>
  <c r="Q152" i="10"/>
  <c r="P152" i="10"/>
  <c r="AG151" i="10"/>
  <c r="AF151" i="10"/>
  <c r="AE151" i="10"/>
  <c r="AD151" i="10"/>
  <c r="AC151" i="10"/>
  <c r="AB151" i="10"/>
  <c r="Z151" i="10"/>
  <c r="M151" i="10"/>
  <c r="L151" i="10"/>
  <c r="K151" i="10"/>
  <c r="J151" i="10"/>
  <c r="I151" i="10"/>
  <c r="H151" i="10"/>
  <c r="N151" i="10" s="1"/>
  <c r="P151" i="10" s="1"/>
  <c r="O150" i="10"/>
  <c r="Q150" i="10" s="1"/>
  <c r="N150" i="10"/>
  <c r="P150" i="10" s="1"/>
  <c r="O149" i="10"/>
  <c r="Q149" i="10" s="1"/>
  <c r="N149" i="10"/>
  <c r="P149" i="10" s="1"/>
  <c r="O148" i="10"/>
  <c r="Q148" i="10" s="1"/>
  <c r="N148" i="10"/>
  <c r="P148" i="10" s="1"/>
  <c r="O147" i="10"/>
  <c r="Q147" i="10" s="1"/>
  <c r="N147" i="10"/>
  <c r="P147" i="10" s="1"/>
  <c r="O146" i="10"/>
  <c r="Q146" i="10" s="1"/>
  <c r="N146" i="10"/>
  <c r="P146" i="10" s="1"/>
  <c r="Q145" i="10"/>
  <c r="P145" i="10"/>
  <c r="AE144" i="10"/>
  <c r="AD144" i="10"/>
  <c r="AC144" i="10"/>
  <c r="AB144" i="10"/>
  <c r="Z144" i="10"/>
  <c r="M144" i="10"/>
  <c r="L144" i="10"/>
  <c r="K144" i="10"/>
  <c r="J144" i="10"/>
  <c r="I144" i="10"/>
  <c r="O144" i="10" s="1"/>
  <c r="Q144" i="10" s="1"/>
  <c r="H144" i="10"/>
  <c r="N144" i="10" s="1"/>
  <c r="P144" i="10" s="1"/>
  <c r="AG143" i="10"/>
  <c r="AG144" i="10" s="1"/>
  <c r="AF143" i="10"/>
  <c r="AF144" i="10" s="1"/>
  <c r="O143" i="10"/>
  <c r="Q143" i="10" s="1"/>
  <c r="N143" i="10"/>
  <c r="P143" i="10" s="1"/>
  <c r="Q142" i="10"/>
  <c r="P142" i="10"/>
  <c r="AG141" i="10"/>
  <c r="AF141" i="10"/>
  <c r="AE141" i="10"/>
  <c r="AD141" i="10"/>
  <c r="AC141" i="10"/>
  <c r="AB141" i="10"/>
  <c r="Z141" i="10"/>
  <c r="M141" i="10"/>
  <c r="L141" i="10"/>
  <c r="K141" i="10"/>
  <c r="J141" i="10"/>
  <c r="I141" i="10"/>
  <c r="H141" i="10"/>
  <c r="Q140" i="10"/>
  <c r="O140" i="10"/>
  <c r="N140" i="10"/>
  <c r="P140" i="10" s="1"/>
  <c r="O139" i="10"/>
  <c r="Q139" i="10" s="1"/>
  <c r="N139" i="10"/>
  <c r="P139" i="10" s="1"/>
  <c r="O138" i="10"/>
  <c r="Q138" i="10" s="1"/>
  <c r="N138" i="10"/>
  <c r="P138" i="10" s="1"/>
  <c r="O137" i="10"/>
  <c r="Q137" i="10" s="1"/>
  <c r="N137" i="10"/>
  <c r="P137" i="10" s="1"/>
  <c r="Q136" i="10"/>
  <c r="P136" i="10"/>
  <c r="AG135" i="10"/>
  <c r="AG170" i="10" s="1"/>
  <c r="AF135" i="10"/>
  <c r="AE135" i="10"/>
  <c r="AD135" i="10"/>
  <c r="AC135" i="10"/>
  <c r="AB135" i="10"/>
  <c r="Z135" i="10"/>
  <c r="M135" i="10"/>
  <c r="L135" i="10"/>
  <c r="K135" i="10"/>
  <c r="J135" i="10"/>
  <c r="I135" i="10"/>
  <c r="H135" i="10"/>
  <c r="O134" i="10"/>
  <c r="Q134" i="10" s="1"/>
  <c r="N134" i="10"/>
  <c r="P134" i="10" s="1"/>
  <c r="O133" i="10"/>
  <c r="Q133" i="10" s="1"/>
  <c r="N133" i="10"/>
  <c r="P133" i="10" s="1"/>
  <c r="O132" i="10"/>
  <c r="Q132" i="10" s="1"/>
  <c r="N132" i="10"/>
  <c r="P132" i="10" s="1"/>
  <c r="Q131" i="10"/>
  <c r="P131" i="10"/>
  <c r="AG130" i="10"/>
  <c r="AF130" i="10"/>
  <c r="AE130" i="10"/>
  <c r="AD130" i="10"/>
  <c r="AC130" i="10"/>
  <c r="AB130" i="10"/>
  <c r="Z130" i="10"/>
  <c r="M130" i="10"/>
  <c r="L130" i="10"/>
  <c r="K130" i="10"/>
  <c r="J130" i="10"/>
  <c r="I130" i="10"/>
  <c r="H130" i="10"/>
  <c r="N130" i="10" s="1"/>
  <c r="P130" i="10" s="1"/>
  <c r="O129" i="10"/>
  <c r="Q129" i="10" s="1"/>
  <c r="N129" i="10"/>
  <c r="P129" i="10" s="1"/>
  <c r="O128" i="10"/>
  <c r="Q128" i="10" s="1"/>
  <c r="N128" i="10"/>
  <c r="P128" i="10" s="1"/>
  <c r="O127" i="10"/>
  <c r="Q127" i="10" s="1"/>
  <c r="N127" i="10"/>
  <c r="P127" i="10" s="1"/>
  <c r="O126" i="10"/>
  <c r="Q126" i="10" s="1"/>
  <c r="N126" i="10"/>
  <c r="P126" i="10" s="1"/>
  <c r="Q125" i="10"/>
  <c r="P125" i="10"/>
  <c r="AG124" i="10"/>
  <c r="AF124" i="10"/>
  <c r="AF170" i="10" s="1"/>
  <c r="AE124" i="10"/>
  <c r="AE170" i="10" s="1"/>
  <c r="AD124" i="10"/>
  <c r="AC124" i="10"/>
  <c r="AB124" i="10"/>
  <c r="Z124" i="10"/>
  <c r="M124" i="10"/>
  <c r="L124" i="10"/>
  <c r="K124" i="10"/>
  <c r="J124" i="10"/>
  <c r="I124" i="10"/>
  <c r="O124" i="10" s="1"/>
  <c r="Q124" i="10" s="1"/>
  <c r="H124" i="10"/>
  <c r="P123" i="10"/>
  <c r="O123" i="10"/>
  <c r="Q123" i="10" s="1"/>
  <c r="N123" i="10"/>
  <c r="O122" i="10"/>
  <c r="Q122" i="10" s="1"/>
  <c r="N122" i="10"/>
  <c r="P122" i="10" s="1"/>
  <c r="O121" i="10"/>
  <c r="Q121" i="10" s="1"/>
  <c r="N121" i="10"/>
  <c r="P121" i="10" s="1"/>
  <c r="O120" i="10"/>
  <c r="Q120" i="10" s="1"/>
  <c r="N120" i="10"/>
  <c r="P120" i="10" s="1"/>
  <c r="O119" i="10"/>
  <c r="Q119" i="10" s="1"/>
  <c r="N119" i="10"/>
  <c r="P119" i="10" s="1"/>
  <c r="Q118" i="10"/>
  <c r="P118" i="10"/>
  <c r="Q117" i="10"/>
  <c r="P117" i="10"/>
  <c r="M115" i="10"/>
  <c r="L115" i="10"/>
  <c r="K115" i="10"/>
  <c r="J115" i="10"/>
  <c r="I115" i="10"/>
  <c r="O115" i="10" s="1"/>
  <c r="Q115" i="10" s="1"/>
  <c r="H115" i="10"/>
  <c r="N115" i="10" s="1"/>
  <c r="P115" i="10" s="1"/>
  <c r="O114" i="10"/>
  <c r="Q114" i="10" s="1"/>
  <c r="N114" i="10"/>
  <c r="P114" i="10" s="1"/>
  <c r="Q113" i="10"/>
  <c r="O113" i="10"/>
  <c r="N113" i="10"/>
  <c r="P113" i="10" s="1"/>
  <c r="Q112" i="10"/>
  <c r="P112" i="10"/>
  <c r="AG111" i="10"/>
  <c r="AF111" i="10"/>
  <c r="AE111" i="10"/>
  <c r="AD111" i="10"/>
  <c r="AC111" i="10"/>
  <c r="AB111" i="10"/>
  <c r="Z111" i="10"/>
  <c r="M111" i="10"/>
  <c r="L111" i="10"/>
  <c r="K111" i="10"/>
  <c r="J111" i="10"/>
  <c r="I111" i="10"/>
  <c r="H111" i="10"/>
  <c r="O110" i="10"/>
  <c r="Q110" i="10" s="1"/>
  <c r="N110" i="10"/>
  <c r="P110" i="10" s="1"/>
  <c r="P109" i="10"/>
  <c r="O109" i="10"/>
  <c r="Q109" i="10" s="1"/>
  <c r="N109" i="10"/>
  <c r="O108" i="10"/>
  <c r="Q108" i="10" s="1"/>
  <c r="N108" i="10"/>
  <c r="P108" i="10" s="1"/>
  <c r="O107" i="10"/>
  <c r="Q107" i="10" s="1"/>
  <c r="N107" i="10"/>
  <c r="P107" i="10" s="1"/>
  <c r="O106" i="10"/>
  <c r="Q106" i="10" s="1"/>
  <c r="N106" i="10"/>
  <c r="P106" i="10" s="1"/>
  <c r="O105" i="10"/>
  <c r="Q105" i="10" s="1"/>
  <c r="N105" i="10"/>
  <c r="P105" i="10" s="1"/>
  <c r="O104" i="10"/>
  <c r="Q104" i="10" s="1"/>
  <c r="N104" i="10"/>
  <c r="P104" i="10" s="1"/>
  <c r="Q103" i="10"/>
  <c r="P103" i="10"/>
  <c r="AG102" i="10"/>
  <c r="AF102" i="10"/>
  <c r="AE102" i="10"/>
  <c r="AD102" i="10"/>
  <c r="AC102" i="10"/>
  <c r="AB102" i="10"/>
  <c r="Z102" i="10"/>
  <c r="M102" i="10"/>
  <c r="L102" i="10"/>
  <c r="K102" i="10"/>
  <c r="J102" i="10"/>
  <c r="I102" i="10"/>
  <c r="H102" i="10"/>
  <c r="N102" i="10" s="1"/>
  <c r="P102" i="10" s="1"/>
  <c r="O100" i="10"/>
  <c r="Q100" i="10" s="1"/>
  <c r="N100" i="10"/>
  <c r="P100" i="10" s="1"/>
  <c r="O99" i="10"/>
  <c r="Q99" i="10" s="1"/>
  <c r="N99" i="10"/>
  <c r="P99" i="10" s="1"/>
  <c r="O98" i="10"/>
  <c r="Q98" i="10" s="1"/>
  <c r="N98" i="10"/>
  <c r="P98" i="10" s="1"/>
  <c r="Q97" i="10"/>
  <c r="O97" i="10"/>
  <c r="N97" i="10"/>
  <c r="P97" i="10" s="1"/>
  <c r="O96" i="10"/>
  <c r="Q96" i="10" s="1"/>
  <c r="N96" i="10"/>
  <c r="P96" i="10" s="1"/>
  <c r="P95" i="10"/>
  <c r="O95" i="10"/>
  <c r="Q95" i="10" s="1"/>
  <c r="N95" i="10"/>
  <c r="O94" i="10"/>
  <c r="Q94" i="10" s="1"/>
  <c r="N94" i="10"/>
  <c r="P94" i="10" s="1"/>
  <c r="O93" i="10"/>
  <c r="Q93" i="10" s="1"/>
  <c r="N93" i="10"/>
  <c r="P93" i="10" s="1"/>
  <c r="O92" i="10"/>
  <c r="Q92" i="10" s="1"/>
  <c r="N92" i="10"/>
  <c r="P92" i="10" s="1"/>
  <c r="AG90" i="10"/>
  <c r="AF90" i="10"/>
  <c r="AE90" i="10"/>
  <c r="AD90" i="10"/>
  <c r="AC90" i="10"/>
  <c r="AB90" i="10"/>
  <c r="Z90" i="10"/>
  <c r="M90" i="10"/>
  <c r="L90" i="10"/>
  <c r="K90" i="10"/>
  <c r="J90" i="10"/>
  <c r="I90" i="10"/>
  <c r="O90" i="10" s="1"/>
  <c r="Q90" i="10" s="1"/>
  <c r="H90" i="10"/>
  <c r="P89" i="10"/>
  <c r="O89" i="10"/>
  <c r="Q89" i="10" s="1"/>
  <c r="N89" i="10"/>
  <c r="O88" i="10"/>
  <c r="Q88" i="10" s="1"/>
  <c r="N88" i="10"/>
  <c r="P88" i="10" s="1"/>
  <c r="O87" i="10"/>
  <c r="Q87" i="10" s="1"/>
  <c r="N87" i="10"/>
  <c r="P87" i="10" s="1"/>
  <c r="O86" i="10"/>
  <c r="Q86" i="10" s="1"/>
  <c r="N86" i="10"/>
  <c r="P86" i="10" s="1"/>
  <c r="AG84" i="10"/>
  <c r="AF84" i="10"/>
  <c r="AE84" i="10"/>
  <c r="AD84" i="10"/>
  <c r="AC84" i="10"/>
  <c r="AB84" i="10"/>
  <c r="Z84" i="10"/>
  <c r="O84" i="10"/>
  <c r="Q84" i="10" s="1"/>
  <c r="M84" i="10"/>
  <c r="L84" i="10"/>
  <c r="K84" i="10"/>
  <c r="J84" i="10"/>
  <c r="I84" i="10"/>
  <c r="H84" i="10"/>
  <c r="O83" i="10"/>
  <c r="Q83" i="10" s="1"/>
  <c r="N83" i="10"/>
  <c r="P83" i="10" s="1"/>
  <c r="O82" i="10"/>
  <c r="Q82" i="10" s="1"/>
  <c r="N82" i="10"/>
  <c r="P82" i="10" s="1"/>
  <c r="Q81" i="10"/>
  <c r="P81" i="10"/>
  <c r="O80" i="10"/>
  <c r="Q80" i="10" s="1"/>
  <c r="N80" i="10"/>
  <c r="P80" i="10" s="1"/>
  <c r="O79" i="10"/>
  <c r="Q79" i="10" s="1"/>
  <c r="N79" i="10"/>
  <c r="P79" i="10" s="1"/>
  <c r="O78" i="10"/>
  <c r="Q78" i="10" s="1"/>
  <c r="N78" i="10"/>
  <c r="P78" i="10" s="1"/>
  <c r="O77" i="10"/>
  <c r="Q77" i="10" s="1"/>
  <c r="N77" i="10"/>
  <c r="P77" i="10" s="1"/>
  <c r="O76" i="10"/>
  <c r="Q76" i="10" s="1"/>
  <c r="N76" i="10"/>
  <c r="P76" i="10" s="1"/>
  <c r="O75" i="10"/>
  <c r="Q75" i="10" s="1"/>
  <c r="N75" i="10"/>
  <c r="P75" i="10" s="1"/>
  <c r="O74" i="10"/>
  <c r="Q74" i="10" s="1"/>
  <c r="N74" i="10"/>
  <c r="P74" i="10" s="1"/>
  <c r="Q73" i="10"/>
  <c r="P73" i="10"/>
  <c r="O73" i="10"/>
  <c r="N73" i="10"/>
  <c r="AG71" i="10"/>
  <c r="AF71" i="10"/>
  <c r="AE71" i="10"/>
  <c r="AD71" i="10"/>
  <c r="AC71" i="10"/>
  <c r="AB71" i="10"/>
  <c r="Z71" i="10"/>
  <c r="M71" i="10"/>
  <c r="L71" i="10"/>
  <c r="K71" i="10"/>
  <c r="J71" i="10"/>
  <c r="I71" i="10"/>
  <c r="O71" i="10" s="1"/>
  <c r="Q71" i="10" s="1"/>
  <c r="H71" i="10"/>
  <c r="O70" i="10"/>
  <c r="Q70" i="10" s="1"/>
  <c r="N70" i="10"/>
  <c r="P70" i="10" s="1"/>
  <c r="O69" i="10"/>
  <c r="Q69" i="10" s="1"/>
  <c r="N69" i="10"/>
  <c r="P69" i="10" s="1"/>
  <c r="O68" i="10"/>
  <c r="Q68" i="10" s="1"/>
  <c r="N68" i="10"/>
  <c r="P68" i="10" s="1"/>
  <c r="O67" i="10"/>
  <c r="Q67" i="10" s="1"/>
  <c r="N67" i="10"/>
  <c r="P67" i="10" s="1"/>
  <c r="O66" i="10"/>
  <c r="Q66" i="10" s="1"/>
  <c r="N66" i="10"/>
  <c r="P66" i="10" s="1"/>
  <c r="O65" i="10"/>
  <c r="Q65" i="10" s="1"/>
  <c r="N65" i="10"/>
  <c r="P65" i="10" s="1"/>
  <c r="O63" i="10"/>
  <c r="Q63" i="10" s="1"/>
  <c r="N63" i="10"/>
  <c r="P63" i="10" s="1"/>
  <c r="AG62" i="10"/>
  <c r="AF62" i="10"/>
  <c r="AE62" i="10"/>
  <c r="AD62" i="10"/>
  <c r="AC62" i="10"/>
  <c r="AB62" i="10"/>
  <c r="Z62" i="10"/>
  <c r="M62" i="10"/>
  <c r="L62" i="10"/>
  <c r="K62" i="10"/>
  <c r="J62" i="10"/>
  <c r="I62" i="10"/>
  <c r="H62" i="10"/>
  <c r="O61" i="10"/>
  <c r="Q61" i="10" s="1"/>
  <c r="N61" i="10"/>
  <c r="P61" i="10" s="1"/>
  <c r="O60" i="10"/>
  <c r="Q60" i="10" s="1"/>
  <c r="N60" i="10"/>
  <c r="P60" i="10" s="1"/>
  <c r="O59" i="10"/>
  <c r="Q59" i="10" s="1"/>
  <c r="N59" i="10"/>
  <c r="P59" i="10" s="1"/>
  <c r="O58" i="10"/>
  <c r="Q58" i="10" s="1"/>
  <c r="N58" i="10"/>
  <c r="P58" i="10" s="1"/>
  <c r="Q57" i="10"/>
  <c r="P57" i="10"/>
  <c r="O57" i="10"/>
  <c r="N57" i="10"/>
  <c r="O56" i="10"/>
  <c r="Q56" i="10" s="1"/>
  <c r="N56" i="10"/>
  <c r="P56" i="10" s="1"/>
  <c r="O55" i="10"/>
  <c r="Q55" i="10" s="1"/>
  <c r="N55" i="10"/>
  <c r="P55" i="10" s="1"/>
  <c r="Q54" i="10"/>
  <c r="P54" i="10"/>
  <c r="O54" i="10"/>
  <c r="N54" i="10"/>
  <c r="O53" i="10"/>
  <c r="Q53" i="10" s="1"/>
  <c r="N53" i="10"/>
  <c r="P53" i="10" s="1"/>
  <c r="O52" i="10"/>
  <c r="Q52" i="10" s="1"/>
  <c r="N52" i="10"/>
  <c r="P52" i="10" s="1"/>
  <c r="O51" i="10"/>
  <c r="Q51" i="10" s="1"/>
  <c r="N51" i="10"/>
  <c r="P51" i="10" s="1"/>
  <c r="O50" i="10"/>
  <c r="Q50" i="10" s="1"/>
  <c r="N50" i="10"/>
  <c r="P50" i="10" s="1"/>
  <c r="O49" i="10"/>
  <c r="Q49" i="10" s="1"/>
  <c r="N49" i="10"/>
  <c r="P49" i="10" s="1"/>
  <c r="O48" i="10"/>
  <c r="Q48" i="10" s="1"/>
  <c r="N48" i="10"/>
  <c r="P48" i="10" s="1"/>
  <c r="O47" i="10"/>
  <c r="Q47" i="10" s="1"/>
  <c r="N47" i="10"/>
  <c r="P47" i="10" s="1"/>
  <c r="AG45" i="10"/>
  <c r="AF45" i="10"/>
  <c r="AE45" i="10"/>
  <c r="AD45" i="10"/>
  <c r="AC45" i="10"/>
  <c r="AB45" i="10"/>
  <c r="Z45" i="10"/>
  <c r="M45" i="10"/>
  <c r="L45" i="10"/>
  <c r="K45" i="10"/>
  <c r="J45" i="10"/>
  <c r="I45" i="10"/>
  <c r="H45" i="10"/>
  <c r="N45" i="10" s="1"/>
  <c r="P45" i="10" s="1"/>
  <c r="O44" i="10"/>
  <c r="Q44" i="10" s="1"/>
  <c r="N44" i="10"/>
  <c r="P44" i="10" s="1"/>
  <c r="O43" i="10"/>
  <c r="Q43" i="10" s="1"/>
  <c r="N43" i="10"/>
  <c r="P43" i="10" s="1"/>
  <c r="O42" i="10"/>
  <c r="Q42" i="10" s="1"/>
  <c r="N42" i="10"/>
  <c r="P42" i="10" s="1"/>
  <c r="O41" i="10"/>
  <c r="Q41" i="10" s="1"/>
  <c r="N41" i="10"/>
  <c r="P41" i="10" s="1"/>
  <c r="AG39" i="10"/>
  <c r="AF39" i="10"/>
  <c r="AE39" i="10"/>
  <c r="AD39" i="10"/>
  <c r="AC39" i="10"/>
  <c r="AB39" i="10"/>
  <c r="Z39" i="10"/>
  <c r="M39" i="10"/>
  <c r="L39" i="10"/>
  <c r="K39" i="10"/>
  <c r="J39" i="10"/>
  <c r="I39" i="10"/>
  <c r="H39" i="10"/>
  <c r="O38" i="10"/>
  <c r="Q38" i="10" s="1"/>
  <c r="N38" i="10"/>
  <c r="P38" i="10" s="1"/>
  <c r="O37" i="10"/>
  <c r="Q37" i="10" s="1"/>
  <c r="N37" i="10"/>
  <c r="P37" i="10" s="1"/>
  <c r="Q36" i="10"/>
  <c r="N36" i="10"/>
  <c r="P36" i="10" s="1"/>
  <c r="O35" i="10"/>
  <c r="Q35" i="10" s="1"/>
  <c r="N35" i="10"/>
  <c r="P35" i="10" s="1"/>
  <c r="O34" i="10"/>
  <c r="Q34" i="10" s="1"/>
  <c r="N34" i="10"/>
  <c r="P34" i="10" s="1"/>
  <c r="Q33" i="10"/>
  <c r="O33" i="10"/>
  <c r="N33" i="10"/>
  <c r="P33" i="10" s="1"/>
  <c r="O32" i="10"/>
  <c r="Q32" i="10" s="1"/>
  <c r="N32" i="10"/>
  <c r="P32" i="10" s="1"/>
  <c r="O31" i="10"/>
  <c r="Q31" i="10" s="1"/>
  <c r="N31" i="10"/>
  <c r="P31" i="10" s="1"/>
  <c r="O30" i="10"/>
  <c r="Q30" i="10" s="1"/>
  <c r="N30" i="10"/>
  <c r="P30" i="10" s="1"/>
  <c r="O29" i="10"/>
  <c r="Q29" i="10" s="1"/>
  <c r="N29" i="10"/>
  <c r="P29" i="10" s="1"/>
  <c r="O28" i="10"/>
  <c r="Q28" i="10" s="1"/>
  <c r="N28" i="10"/>
  <c r="P28" i="10" s="1"/>
  <c r="O27" i="10"/>
  <c r="Q27" i="10" s="1"/>
  <c r="N27" i="10"/>
  <c r="P27" i="10" s="1"/>
  <c r="O26" i="10"/>
  <c r="Q26" i="10" s="1"/>
  <c r="N26" i="10"/>
  <c r="P26" i="10" s="1"/>
  <c r="P25" i="10"/>
  <c r="O25" i="10"/>
  <c r="Q25" i="10" s="1"/>
  <c r="N25" i="10"/>
  <c r="O24" i="10"/>
  <c r="Q24" i="10" s="1"/>
  <c r="N24" i="10"/>
  <c r="P24" i="10" s="1"/>
  <c r="O23" i="10"/>
  <c r="Q23" i="10" s="1"/>
  <c r="N23" i="10"/>
  <c r="P23" i="10" s="1"/>
  <c r="O22" i="10"/>
  <c r="Q22" i="10" s="1"/>
  <c r="N22" i="10"/>
  <c r="P22" i="10" s="1"/>
  <c r="O21" i="10"/>
  <c r="Q21" i="10" s="1"/>
  <c r="N21" i="10"/>
  <c r="P21" i="10" s="1"/>
  <c r="P20" i="10"/>
  <c r="O20" i="10"/>
  <c r="Q20" i="10" s="1"/>
  <c r="N20" i="10"/>
  <c r="O19" i="10"/>
  <c r="Q19" i="10" s="1"/>
  <c r="N19" i="10"/>
  <c r="P19" i="10" s="1"/>
  <c r="O18" i="10"/>
  <c r="Q18" i="10" s="1"/>
  <c r="N18" i="10"/>
  <c r="P18" i="10" s="1"/>
  <c r="O17" i="10"/>
  <c r="Q17" i="10" s="1"/>
  <c r="N17" i="10"/>
  <c r="P17" i="10" s="1"/>
  <c r="AG15" i="10"/>
  <c r="AF15" i="10"/>
  <c r="AE15" i="10"/>
  <c r="AD15" i="10"/>
  <c r="AC15" i="10"/>
  <c r="AB15" i="10"/>
  <c r="Z15" i="10"/>
  <c r="M15" i="10"/>
  <c r="L15" i="10"/>
  <c r="K15" i="10"/>
  <c r="J15" i="10"/>
  <c r="I15" i="10"/>
  <c r="H15" i="10"/>
  <c r="O14" i="10"/>
  <c r="Q14" i="10" s="1"/>
  <c r="N14" i="10"/>
  <c r="P14" i="10" s="1"/>
  <c r="O13" i="10"/>
  <c r="Q13" i="10" s="1"/>
  <c r="N13" i="10"/>
  <c r="P13" i="10" s="1"/>
  <c r="O12" i="10"/>
  <c r="Q12" i="10" s="1"/>
  <c r="N12" i="10"/>
  <c r="P12" i="10" s="1"/>
  <c r="O11" i="10"/>
  <c r="Q11" i="10" s="1"/>
  <c r="N11" i="10"/>
  <c r="P11" i="10" s="1"/>
  <c r="Q10" i="10"/>
  <c r="P10" i="10"/>
  <c r="O10" i="10"/>
  <c r="N10" i="10"/>
  <c r="H555" i="11" l="1"/>
  <c r="N220" i="11"/>
  <c r="P220" i="11" s="1"/>
  <c r="I555" i="11"/>
  <c r="O220" i="11"/>
  <c r="Q220" i="11" s="1"/>
  <c r="AH364" i="10"/>
  <c r="AH495" i="10"/>
  <c r="AH550" i="10" s="1"/>
  <c r="N423" i="10"/>
  <c r="P423" i="10" s="1"/>
  <c r="O191" i="10"/>
  <c r="Q191" i="10" s="1"/>
  <c r="N280" i="10"/>
  <c r="P280" i="10" s="1"/>
  <c r="AE333" i="10"/>
  <c r="AE364" i="10" s="1"/>
  <c r="O280" i="10"/>
  <c r="Q280" i="10" s="1"/>
  <c r="I333" i="10"/>
  <c r="N301" i="10"/>
  <c r="P301" i="10" s="1"/>
  <c r="N371" i="10"/>
  <c r="P371" i="10" s="1"/>
  <c r="O39" i="10"/>
  <c r="Q39" i="10" s="1"/>
  <c r="N201" i="10"/>
  <c r="P201" i="10" s="1"/>
  <c r="O102" i="10"/>
  <c r="Q102" i="10" s="1"/>
  <c r="AD428" i="10"/>
  <c r="Z489" i="10"/>
  <c r="Z554" i="10" s="1"/>
  <c r="AG520" i="10"/>
  <c r="AC116" i="10"/>
  <c r="AC183" i="10" s="1"/>
  <c r="AC220" i="10" s="1"/>
  <c r="N62" i="10"/>
  <c r="P62" i="10" s="1"/>
  <c r="O207" i="10"/>
  <c r="Q207" i="10" s="1"/>
  <c r="O361" i="10"/>
  <c r="Q361" i="10" s="1"/>
  <c r="N520" i="10"/>
  <c r="P520" i="10" s="1"/>
  <c r="N135" i="10"/>
  <c r="P135" i="10" s="1"/>
  <c r="O164" i="10"/>
  <c r="Q164" i="10" s="1"/>
  <c r="N207" i="10"/>
  <c r="P207" i="10" s="1"/>
  <c r="AD116" i="10"/>
  <c r="O135" i="10"/>
  <c r="Q135" i="10" s="1"/>
  <c r="N141" i="10"/>
  <c r="P141" i="10" s="1"/>
  <c r="AD376" i="10"/>
  <c r="O376" i="10"/>
  <c r="Q376" i="10" s="1"/>
  <c r="N464" i="10"/>
  <c r="P464" i="10" s="1"/>
  <c r="AE376" i="10"/>
  <c r="AG116" i="10"/>
  <c r="AG376" i="10"/>
  <c r="N84" i="10"/>
  <c r="P84" i="10" s="1"/>
  <c r="N90" i="10"/>
  <c r="P90" i="10" s="1"/>
  <c r="N111" i="10"/>
  <c r="P111" i="10" s="1"/>
  <c r="M333" i="10"/>
  <c r="O333" i="10" s="1"/>
  <c r="Q333" i="10" s="1"/>
  <c r="O319" i="10"/>
  <c r="Q319" i="10" s="1"/>
  <c r="AF182" i="10"/>
  <c r="AG182" i="10"/>
  <c r="AG183" i="10" s="1"/>
  <c r="AG220" i="10" s="1"/>
  <c r="AF376" i="10"/>
  <c r="AG333" i="10"/>
  <c r="AG364" i="10" s="1"/>
  <c r="AD198" i="10"/>
  <c r="H580" i="10"/>
  <c r="H581" i="10" s="1"/>
  <c r="O111" i="10"/>
  <c r="Q111" i="10" s="1"/>
  <c r="O488" i="10"/>
  <c r="Q488" i="10" s="1"/>
  <c r="O549" i="10"/>
  <c r="Q549" i="10" s="1"/>
  <c r="N570" i="10"/>
  <c r="P570" i="10" s="1"/>
  <c r="O62" i="10"/>
  <c r="Q62" i="10" s="1"/>
  <c r="AC198" i="10"/>
  <c r="Z333" i="10"/>
  <c r="Z364" i="10" s="1"/>
  <c r="J363" i="10"/>
  <c r="O469" i="10"/>
  <c r="Q469" i="10" s="1"/>
  <c r="N488" i="10"/>
  <c r="P488" i="10" s="1"/>
  <c r="M571" i="10"/>
  <c r="M581" i="10" s="1"/>
  <c r="H116" i="10"/>
  <c r="H183" i="10" s="1"/>
  <c r="AF116" i="10"/>
  <c r="AF183" i="10" s="1"/>
  <c r="L333" i="10"/>
  <c r="N71" i="10"/>
  <c r="P71" i="10" s="1"/>
  <c r="AC170" i="10"/>
  <c r="O198" i="10"/>
  <c r="Q198" i="10" s="1"/>
  <c r="K363" i="10"/>
  <c r="N469" i="10"/>
  <c r="P469" i="10" s="1"/>
  <c r="O141" i="10"/>
  <c r="Q141" i="10" s="1"/>
  <c r="I170" i="10"/>
  <c r="O151" i="10"/>
  <c r="Q151" i="10" s="1"/>
  <c r="AB170" i="10"/>
  <c r="Z170" i="10"/>
  <c r="N263" i="10"/>
  <c r="P263" i="10" s="1"/>
  <c r="H333" i="10"/>
  <c r="N328" i="10"/>
  <c r="P328" i="10" s="1"/>
  <c r="J333" i="10"/>
  <c r="J364" i="10" s="1"/>
  <c r="O405" i="10"/>
  <c r="Q405" i="10" s="1"/>
  <c r="K423" i="10"/>
  <c r="K428" i="10" s="1"/>
  <c r="AE116" i="10"/>
  <c r="AE183" i="10" s="1"/>
  <c r="AE220" i="10" s="1"/>
  <c r="AC488" i="10"/>
  <c r="N164" i="10"/>
  <c r="P164" i="10" s="1"/>
  <c r="AB333" i="10"/>
  <c r="AB364" i="10" s="1"/>
  <c r="AE488" i="10"/>
  <c r="AF333" i="10"/>
  <c r="AF364" i="10" s="1"/>
  <c r="AC428" i="10"/>
  <c r="M550" i="10"/>
  <c r="O550" i="10" s="1"/>
  <c r="Q550" i="10" s="1"/>
  <c r="O520" i="10"/>
  <c r="Q520" i="10" s="1"/>
  <c r="L363" i="10"/>
  <c r="AD333" i="10"/>
  <c r="AD364" i="10" s="1"/>
  <c r="O342" i="10"/>
  <c r="Q342" i="10" s="1"/>
  <c r="I363" i="10"/>
  <c r="AB198" i="10"/>
  <c r="I428" i="10"/>
  <c r="H428" i="10"/>
  <c r="N428" i="10" s="1"/>
  <c r="P428" i="10" s="1"/>
  <c r="M363" i="10"/>
  <c r="K489" i="10"/>
  <c r="L489" i="10"/>
  <c r="M489" i="10"/>
  <c r="H170" i="10"/>
  <c r="M219" i="10"/>
  <c r="O215" i="10"/>
  <c r="Q215" i="10" s="1"/>
  <c r="AF428" i="10"/>
  <c r="K170" i="10"/>
  <c r="H489" i="10"/>
  <c r="J581" i="10"/>
  <c r="N342" i="10"/>
  <c r="P342" i="10" s="1"/>
  <c r="H363" i="10"/>
  <c r="O578" i="10"/>
  <c r="Q578" i="10" s="1"/>
  <c r="M116" i="10"/>
  <c r="L364" i="10"/>
  <c r="L554" i="10" s="1"/>
  <c r="L571" i="10"/>
  <c r="L581" i="10" s="1"/>
  <c r="K581" i="10"/>
  <c r="O580" i="10"/>
  <c r="Q580" i="10" s="1"/>
  <c r="AC333" i="10"/>
  <c r="AC364" i="10" s="1"/>
  <c r="J455" i="10"/>
  <c r="N454" i="10"/>
  <c r="P454" i="10" s="1"/>
  <c r="AB488" i="10"/>
  <c r="N225" i="10"/>
  <c r="P225" i="10" s="1"/>
  <c r="AD488" i="10"/>
  <c r="AE428" i="10"/>
  <c r="J170" i="10"/>
  <c r="L116" i="10"/>
  <c r="L170" i="10"/>
  <c r="AG428" i="10"/>
  <c r="I489" i="10"/>
  <c r="O130" i="10"/>
  <c r="Q130" i="10" s="1"/>
  <c r="N124" i="10"/>
  <c r="P124" i="10" s="1"/>
  <c r="O371" i="10"/>
  <c r="Q371" i="10" s="1"/>
  <c r="H550" i="10"/>
  <c r="N550" i="10" s="1"/>
  <c r="P550" i="10" s="1"/>
  <c r="M170" i="10"/>
  <c r="N234" i="10"/>
  <c r="P234" i="10" s="1"/>
  <c r="N565" i="10"/>
  <c r="P565" i="10" s="1"/>
  <c r="AF198" i="10"/>
  <c r="K333" i="10"/>
  <c r="AJ216" i="10"/>
  <c r="AJ424" i="10"/>
  <c r="AF488" i="10"/>
  <c r="AG488" i="10"/>
  <c r="O455" i="10"/>
  <c r="Q455" i="10" s="1"/>
  <c r="I116" i="10"/>
  <c r="AP189" i="10"/>
  <c r="AO190" i="10" s="1"/>
  <c r="J116" i="10"/>
  <c r="J183" i="10" s="1"/>
  <c r="J220" i="10" s="1"/>
  <c r="N39" i="10"/>
  <c r="P39" i="10" s="1"/>
  <c r="Z116" i="10"/>
  <c r="AB469" i="10"/>
  <c r="O479" i="10"/>
  <c r="Q479" i="10" s="1"/>
  <c r="O454" i="10"/>
  <c r="Q454" i="10" s="1"/>
  <c r="N15" i="10"/>
  <c r="P15" i="10" s="1"/>
  <c r="AB116" i="10"/>
  <c r="O219" i="10"/>
  <c r="Q219" i="10" s="1"/>
  <c r="I571" i="10"/>
  <c r="O570" i="10"/>
  <c r="Q570" i="10" s="1"/>
  <c r="O15" i="10"/>
  <c r="Q15" i="10" s="1"/>
  <c r="K116" i="10"/>
  <c r="AD170" i="10"/>
  <c r="AD183" i="10" s="1"/>
  <c r="AD220" i="10" s="1"/>
  <c r="H219" i="10"/>
  <c r="N219" i="10" s="1"/>
  <c r="P219" i="10" s="1"/>
  <c r="O45" i="10"/>
  <c r="Q45" i="10" s="1"/>
  <c r="N331" i="10"/>
  <c r="P331" i="10" s="1"/>
  <c r="AD479" i="10"/>
  <c r="N156" i="10"/>
  <c r="P156" i="10" s="1"/>
  <c r="AE479" i="10"/>
  <c r="AC479" i="10"/>
  <c r="O555" i="11" l="1"/>
  <c r="Q555" i="11" s="1"/>
  <c r="I582" i="11"/>
  <c r="N555" i="11"/>
  <c r="P555" i="11" s="1"/>
  <c r="H582" i="11"/>
  <c r="N581" i="10"/>
  <c r="P581" i="10" s="1"/>
  <c r="Z183" i="10"/>
  <c r="Z220" i="10" s="1"/>
  <c r="Z555" i="10" s="1"/>
  <c r="Z582" i="10" s="1"/>
  <c r="Z1" i="10" s="1"/>
  <c r="M364" i="10"/>
  <c r="M554" i="10" s="1"/>
  <c r="K364" i="10"/>
  <c r="AB183" i="10"/>
  <c r="AB220" i="10" s="1"/>
  <c r="N363" i="10"/>
  <c r="P363" i="10" s="1"/>
  <c r="K554" i="10"/>
  <c r="N580" i="10"/>
  <c r="P580" i="10" s="1"/>
  <c r="AE495" i="10"/>
  <c r="AE550" i="10" s="1"/>
  <c r="AG495" i="10"/>
  <c r="AG550" i="10" s="1"/>
  <c r="J489" i="10"/>
  <c r="J554" i="10" s="1"/>
  <c r="N455" i="10"/>
  <c r="P455" i="10" s="1"/>
  <c r="O428" i="10"/>
  <c r="Q428" i="10" s="1"/>
  <c r="O423" i="10"/>
  <c r="Q423" i="10" s="1"/>
  <c r="O363" i="10"/>
  <c r="Q363" i="10" s="1"/>
  <c r="J555" i="10"/>
  <c r="J582" i="10" s="1"/>
  <c r="J1" i="10" s="1"/>
  <c r="L183" i="10"/>
  <c r="L220" i="10" s="1"/>
  <c r="L555" i="10" s="1"/>
  <c r="L582" i="10" s="1"/>
  <c r="L1" i="10" s="1"/>
  <c r="AJ376" i="10"/>
  <c r="AF220" i="10"/>
  <c r="N333" i="10"/>
  <c r="P333" i="10" s="1"/>
  <c r="H364" i="10"/>
  <c r="AD495" i="10"/>
  <c r="AD550" i="10" s="1"/>
  <c r="N571" i="10"/>
  <c r="P571" i="10" s="1"/>
  <c r="N116" i="10"/>
  <c r="P116" i="10" s="1"/>
  <c r="H220" i="10"/>
  <c r="I364" i="10"/>
  <c r="N170" i="10"/>
  <c r="P170" i="10" s="1"/>
  <c r="O170" i="10"/>
  <c r="Q170" i="10" s="1"/>
  <c r="AB495" i="10"/>
  <c r="AB550" i="10" s="1"/>
  <c r="M183" i="10"/>
  <c r="M220" i="10" s="1"/>
  <c r="M555" i="10" s="1"/>
  <c r="M582" i="10" s="1"/>
  <c r="M1" i="10" s="1"/>
  <c r="AC495" i="10"/>
  <c r="AC550" i="10" s="1"/>
  <c r="O489" i="10"/>
  <c r="Q489" i="10" s="1"/>
  <c r="I183" i="10"/>
  <c r="O116" i="10"/>
  <c r="Q116" i="10" s="1"/>
  <c r="N489" i="10"/>
  <c r="P489" i="10" s="1"/>
  <c r="K183" i="10"/>
  <c r="K220" i="10" s="1"/>
  <c r="K555" i="10" s="1"/>
  <c r="K582" i="10" s="1"/>
  <c r="K1" i="10" s="1"/>
  <c r="I581" i="10"/>
  <c r="O581" i="10" s="1"/>
  <c r="Q581" i="10" s="1"/>
  <c r="O571" i="10"/>
  <c r="Q571" i="10" s="1"/>
  <c r="H1" i="11" l="1"/>
  <c r="N582" i="11"/>
  <c r="I1" i="11"/>
  <c r="O582" i="11"/>
  <c r="N364" i="10"/>
  <c r="P364" i="10" s="1"/>
  <c r="H554" i="10"/>
  <c r="N554" i="10" s="1"/>
  <c r="P554" i="10" s="1"/>
  <c r="AF495" i="10"/>
  <c r="AF550" i="10" s="1"/>
  <c r="O183" i="10"/>
  <c r="Q183" i="10" s="1"/>
  <c r="I220" i="10"/>
  <c r="N183" i="10"/>
  <c r="P183" i="10" s="1"/>
  <c r="O364" i="10"/>
  <c r="Q364" i="10" s="1"/>
  <c r="I554" i="10"/>
  <c r="O554" i="10" s="1"/>
  <c r="Q554" i="10" s="1"/>
  <c r="N220" i="10"/>
  <c r="P220" i="10" s="1"/>
  <c r="H555" i="10"/>
  <c r="Q582" i="11" l="1"/>
  <c r="Q1" i="11" s="1"/>
  <c r="O1" i="11"/>
  <c r="P582" i="11"/>
  <c r="P1" i="11" s="1"/>
  <c r="N1" i="11"/>
  <c r="H582" i="10"/>
  <c r="N555" i="10"/>
  <c r="P555" i="10" s="1"/>
  <c r="O220" i="10"/>
  <c r="Q220" i="10" s="1"/>
  <c r="I555" i="10"/>
  <c r="I582" i="10" l="1"/>
  <c r="O555" i="10"/>
  <c r="Q555" i="10" s="1"/>
  <c r="H1" i="10"/>
  <c r="N582" i="10"/>
  <c r="P582" i="10" l="1"/>
  <c r="P1" i="10" s="1"/>
  <c r="N1" i="10"/>
  <c r="O582" i="10"/>
  <c r="I1" i="10"/>
  <c r="Q582" i="10" l="1"/>
  <c r="Q1" i="10" s="1"/>
  <c r="O1" i="10"/>
  <c r="AG402" i="9" l="1"/>
  <c r="AJ442" i="9"/>
  <c r="AG500" i="9"/>
  <c r="AO177" i="9" l="1"/>
  <c r="AO178" i="9"/>
  <c r="AO179" i="9"/>
  <c r="AO184" i="9"/>
  <c r="AO185" i="9"/>
  <c r="AO172" i="9"/>
  <c r="AO173" i="9"/>
  <c r="AO174" i="9"/>
  <c r="AO175" i="9"/>
  <c r="AO176" i="9"/>
  <c r="AG514" i="9" l="1"/>
  <c r="AG143" i="9" l="1"/>
  <c r="AG176" i="9"/>
  <c r="AG350" i="9"/>
  <c r="AG533" i="9"/>
  <c r="AG522" i="9"/>
  <c r="AG196" i="9" l="1"/>
  <c r="R11" i="3" l="1"/>
  <c r="R12" i="3"/>
  <c r="R13" i="3"/>
  <c r="R14" i="3"/>
  <c r="R15" i="3"/>
  <c r="AG518" i="9"/>
  <c r="P353" i="3"/>
  <c r="S212" i="3" l="1"/>
  <c r="S213" i="3" s="1"/>
  <c r="L171" i="3"/>
  <c r="P180" i="3"/>
  <c r="P179" i="3"/>
  <c r="P178" i="3"/>
  <c r="P177" i="3"/>
  <c r="P176" i="3"/>
  <c r="P175" i="3"/>
  <c r="P174" i="3"/>
  <c r="P173" i="3"/>
  <c r="P138" i="3" l="1"/>
  <c r="P140" i="3"/>
  <c r="P144" i="3"/>
  <c r="P158" i="3"/>
  <c r="P156" i="3"/>
  <c r="P154" i="3"/>
  <c r="P152" i="3"/>
  <c r="P150" i="3"/>
  <c r="P160" i="3"/>
  <c r="AG453" i="9" s="1"/>
  <c r="P148" i="3"/>
  <c r="AG517" i="9" l="1"/>
  <c r="AB520" i="9" l="1"/>
  <c r="AC520" i="9"/>
  <c r="AD520" i="9"/>
  <c r="AE520" i="9"/>
  <c r="AF520" i="9"/>
  <c r="AG520" i="9"/>
  <c r="P292" i="3"/>
  <c r="AG507" i="9"/>
  <c r="R232" i="3"/>
  <c r="P355" i="3"/>
  <c r="P356" i="3"/>
  <c r="P357" i="3"/>
  <c r="P358" i="3"/>
  <c r="P359" i="3"/>
  <c r="P360" i="3"/>
  <c r="P361" i="3"/>
  <c r="AM354" i="3"/>
  <c r="AM183" i="9"/>
  <c r="AO183" i="9" s="1"/>
  <c r="AO189" i="9" s="1"/>
  <c r="AG218" i="9"/>
  <c r="AG553" i="9" l="1"/>
  <c r="AG549" i="9"/>
  <c r="AG532" i="9"/>
  <c r="AG505" i="9"/>
  <c r="AG441" i="9"/>
  <c r="AG427" i="9"/>
  <c r="AG423" i="9"/>
  <c r="AG375" i="9"/>
  <c r="AG374" i="9"/>
  <c r="AG373" i="9"/>
  <c r="AG367" i="9"/>
  <c r="AG371" i="9" s="1"/>
  <c r="AG361" i="9"/>
  <c r="AG342" i="9"/>
  <c r="AG331" i="9"/>
  <c r="AG328" i="9"/>
  <c r="AG319" i="9"/>
  <c r="AG307" i="9"/>
  <c r="AG301" i="9"/>
  <c r="AG288" i="9"/>
  <c r="AG280" i="9"/>
  <c r="AG263" i="9"/>
  <c r="AG257" i="9"/>
  <c r="AG234" i="9"/>
  <c r="AG227" i="9"/>
  <c r="AG223" i="9"/>
  <c r="AG225" i="9" s="1"/>
  <c r="AG215" i="9"/>
  <c r="AG207" i="9"/>
  <c r="AG201" i="9"/>
  <c r="AG195" i="9"/>
  <c r="AG193" i="9"/>
  <c r="AG198" i="9" s="1"/>
  <c r="AG191" i="9"/>
  <c r="AG185" i="9"/>
  <c r="AG188" i="9" s="1"/>
  <c r="AG173" i="9"/>
  <c r="AG182" i="9" s="1"/>
  <c r="AG168" i="9"/>
  <c r="AG164" i="9"/>
  <c r="AG159" i="9"/>
  <c r="AG156" i="9"/>
  <c r="AG151" i="9"/>
  <c r="AG144" i="9"/>
  <c r="AG141" i="9"/>
  <c r="AG135" i="9"/>
  <c r="AG130" i="9"/>
  <c r="AG124" i="9"/>
  <c r="AG111" i="9"/>
  <c r="AG102" i="9"/>
  <c r="AG90" i="9"/>
  <c r="AG84" i="9"/>
  <c r="AG71" i="9"/>
  <c r="AG62" i="9"/>
  <c r="AG45" i="9"/>
  <c r="AG39" i="9"/>
  <c r="AG15" i="9"/>
  <c r="O579" i="9"/>
  <c r="Q579" i="9" s="1"/>
  <c r="N579" i="9"/>
  <c r="P579" i="9" s="1"/>
  <c r="M578" i="9"/>
  <c r="M580" i="9" s="1"/>
  <c r="L578" i="9"/>
  <c r="L580" i="9" s="1"/>
  <c r="K578" i="9"/>
  <c r="K580" i="9" s="1"/>
  <c r="J578" i="9"/>
  <c r="I578" i="9"/>
  <c r="I580" i="9" s="1"/>
  <c r="H578" i="9"/>
  <c r="H580" i="9" s="1"/>
  <c r="O577" i="9"/>
  <c r="Q577" i="9" s="1"/>
  <c r="N577" i="9"/>
  <c r="P577" i="9" s="1"/>
  <c r="O576" i="9"/>
  <c r="Q576" i="9" s="1"/>
  <c r="N576" i="9"/>
  <c r="P576" i="9" s="1"/>
  <c r="O575" i="9"/>
  <c r="Q575" i="9" s="1"/>
  <c r="N575" i="9"/>
  <c r="P575" i="9" s="1"/>
  <c r="O574" i="9"/>
  <c r="Q574" i="9" s="1"/>
  <c r="N574" i="9"/>
  <c r="P574" i="9" s="1"/>
  <c r="M570" i="9"/>
  <c r="L570" i="9"/>
  <c r="K570" i="9"/>
  <c r="J570" i="9"/>
  <c r="I570" i="9"/>
  <c r="H570" i="9"/>
  <c r="O569" i="9"/>
  <c r="Q569" i="9" s="1"/>
  <c r="N569" i="9"/>
  <c r="P569" i="9" s="1"/>
  <c r="O568" i="9"/>
  <c r="Q568" i="9" s="1"/>
  <c r="N568" i="9"/>
  <c r="P568" i="9" s="1"/>
  <c r="O567" i="9"/>
  <c r="Q567" i="9" s="1"/>
  <c r="N567" i="9"/>
  <c r="P567" i="9" s="1"/>
  <c r="M565" i="9"/>
  <c r="L565" i="9"/>
  <c r="K565" i="9"/>
  <c r="J565" i="9"/>
  <c r="I565" i="9"/>
  <c r="H565" i="9"/>
  <c r="O564" i="9"/>
  <c r="Q564" i="9" s="1"/>
  <c r="N564" i="9"/>
  <c r="P564" i="9" s="1"/>
  <c r="O563" i="9"/>
  <c r="Q563" i="9" s="1"/>
  <c r="N563" i="9"/>
  <c r="P563" i="9" s="1"/>
  <c r="O562" i="9"/>
  <c r="Q562" i="9" s="1"/>
  <c r="N562" i="9"/>
  <c r="P562" i="9" s="1"/>
  <c r="O561" i="9"/>
  <c r="Q561" i="9" s="1"/>
  <c r="N561" i="9"/>
  <c r="P561" i="9" s="1"/>
  <c r="O560" i="9"/>
  <c r="Q560" i="9" s="1"/>
  <c r="N560" i="9"/>
  <c r="P560" i="9" s="1"/>
  <c r="O558" i="9"/>
  <c r="Q558" i="9" s="1"/>
  <c r="N558" i="9"/>
  <c r="P558" i="9" s="1"/>
  <c r="AF553" i="9"/>
  <c r="AE553" i="9"/>
  <c r="AD553" i="9"/>
  <c r="AC553" i="9"/>
  <c r="AB553" i="9"/>
  <c r="Z553" i="9"/>
  <c r="M553" i="9"/>
  <c r="L553" i="9"/>
  <c r="K553" i="9"/>
  <c r="J553" i="9"/>
  <c r="I553" i="9"/>
  <c r="H553" i="9"/>
  <c r="O552" i="9"/>
  <c r="Q552" i="9" s="1"/>
  <c r="N552" i="9"/>
  <c r="P552" i="9" s="1"/>
  <c r="AF549" i="9"/>
  <c r="AE549" i="9"/>
  <c r="AD549" i="9"/>
  <c r="AC549" i="9"/>
  <c r="AB549" i="9"/>
  <c r="Z549" i="9"/>
  <c r="M549" i="9"/>
  <c r="L549" i="9"/>
  <c r="K549" i="9"/>
  <c r="J549" i="9"/>
  <c r="I549" i="9"/>
  <c r="H549" i="9"/>
  <c r="O548" i="9"/>
  <c r="Q548" i="9" s="1"/>
  <c r="N548" i="9"/>
  <c r="P548" i="9" s="1"/>
  <c r="O547" i="9"/>
  <c r="Q547" i="9" s="1"/>
  <c r="N547" i="9"/>
  <c r="P547" i="9" s="1"/>
  <c r="O546" i="9"/>
  <c r="Q546" i="9" s="1"/>
  <c r="N546" i="9"/>
  <c r="P546" i="9" s="1"/>
  <c r="O544" i="9"/>
  <c r="Q544" i="9" s="1"/>
  <c r="N544" i="9"/>
  <c r="P544" i="9" s="1"/>
  <c r="Q543" i="9"/>
  <c r="N543" i="9"/>
  <c r="P543" i="9" s="1"/>
  <c r="O542" i="9"/>
  <c r="Q542" i="9" s="1"/>
  <c r="N542" i="9"/>
  <c r="P542" i="9" s="1"/>
  <c r="O541" i="9"/>
  <c r="Q541" i="9" s="1"/>
  <c r="N541" i="9"/>
  <c r="P541" i="9" s="1"/>
  <c r="O540" i="9"/>
  <c r="Q540" i="9" s="1"/>
  <c r="N540" i="9"/>
  <c r="P540" i="9" s="1"/>
  <c r="O539" i="9"/>
  <c r="Q539" i="9" s="1"/>
  <c r="N539" i="9"/>
  <c r="P539" i="9" s="1"/>
  <c r="O538" i="9"/>
  <c r="Q538" i="9" s="1"/>
  <c r="N538" i="9"/>
  <c r="P538" i="9" s="1"/>
  <c r="O537" i="9"/>
  <c r="Q537" i="9" s="1"/>
  <c r="N537" i="9"/>
  <c r="P537" i="9" s="1"/>
  <c r="O536" i="9"/>
  <c r="Q536" i="9" s="1"/>
  <c r="N536" i="9"/>
  <c r="P536" i="9" s="1"/>
  <c r="O535" i="9"/>
  <c r="Q535" i="9" s="1"/>
  <c r="N535" i="9"/>
  <c r="P535" i="9" s="1"/>
  <c r="AF534" i="9"/>
  <c r="AE534" i="9"/>
  <c r="AD534" i="9"/>
  <c r="AC534" i="9"/>
  <c r="AB534" i="9"/>
  <c r="O534" i="9"/>
  <c r="Q534" i="9" s="1"/>
  <c r="N534" i="9"/>
  <c r="P534" i="9" s="1"/>
  <c r="O533" i="9"/>
  <c r="Q533" i="9" s="1"/>
  <c r="N533" i="9"/>
  <c r="P533" i="9" s="1"/>
  <c r="AF532" i="9"/>
  <c r="AE532" i="9"/>
  <c r="AD532" i="9"/>
  <c r="AC532" i="9"/>
  <c r="AB532" i="9"/>
  <c r="O532" i="9"/>
  <c r="Q532" i="9" s="1"/>
  <c r="N532" i="9"/>
  <c r="P532" i="9" s="1"/>
  <c r="O531" i="9"/>
  <c r="Q531" i="9" s="1"/>
  <c r="N531" i="9"/>
  <c r="P531" i="9" s="1"/>
  <c r="O530" i="9"/>
  <c r="Q530" i="9" s="1"/>
  <c r="N530" i="9"/>
  <c r="P530" i="9" s="1"/>
  <c r="O529" i="9"/>
  <c r="Q529" i="9" s="1"/>
  <c r="N529" i="9"/>
  <c r="P529" i="9" s="1"/>
  <c r="O528" i="9"/>
  <c r="Q528" i="9" s="1"/>
  <c r="N528" i="9"/>
  <c r="P528" i="9" s="1"/>
  <c r="O527" i="9"/>
  <c r="Q527" i="9" s="1"/>
  <c r="N527" i="9"/>
  <c r="P527" i="9" s="1"/>
  <c r="O526" i="9"/>
  <c r="Q526" i="9" s="1"/>
  <c r="N526" i="9"/>
  <c r="P526" i="9" s="1"/>
  <c r="Q525" i="9"/>
  <c r="N525" i="9"/>
  <c r="P525" i="9" s="1"/>
  <c r="O524" i="9"/>
  <c r="Q524" i="9" s="1"/>
  <c r="N524" i="9"/>
  <c r="P524" i="9" s="1"/>
  <c r="O523" i="9"/>
  <c r="Q523" i="9" s="1"/>
  <c r="N523" i="9"/>
  <c r="P523" i="9" s="1"/>
  <c r="O522" i="9"/>
  <c r="Q522" i="9" s="1"/>
  <c r="N522" i="9"/>
  <c r="P522" i="9" s="1"/>
  <c r="O521" i="9"/>
  <c r="Q521" i="9" s="1"/>
  <c r="N521" i="9"/>
  <c r="P521" i="9" s="1"/>
  <c r="Z520" i="9"/>
  <c r="M520" i="9"/>
  <c r="L520" i="9"/>
  <c r="K520" i="9"/>
  <c r="J520" i="9"/>
  <c r="I520" i="9"/>
  <c r="H520" i="9"/>
  <c r="O518" i="9"/>
  <c r="Q518" i="9" s="1"/>
  <c r="N518" i="9"/>
  <c r="P518" i="9" s="1"/>
  <c r="O517" i="9"/>
  <c r="Q517" i="9" s="1"/>
  <c r="N517" i="9"/>
  <c r="P517" i="9" s="1"/>
  <c r="O516" i="9"/>
  <c r="Q516" i="9" s="1"/>
  <c r="N516" i="9"/>
  <c r="P516" i="9" s="1"/>
  <c r="O514" i="9"/>
  <c r="Q514" i="9" s="1"/>
  <c r="N514" i="9"/>
  <c r="P514" i="9" s="1"/>
  <c r="O513" i="9"/>
  <c r="Q513" i="9" s="1"/>
  <c r="N513" i="9"/>
  <c r="P513" i="9" s="1"/>
  <c r="O512" i="9"/>
  <c r="Q512" i="9" s="1"/>
  <c r="N512" i="9"/>
  <c r="P512" i="9" s="1"/>
  <c r="O511" i="9"/>
  <c r="Q511" i="9" s="1"/>
  <c r="N511" i="9"/>
  <c r="P511" i="9" s="1"/>
  <c r="O510" i="9"/>
  <c r="Q510" i="9" s="1"/>
  <c r="N510" i="9"/>
  <c r="P510" i="9" s="1"/>
  <c r="O509" i="9"/>
  <c r="Q509" i="9" s="1"/>
  <c r="N509" i="9"/>
  <c r="P509" i="9" s="1"/>
  <c r="O508" i="9"/>
  <c r="Q508" i="9" s="1"/>
  <c r="N508" i="9"/>
  <c r="P508" i="9" s="1"/>
  <c r="O507" i="9"/>
  <c r="Q507" i="9" s="1"/>
  <c r="N507" i="9"/>
  <c r="P507" i="9" s="1"/>
  <c r="O506" i="9"/>
  <c r="Q506" i="9" s="1"/>
  <c r="N506" i="9"/>
  <c r="P506" i="9" s="1"/>
  <c r="AF505" i="9"/>
  <c r="AE505" i="9"/>
  <c r="AD505" i="9"/>
  <c r="AC505" i="9"/>
  <c r="AB505" i="9"/>
  <c r="O505" i="9"/>
  <c r="Q505" i="9" s="1"/>
  <c r="N505" i="9"/>
  <c r="P505" i="9" s="1"/>
  <c r="O504" i="9"/>
  <c r="Q504" i="9" s="1"/>
  <c r="N504" i="9"/>
  <c r="P504" i="9" s="1"/>
  <c r="O503" i="9"/>
  <c r="Q503" i="9" s="1"/>
  <c r="N503" i="9"/>
  <c r="P503" i="9" s="1"/>
  <c r="O502" i="9"/>
  <c r="Q502" i="9" s="1"/>
  <c r="N502" i="9"/>
  <c r="P502" i="9" s="1"/>
  <c r="O501" i="9"/>
  <c r="Q501" i="9" s="1"/>
  <c r="N501" i="9"/>
  <c r="P501" i="9" s="1"/>
  <c r="AF500" i="9"/>
  <c r="O500" i="9"/>
  <c r="Q500" i="9" s="1"/>
  <c r="N500" i="9"/>
  <c r="P500" i="9" s="1"/>
  <c r="O499" i="9"/>
  <c r="Q499" i="9" s="1"/>
  <c r="N499" i="9"/>
  <c r="P499" i="9" s="1"/>
  <c r="O498" i="9"/>
  <c r="Q498" i="9" s="1"/>
  <c r="N498" i="9"/>
  <c r="P498" i="9" s="1"/>
  <c r="O496" i="9"/>
  <c r="Q496" i="9" s="1"/>
  <c r="N496" i="9"/>
  <c r="P496" i="9" s="1"/>
  <c r="O495" i="9"/>
  <c r="Q495" i="9" s="1"/>
  <c r="N495" i="9"/>
  <c r="P495" i="9" s="1"/>
  <c r="O494" i="9"/>
  <c r="Q494" i="9" s="1"/>
  <c r="N494" i="9"/>
  <c r="P494" i="9" s="1"/>
  <c r="O493" i="9"/>
  <c r="Q493" i="9" s="1"/>
  <c r="N493" i="9"/>
  <c r="P493" i="9" s="1"/>
  <c r="O492" i="9"/>
  <c r="Q492" i="9" s="1"/>
  <c r="N492" i="9"/>
  <c r="P492" i="9" s="1"/>
  <c r="O491" i="9"/>
  <c r="Q491" i="9" s="1"/>
  <c r="N491" i="9"/>
  <c r="P491" i="9" s="1"/>
  <c r="Q490" i="9"/>
  <c r="P490" i="9"/>
  <c r="Z488" i="9"/>
  <c r="M488" i="9"/>
  <c r="L488" i="9"/>
  <c r="K488" i="9"/>
  <c r="J488" i="9"/>
  <c r="I488" i="9"/>
  <c r="H488" i="9"/>
  <c r="N488" i="9" s="1"/>
  <c r="P488" i="9" s="1"/>
  <c r="O487" i="9"/>
  <c r="Q487" i="9" s="1"/>
  <c r="N487" i="9"/>
  <c r="P487" i="9" s="1"/>
  <c r="O486" i="9"/>
  <c r="Q486" i="9" s="1"/>
  <c r="N486" i="9"/>
  <c r="P486" i="9" s="1"/>
  <c r="O485" i="9"/>
  <c r="Q485" i="9" s="1"/>
  <c r="N485" i="9"/>
  <c r="P485" i="9" s="1"/>
  <c r="O484" i="9"/>
  <c r="Q484" i="9" s="1"/>
  <c r="N484" i="9"/>
  <c r="P484" i="9" s="1"/>
  <c r="O483" i="9"/>
  <c r="Q483" i="9" s="1"/>
  <c r="N483" i="9"/>
  <c r="P483" i="9" s="1"/>
  <c r="O482" i="9"/>
  <c r="Q482" i="9" s="1"/>
  <c r="N482" i="9"/>
  <c r="P482" i="9" s="1"/>
  <c r="O481" i="9"/>
  <c r="Q481" i="9" s="1"/>
  <c r="N481" i="9"/>
  <c r="P481" i="9" s="1"/>
  <c r="Z479" i="9"/>
  <c r="M479" i="9"/>
  <c r="L479" i="9"/>
  <c r="K479" i="9"/>
  <c r="J479" i="9"/>
  <c r="I479" i="9"/>
  <c r="H479" i="9"/>
  <c r="O478" i="9"/>
  <c r="Q478" i="9" s="1"/>
  <c r="N478" i="9"/>
  <c r="P478" i="9" s="1"/>
  <c r="O477" i="9"/>
  <c r="Q477" i="9" s="1"/>
  <c r="N477" i="9"/>
  <c r="P477" i="9" s="1"/>
  <c r="O476" i="9"/>
  <c r="Q476" i="9" s="1"/>
  <c r="N476" i="9"/>
  <c r="P476" i="9" s="1"/>
  <c r="O475" i="9"/>
  <c r="Q475" i="9" s="1"/>
  <c r="N475" i="9"/>
  <c r="P475" i="9" s="1"/>
  <c r="O474" i="9"/>
  <c r="Q474" i="9" s="1"/>
  <c r="N474" i="9"/>
  <c r="P474" i="9" s="1"/>
  <c r="O473" i="9"/>
  <c r="Q473" i="9" s="1"/>
  <c r="N473" i="9"/>
  <c r="P473" i="9" s="1"/>
  <c r="O472" i="9"/>
  <c r="Q472" i="9" s="1"/>
  <c r="N472" i="9"/>
  <c r="P472" i="9" s="1"/>
  <c r="O471" i="9"/>
  <c r="Q471" i="9" s="1"/>
  <c r="N471" i="9"/>
  <c r="P471" i="9" s="1"/>
  <c r="Z469" i="9"/>
  <c r="M469" i="9"/>
  <c r="L469" i="9"/>
  <c r="K469" i="9"/>
  <c r="J469" i="9"/>
  <c r="I469" i="9"/>
  <c r="H469" i="9"/>
  <c r="O468" i="9"/>
  <c r="Q468" i="9" s="1"/>
  <c r="N468" i="9"/>
  <c r="P468" i="9" s="1"/>
  <c r="O467" i="9"/>
  <c r="Q467" i="9" s="1"/>
  <c r="N467" i="9"/>
  <c r="P467" i="9" s="1"/>
  <c r="O466" i="9"/>
  <c r="Q466" i="9" s="1"/>
  <c r="N466" i="9"/>
  <c r="P466" i="9" s="1"/>
  <c r="Q465" i="9"/>
  <c r="P465" i="9"/>
  <c r="Z464" i="9"/>
  <c r="M464" i="9"/>
  <c r="L464" i="9"/>
  <c r="K464" i="9"/>
  <c r="J464" i="9"/>
  <c r="I464" i="9"/>
  <c r="H464" i="9"/>
  <c r="O463" i="9"/>
  <c r="Q463" i="9" s="1"/>
  <c r="N463" i="9"/>
  <c r="P463" i="9" s="1"/>
  <c r="O462" i="9"/>
  <c r="Q462" i="9" s="1"/>
  <c r="N462" i="9"/>
  <c r="P462" i="9" s="1"/>
  <c r="O461" i="9"/>
  <c r="Q461" i="9" s="1"/>
  <c r="N461" i="9"/>
  <c r="P461" i="9" s="1"/>
  <c r="O460" i="9"/>
  <c r="Q460" i="9" s="1"/>
  <c r="N460" i="9"/>
  <c r="P460" i="9" s="1"/>
  <c r="O459" i="9"/>
  <c r="Q459" i="9" s="1"/>
  <c r="N459" i="9"/>
  <c r="P459" i="9" s="1"/>
  <c r="O458" i="9"/>
  <c r="Q458" i="9" s="1"/>
  <c r="N458" i="9"/>
  <c r="P458" i="9" s="1"/>
  <c r="O457" i="9"/>
  <c r="Q457" i="9" s="1"/>
  <c r="N457" i="9"/>
  <c r="P457" i="9" s="1"/>
  <c r="Z454" i="9"/>
  <c r="Z455" i="9" s="1"/>
  <c r="M454" i="9"/>
  <c r="L454" i="9"/>
  <c r="L455" i="9" s="1"/>
  <c r="K454" i="9"/>
  <c r="K455" i="9" s="1"/>
  <c r="J454" i="9"/>
  <c r="J455" i="9" s="1"/>
  <c r="I454" i="9"/>
  <c r="I455" i="9" s="1"/>
  <c r="H454" i="9"/>
  <c r="H455" i="9" s="1"/>
  <c r="O453" i="9"/>
  <c r="Q453" i="9" s="1"/>
  <c r="N453" i="9"/>
  <c r="P453" i="9" s="1"/>
  <c r="O452" i="9"/>
  <c r="Q452" i="9" s="1"/>
  <c r="N452" i="9"/>
  <c r="P452" i="9" s="1"/>
  <c r="O451" i="9"/>
  <c r="Q451" i="9" s="1"/>
  <c r="N451" i="9"/>
  <c r="P451" i="9" s="1"/>
  <c r="O450" i="9"/>
  <c r="Q450" i="9" s="1"/>
  <c r="N450" i="9"/>
  <c r="P450" i="9" s="1"/>
  <c r="O449" i="9"/>
  <c r="Q449" i="9" s="1"/>
  <c r="N449" i="9"/>
  <c r="P449" i="9" s="1"/>
  <c r="O448" i="9"/>
  <c r="Q448" i="9" s="1"/>
  <c r="N448" i="9"/>
  <c r="P448" i="9" s="1"/>
  <c r="O447" i="9"/>
  <c r="Q447" i="9" s="1"/>
  <c r="N447" i="9"/>
  <c r="P447" i="9" s="1"/>
  <c r="O446" i="9"/>
  <c r="Q446" i="9" s="1"/>
  <c r="N446" i="9"/>
  <c r="P446" i="9" s="1"/>
  <c r="O445" i="9"/>
  <c r="Q445" i="9" s="1"/>
  <c r="N445" i="9"/>
  <c r="P445" i="9" s="1"/>
  <c r="O444" i="9"/>
  <c r="Q444" i="9" s="1"/>
  <c r="N444" i="9"/>
  <c r="P444" i="9" s="1"/>
  <c r="AF441" i="9"/>
  <c r="AE441" i="9"/>
  <c r="AB441" i="9"/>
  <c r="Z441" i="9"/>
  <c r="M441" i="9"/>
  <c r="L441" i="9"/>
  <c r="K441" i="9"/>
  <c r="J441" i="9"/>
  <c r="I441" i="9"/>
  <c r="H441" i="9"/>
  <c r="O440" i="9"/>
  <c r="Q440" i="9" s="1"/>
  <c r="N440" i="9"/>
  <c r="P440" i="9" s="1"/>
  <c r="O439" i="9"/>
  <c r="Q439" i="9" s="1"/>
  <c r="N439" i="9"/>
  <c r="P439" i="9" s="1"/>
  <c r="O438" i="9"/>
  <c r="Q438" i="9" s="1"/>
  <c r="N438" i="9"/>
  <c r="P438" i="9" s="1"/>
  <c r="O437" i="9"/>
  <c r="Q437" i="9" s="1"/>
  <c r="N437" i="9"/>
  <c r="P437" i="9" s="1"/>
  <c r="O436" i="9"/>
  <c r="Q436" i="9" s="1"/>
  <c r="N436" i="9"/>
  <c r="P436" i="9" s="1"/>
  <c r="O435" i="9"/>
  <c r="Q435" i="9" s="1"/>
  <c r="N435" i="9"/>
  <c r="P435" i="9" s="1"/>
  <c r="O434" i="9"/>
  <c r="Q434" i="9" s="1"/>
  <c r="N434" i="9"/>
  <c r="P434" i="9" s="1"/>
  <c r="O433" i="9"/>
  <c r="Q433" i="9" s="1"/>
  <c r="N433" i="9"/>
  <c r="P433" i="9" s="1"/>
  <c r="O432" i="9"/>
  <c r="Q432" i="9" s="1"/>
  <c r="N432" i="9"/>
  <c r="P432" i="9" s="1"/>
  <c r="O431" i="9"/>
  <c r="Q431" i="9" s="1"/>
  <c r="N431" i="9"/>
  <c r="P431" i="9" s="1"/>
  <c r="Q430" i="9"/>
  <c r="P430" i="9"/>
  <c r="Q429" i="9"/>
  <c r="P429" i="9"/>
  <c r="AF427" i="9"/>
  <c r="AE427" i="9"/>
  <c r="AD427" i="9"/>
  <c r="AC427" i="9"/>
  <c r="AB427" i="9"/>
  <c r="Z427" i="9"/>
  <c r="Q427" i="9"/>
  <c r="L427" i="9"/>
  <c r="J427" i="9"/>
  <c r="H427" i="9"/>
  <c r="Q426" i="9"/>
  <c r="N426" i="9"/>
  <c r="P426" i="9" s="1"/>
  <c r="Q425" i="9"/>
  <c r="N425" i="9"/>
  <c r="P425" i="9" s="1"/>
  <c r="Z423" i="9"/>
  <c r="O422" i="9"/>
  <c r="Q422" i="9" s="1"/>
  <c r="N422" i="9"/>
  <c r="P422" i="9" s="1"/>
  <c r="O421" i="9"/>
  <c r="Q421" i="9" s="1"/>
  <c r="N421" i="9"/>
  <c r="P421" i="9" s="1"/>
  <c r="O420" i="9"/>
  <c r="Q420" i="9" s="1"/>
  <c r="N420" i="9"/>
  <c r="P420" i="9" s="1"/>
  <c r="O419" i="9"/>
  <c r="Q419" i="9" s="1"/>
  <c r="N419" i="9"/>
  <c r="P419" i="9" s="1"/>
  <c r="O418" i="9"/>
  <c r="Q418" i="9" s="1"/>
  <c r="N418" i="9"/>
  <c r="P418" i="9" s="1"/>
  <c r="O417" i="9"/>
  <c r="Q417" i="9" s="1"/>
  <c r="N417" i="9"/>
  <c r="P417" i="9" s="1"/>
  <c r="O416" i="9"/>
  <c r="Q416" i="9" s="1"/>
  <c r="N416" i="9"/>
  <c r="P416" i="9" s="1"/>
  <c r="O415" i="9"/>
  <c r="Q415" i="9" s="1"/>
  <c r="N415" i="9"/>
  <c r="P415" i="9" s="1"/>
  <c r="O414" i="9"/>
  <c r="Q414" i="9" s="1"/>
  <c r="N414" i="9"/>
  <c r="P414" i="9" s="1"/>
  <c r="Q413" i="9"/>
  <c r="N413" i="9"/>
  <c r="P413" i="9" s="1"/>
  <c r="O412" i="9"/>
  <c r="Q412" i="9" s="1"/>
  <c r="N412" i="9"/>
  <c r="P412" i="9" s="1"/>
  <c r="O411" i="9"/>
  <c r="Q411" i="9" s="1"/>
  <c r="N411" i="9"/>
  <c r="P411" i="9" s="1"/>
  <c r="O410" i="9"/>
  <c r="Q410" i="9" s="1"/>
  <c r="N410" i="9"/>
  <c r="P410" i="9" s="1"/>
  <c r="O409" i="9"/>
  <c r="Q409" i="9" s="1"/>
  <c r="N409" i="9"/>
  <c r="P409" i="9" s="1"/>
  <c r="O408" i="9"/>
  <c r="Q408" i="9" s="1"/>
  <c r="N408" i="9"/>
  <c r="P408" i="9" s="1"/>
  <c r="O407" i="9"/>
  <c r="Q407" i="9" s="1"/>
  <c r="N407" i="9"/>
  <c r="P407" i="9" s="1"/>
  <c r="Q406" i="9"/>
  <c r="N406" i="9"/>
  <c r="P406" i="9" s="1"/>
  <c r="M405" i="9"/>
  <c r="M423" i="9" s="1"/>
  <c r="M428" i="9" s="1"/>
  <c r="L405" i="9"/>
  <c r="L423" i="9" s="1"/>
  <c r="K405" i="9"/>
  <c r="K423" i="9" s="1"/>
  <c r="K428" i="9" s="1"/>
  <c r="J405" i="9"/>
  <c r="J423" i="9" s="1"/>
  <c r="I405" i="9"/>
  <c r="H405" i="9"/>
  <c r="O404" i="9"/>
  <c r="Q404" i="9" s="1"/>
  <c r="N404" i="9"/>
  <c r="P404" i="9" s="1"/>
  <c r="AF402" i="9"/>
  <c r="AF423" i="9" s="1"/>
  <c r="O402" i="9"/>
  <c r="Q402" i="9" s="1"/>
  <c r="N402" i="9"/>
  <c r="P402" i="9" s="1"/>
  <c r="AE401" i="9"/>
  <c r="AE423" i="9" s="1"/>
  <c r="AD401" i="9"/>
  <c r="AD423" i="9" s="1"/>
  <c r="AC401" i="9"/>
  <c r="AC423" i="9" s="1"/>
  <c r="AB401" i="9"/>
  <c r="AB423" i="9" s="1"/>
  <c r="O401" i="9"/>
  <c r="Q401" i="9" s="1"/>
  <c r="N401" i="9"/>
  <c r="P401" i="9" s="1"/>
  <c r="O400" i="9"/>
  <c r="Q400" i="9" s="1"/>
  <c r="N400" i="9"/>
  <c r="P400" i="9" s="1"/>
  <c r="O399" i="9"/>
  <c r="Q399" i="9" s="1"/>
  <c r="N399" i="9"/>
  <c r="P399" i="9" s="1"/>
  <c r="O398" i="9"/>
  <c r="Q398" i="9" s="1"/>
  <c r="N398" i="9"/>
  <c r="P398" i="9" s="1"/>
  <c r="O397" i="9"/>
  <c r="Q397" i="9" s="1"/>
  <c r="N397" i="9"/>
  <c r="P397" i="9" s="1"/>
  <c r="O396" i="9"/>
  <c r="Q396" i="9" s="1"/>
  <c r="N396" i="9"/>
  <c r="P396" i="9" s="1"/>
  <c r="O395" i="9"/>
  <c r="Q395" i="9" s="1"/>
  <c r="N395" i="9"/>
  <c r="P395" i="9" s="1"/>
  <c r="O394" i="9"/>
  <c r="Q394" i="9" s="1"/>
  <c r="N394" i="9"/>
  <c r="P394" i="9" s="1"/>
  <c r="O393" i="9"/>
  <c r="Q393" i="9" s="1"/>
  <c r="N393" i="9"/>
  <c r="P393" i="9" s="1"/>
  <c r="O392" i="9"/>
  <c r="Q392" i="9" s="1"/>
  <c r="N392" i="9"/>
  <c r="P392" i="9" s="1"/>
  <c r="O391" i="9"/>
  <c r="Q391" i="9" s="1"/>
  <c r="N391" i="9"/>
  <c r="P391" i="9" s="1"/>
  <c r="O390" i="9"/>
  <c r="Q390" i="9" s="1"/>
  <c r="N390" i="9"/>
  <c r="P390" i="9" s="1"/>
  <c r="O389" i="9"/>
  <c r="Q389" i="9" s="1"/>
  <c r="N389" i="9"/>
  <c r="P389" i="9" s="1"/>
  <c r="O388" i="9"/>
  <c r="Q388" i="9" s="1"/>
  <c r="N388" i="9"/>
  <c r="P388" i="9" s="1"/>
  <c r="O387" i="9"/>
  <c r="Q387" i="9" s="1"/>
  <c r="N387" i="9"/>
  <c r="P387" i="9" s="1"/>
  <c r="O385" i="9"/>
  <c r="Q385" i="9" s="1"/>
  <c r="N385" i="9"/>
  <c r="P385" i="9" s="1"/>
  <c r="O384" i="9"/>
  <c r="Q384" i="9" s="1"/>
  <c r="N384" i="9"/>
  <c r="P384" i="9" s="1"/>
  <c r="Q383" i="9"/>
  <c r="N383" i="9"/>
  <c r="P383" i="9" s="1"/>
  <c r="O382" i="9"/>
  <c r="Q382" i="9" s="1"/>
  <c r="N382" i="9"/>
  <c r="P382" i="9" s="1"/>
  <c r="O381" i="9"/>
  <c r="Q381" i="9" s="1"/>
  <c r="N381" i="9"/>
  <c r="P381" i="9" s="1"/>
  <c r="O380" i="9"/>
  <c r="Q380" i="9" s="1"/>
  <c r="N380" i="9"/>
  <c r="P380" i="9" s="1"/>
  <c r="O379" i="9"/>
  <c r="Q379" i="9" s="1"/>
  <c r="N379" i="9"/>
  <c r="P379" i="9" s="1"/>
  <c r="Z376" i="9"/>
  <c r="M376" i="9"/>
  <c r="L376" i="9"/>
  <c r="K376" i="9"/>
  <c r="J376" i="9"/>
  <c r="I376" i="9"/>
  <c r="H376" i="9"/>
  <c r="AF375" i="9"/>
  <c r="AE375" i="9"/>
  <c r="AD375" i="9"/>
  <c r="AC375" i="9"/>
  <c r="AB375" i="9"/>
  <c r="O375" i="9"/>
  <c r="Q375" i="9" s="1"/>
  <c r="N375" i="9"/>
  <c r="P375" i="9" s="1"/>
  <c r="AF374" i="9"/>
  <c r="AE374" i="9"/>
  <c r="AD374" i="9"/>
  <c r="AC374" i="9"/>
  <c r="AB374" i="9"/>
  <c r="O374" i="9"/>
  <c r="Q374" i="9" s="1"/>
  <c r="N374" i="9"/>
  <c r="P374" i="9" s="1"/>
  <c r="AF373" i="9"/>
  <c r="AE373" i="9"/>
  <c r="AD373" i="9"/>
  <c r="AC373" i="9"/>
  <c r="AB373" i="9"/>
  <c r="O373" i="9"/>
  <c r="Q373" i="9" s="1"/>
  <c r="N373" i="9"/>
  <c r="P373" i="9" s="1"/>
  <c r="Q372" i="9"/>
  <c r="P372" i="9"/>
  <c r="Z371" i="9"/>
  <c r="M371" i="9"/>
  <c r="L371" i="9"/>
  <c r="K371" i="9"/>
  <c r="J371" i="9"/>
  <c r="I371" i="9"/>
  <c r="H371" i="9"/>
  <c r="O370" i="9"/>
  <c r="Q370" i="9" s="1"/>
  <c r="N370" i="9"/>
  <c r="P370" i="9" s="1"/>
  <c r="O369" i="9"/>
  <c r="Q369" i="9" s="1"/>
  <c r="N369" i="9"/>
  <c r="P369" i="9" s="1"/>
  <c r="O368" i="9"/>
  <c r="Q368" i="9" s="1"/>
  <c r="N368" i="9"/>
  <c r="P368" i="9" s="1"/>
  <c r="AF367" i="9"/>
  <c r="AF371" i="9" s="1"/>
  <c r="AE367" i="9"/>
  <c r="AE371" i="9" s="1"/>
  <c r="AD367" i="9"/>
  <c r="AD371" i="9" s="1"/>
  <c r="AC367" i="9"/>
  <c r="AC371" i="9" s="1"/>
  <c r="AB367" i="9"/>
  <c r="AB371" i="9" s="1"/>
  <c r="O367" i="9"/>
  <c r="Q367" i="9" s="1"/>
  <c r="N367" i="9"/>
  <c r="P367" i="9" s="1"/>
  <c r="O366" i="9"/>
  <c r="Q366" i="9" s="1"/>
  <c r="N366" i="9"/>
  <c r="P366" i="9" s="1"/>
  <c r="O362" i="9"/>
  <c r="Q362" i="9" s="1"/>
  <c r="N362" i="9"/>
  <c r="P362" i="9" s="1"/>
  <c r="AF361" i="9"/>
  <c r="AF363" i="9" s="1"/>
  <c r="AE361" i="9"/>
  <c r="AD361" i="9"/>
  <c r="AC361" i="9"/>
  <c r="AB361" i="9"/>
  <c r="Z361" i="9"/>
  <c r="M361" i="9"/>
  <c r="L361" i="9"/>
  <c r="K361" i="9"/>
  <c r="J361" i="9"/>
  <c r="I361" i="9"/>
  <c r="H361" i="9"/>
  <c r="O360" i="9"/>
  <c r="Q360" i="9" s="1"/>
  <c r="N360" i="9"/>
  <c r="P360" i="9" s="1"/>
  <c r="O359" i="9"/>
  <c r="Q359" i="9" s="1"/>
  <c r="N359" i="9"/>
  <c r="P359" i="9" s="1"/>
  <c r="O357" i="9"/>
  <c r="Q357" i="9" s="1"/>
  <c r="N357" i="9"/>
  <c r="P357" i="9" s="1"/>
  <c r="O356" i="9"/>
  <c r="Q356" i="9" s="1"/>
  <c r="N356" i="9"/>
  <c r="P356" i="9" s="1"/>
  <c r="O355" i="9"/>
  <c r="Q355" i="9" s="1"/>
  <c r="N355" i="9"/>
  <c r="P355" i="9" s="1"/>
  <c r="O354" i="9"/>
  <c r="Q354" i="9" s="1"/>
  <c r="N354" i="9"/>
  <c r="P354" i="9" s="1"/>
  <c r="O353" i="9"/>
  <c r="Q353" i="9" s="1"/>
  <c r="N353" i="9"/>
  <c r="P353" i="9" s="1"/>
  <c r="O352" i="9"/>
  <c r="Q352" i="9" s="1"/>
  <c r="N352" i="9"/>
  <c r="P352" i="9" s="1"/>
  <c r="O351" i="9"/>
  <c r="Q351" i="9" s="1"/>
  <c r="N351" i="9"/>
  <c r="P351" i="9" s="1"/>
  <c r="O350" i="9"/>
  <c r="Q350" i="9" s="1"/>
  <c r="N350" i="9"/>
  <c r="P350" i="9" s="1"/>
  <c r="O349" i="9"/>
  <c r="Q349" i="9" s="1"/>
  <c r="N349" i="9"/>
  <c r="P349" i="9" s="1"/>
  <c r="O348" i="9"/>
  <c r="Q348" i="9" s="1"/>
  <c r="N348" i="9"/>
  <c r="P348" i="9" s="1"/>
  <c r="O347" i="9"/>
  <c r="Q347" i="9" s="1"/>
  <c r="N347" i="9"/>
  <c r="P347" i="9" s="1"/>
  <c r="O346" i="9"/>
  <c r="Q346" i="9" s="1"/>
  <c r="N346" i="9"/>
  <c r="P346" i="9" s="1"/>
  <c r="Q345" i="9"/>
  <c r="N345" i="9"/>
  <c r="P345" i="9" s="1"/>
  <c r="O344" i="9"/>
  <c r="Q344" i="9" s="1"/>
  <c r="N344" i="9"/>
  <c r="P344" i="9" s="1"/>
  <c r="O343" i="9"/>
  <c r="Q343" i="9" s="1"/>
  <c r="N343" i="9"/>
  <c r="P343" i="9" s="1"/>
  <c r="AF342" i="9"/>
  <c r="AE342" i="9"/>
  <c r="AD342" i="9"/>
  <c r="AC342" i="9"/>
  <c r="AB342" i="9"/>
  <c r="Z342" i="9"/>
  <c r="M342" i="9"/>
  <c r="L342" i="9"/>
  <c r="K342" i="9"/>
  <c r="J342" i="9"/>
  <c r="I342" i="9"/>
  <c r="H342" i="9"/>
  <c r="O341" i="9"/>
  <c r="Q341" i="9" s="1"/>
  <c r="N341" i="9"/>
  <c r="P341" i="9" s="1"/>
  <c r="O339" i="9"/>
  <c r="Q339" i="9" s="1"/>
  <c r="N339" i="9"/>
  <c r="P339" i="9" s="1"/>
  <c r="Q338" i="9"/>
  <c r="N338" i="9"/>
  <c r="P338" i="9" s="1"/>
  <c r="O337" i="9"/>
  <c r="Q337" i="9" s="1"/>
  <c r="N337" i="9"/>
  <c r="P337" i="9" s="1"/>
  <c r="Q336" i="9"/>
  <c r="N336" i="9"/>
  <c r="P336" i="9" s="1"/>
  <c r="O332" i="9"/>
  <c r="Q332" i="9" s="1"/>
  <c r="N332" i="9"/>
  <c r="P332" i="9" s="1"/>
  <c r="AF331" i="9"/>
  <c r="AE331" i="9"/>
  <c r="AD331" i="9"/>
  <c r="AC331" i="9"/>
  <c r="AB331" i="9"/>
  <c r="Z331" i="9"/>
  <c r="M331" i="9"/>
  <c r="L331" i="9"/>
  <c r="K331" i="9"/>
  <c r="J331" i="9"/>
  <c r="I331" i="9"/>
  <c r="H331" i="9"/>
  <c r="N331" i="9" s="1"/>
  <c r="P331" i="9" s="1"/>
  <c r="O330" i="9"/>
  <c r="Q330" i="9" s="1"/>
  <c r="N330" i="9"/>
  <c r="P330" i="9" s="1"/>
  <c r="AF328" i="9"/>
  <c r="AE328" i="9"/>
  <c r="AD328" i="9"/>
  <c r="AC328" i="9"/>
  <c r="AB328" i="9"/>
  <c r="Z328" i="9"/>
  <c r="M328" i="9"/>
  <c r="L328" i="9"/>
  <c r="K328" i="9"/>
  <c r="J328" i="9"/>
  <c r="I328" i="9"/>
  <c r="H328" i="9"/>
  <c r="O326" i="9"/>
  <c r="Q326" i="9" s="1"/>
  <c r="N326" i="9"/>
  <c r="P326" i="9" s="1"/>
  <c r="O325" i="9"/>
  <c r="Q325" i="9" s="1"/>
  <c r="N325" i="9"/>
  <c r="P325" i="9" s="1"/>
  <c r="O324" i="9"/>
  <c r="Q324" i="9" s="1"/>
  <c r="N324" i="9"/>
  <c r="P324" i="9" s="1"/>
  <c r="O323" i="9"/>
  <c r="Q323" i="9" s="1"/>
  <c r="N323" i="9"/>
  <c r="P323" i="9" s="1"/>
  <c r="O322" i="9"/>
  <c r="Q322" i="9" s="1"/>
  <c r="N322" i="9"/>
  <c r="P322" i="9" s="1"/>
  <c r="O321" i="9"/>
  <c r="Q321" i="9" s="1"/>
  <c r="N321" i="9"/>
  <c r="P321" i="9" s="1"/>
  <c r="AF319" i="9"/>
  <c r="AE319" i="9"/>
  <c r="AD319" i="9"/>
  <c r="AC319" i="9"/>
  <c r="AB319" i="9"/>
  <c r="Z319" i="9"/>
  <c r="M319" i="9"/>
  <c r="L319" i="9"/>
  <c r="K319" i="9"/>
  <c r="J319" i="9"/>
  <c r="I319" i="9"/>
  <c r="H319" i="9"/>
  <c r="O318" i="9"/>
  <c r="Q318" i="9" s="1"/>
  <c r="N318" i="9"/>
  <c r="P318" i="9" s="1"/>
  <c r="O317" i="9"/>
  <c r="Q317" i="9" s="1"/>
  <c r="N317" i="9"/>
  <c r="P317" i="9" s="1"/>
  <c r="O316" i="9"/>
  <c r="Q316" i="9" s="1"/>
  <c r="N316" i="9"/>
  <c r="P316" i="9" s="1"/>
  <c r="O315" i="9"/>
  <c r="Q315" i="9" s="1"/>
  <c r="N315" i="9"/>
  <c r="P315" i="9" s="1"/>
  <c r="O314" i="9"/>
  <c r="Q314" i="9" s="1"/>
  <c r="N314" i="9"/>
  <c r="P314" i="9" s="1"/>
  <c r="O313" i="9"/>
  <c r="Q313" i="9" s="1"/>
  <c r="N313" i="9"/>
  <c r="P313" i="9" s="1"/>
  <c r="O312" i="9"/>
  <c r="Q312" i="9" s="1"/>
  <c r="N312" i="9"/>
  <c r="P312" i="9" s="1"/>
  <c r="O311" i="9"/>
  <c r="Q311" i="9" s="1"/>
  <c r="N311" i="9"/>
  <c r="P311" i="9" s="1"/>
  <c r="O310" i="9"/>
  <c r="Q310" i="9" s="1"/>
  <c r="N310" i="9"/>
  <c r="P310" i="9" s="1"/>
  <c r="O309" i="9"/>
  <c r="Q309" i="9" s="1"/>
  <c r="N309" i="9"/>
  <c r="P309" i="9" s="1"/>
  <c r="AF307" i="9"/>
  <c r="AE307" i="9"/>
  <c r="AD307" i="9"/>
  <c r="AC307" i="9"/>
  <c r="AB307" i="9"/>
  <c r="Z307" i="9"/>
  <c r="M307" i="9"/>
  <c r="L307" i="9"/>
  <c r="K307" i="9"/>
  <c r="J307" i="9"/>
  <c r="I307" i="9"/>
  <c r="H307" i="9"/>
  <c r="O306" i="9"/>
  <c r="Q306" i="9" s="1"/>
  <c r="N306" i="9"/>
  <c r="P306" i="9" s="1"/>
  <c r="O305" i="9"/>
  <c r="Q305" i="9" s="1"/>
  <c r="N305" i="9"/>
  <c r="P305" i="9" s="1"/>
  <c r="O304" i="9"/>
  <c r="Q304" i="9" s="1"/>
  <c r="N304" i="9"/>
  <c r="P304" i="9" s="1"/>
  <c r="O303" i="9"/>
  <c r="Q303" i="9" s="1"/>
  <c r="N303" i="9"/>
  <c r="P303" i="9" s="1"/>
  <c r="AF301" i="9"/>
  <c r="AE301" i="9"/>
  <c r="AD301" i="9"/>
  <c r="AC301" i="9"/>
  <c r="AB301" i="9"/>
  <c r="Z301" i="9"/>
  <c r="M301" i="9"/>
  <c r="L301" i="9"/>
  <c r="K301" i="9"/>
  <c r="J301" i="9"/>
  <c r="I301" i="9"/>
  <c r="H301" i="9"/>
  <c r="O300" i="9"/>
  <c r="Q300" i="9" s="1"/>
  <c r="N300" i="9"/>
  <c r="P300" i="9" s="1"/>
  <c r="O299" i="9"/>
  <c r="Q299" i="9" s="1"/>
  <c r="N299" i="9"/>
  <c r="P299" i="9" s="1"/>
  <c r="O298" i="9"/>
  <c r="Q298" i="9" s="1"/>
  <c r="N298" i="9"/>
  <c r="P298" i="9" s="1"/>
  <c r="O297" i="9"/>
  <c r="Q297" i="9" s="1"/>
  <c r="N297" i="9"/>
  <c r="P297" i="9" s="1"/>
  <c r="O296" i="9"/>
  <c r="Q296" i="9" s="1"/>
  <c r="N296" i="9"/>
  <c r="P296" i="9" s="1"/>
  <c r="O295" i="9"/>
  <c r="Q295" i="9" s="1"/>
  <c r="N295" i="9"/>
  <c r="P295" i="9" s="1"/>
  <c r="O294" i="9"/>
  <c r="Q294" i="9" s="1"/>
  <c r="N294" i="9"/>
  <c r="P294" i="9" s="1"/>
  <c r="O293" i="9"/>
  <c r="Q293" i="9" s="1"/>
  <c r="N293" i="9"/>
  <c r="P293" i="9" s="1"/>
  <c r="O292" i="9"/>
  <c r="Q292" i="9" s="1"/>
  <c r="N292" i="9"/>
  <c r="P292" i="9" s="1"/>
  <c r="O291" i="9"/>
  <c r="Q291" i="9" s="1"/>
  <c r="N291" i="9"/>
  <c r="P291" i="9" s="1"/>
  <c r="O290" i="9"/>
  <c r="Q290" i="9" s="1"/>
  <c r="N290" i="9"/>
  <c r="P290" i="9" s="1"/>
  <c r="AF288" i="9"/>
  <c r="AE288" i="9"/>
  <c r="AD288" i="9"/>
  <c r="AC288" i="9"/>
  <c r="AB288" i="9"/>
  <c r="Z288" i="9"/>
  <c r="M288" i="9"/>
  <c r="L288" i="9"/>
  <c r="K288" i="9"/>
  <c r="J288" i="9"/>
  <c r="I288" i="9"/>
  <c r="H288" i="9"/>
  <c r="O287" i="9"/>
  <c r="Q287" i="9" s="1"/>
  <c r="N287" i="9"/>
  <c r="P287" i="9" s="1"/>
  <c r="O286" i="9"/>
  <c r="Q286" i="9" s="1"/>
  <c r="N286" i="9"/>
  <c r="P286" i="9" s="1"/>
  <c r="O285" i="9"/>
  <c r="Q285" i="9" s="1"/>
  <c r="N285" i="9"/>
  <c r="P285" i="9" s="1"/>
  <c r="O284" i="9"/>
  <c r="Q284" i="9" s="1"/>
  <c r="N284" i="9"/>
  <c r="P284" i="9" s="1"/>
  <c r="O283" i="9"/>
  <c r="Q283" i="9" s="1"/>
  <c r="N283" i="9"/>
  <c r="P283" i="9" s="1"/>
  <c r="O282" i="9"/>
  <c r="Q282" i="9" s="1"/>
  <c r="N282" i="9"/>
  <c r="P282" i="9" s="1"/>
  <c r="Q281" i="9"/>
  <c r="P281" i="9"/>
  <c r="AF280" i="9"/>
  <c r="AE280" i="9"/>
  <c r="AD280" i="9"/>
  <c r="AC280" i="9"/>
  <c r="AB280" i="9"/>
  <c r="Z280" i="9"/>
  <c r="M280" i="9"/>
  <c r="L280" i="9"/>
  <c r="K280" i="9"/>
  <c r="J280" i="9"/>
  <c r="I280" i="9"/>
  <c r="H280" i="9"/>
  <c r="O279" i="9"/>
  <c r="Q279" i="9" s="1"/>
  <c r="N279" i="9"/>
  <c r="P279" i="9" s="1"/>
  <c r="O278" i="9"/>
  <c r="Q278" i="9" s="1"/>
  <c r="N278" i="9"/>
  <c r="P278" i="9" s="1"/>
  <c r="O277" i="9"/>
  <c r="Q277" i="9" s="1"/>
  <c r="N277" i="9"/>
  <c r="P277" i="9" s="1"/>
  <c r="O276" i="9"/>
  <c r="Q276" i="9" s="1"/>
  <c r="N276" i="9"/>
  <c r="P276" i="9" s="1"/>
  <c r="O275" i="9"/>
  <c r="Q275" i="9" s="1"/>
  <c r="N275" i="9"/>
  <c r="P275" i="9" s="1"/>
  <c r="O274" i="9"/>
  <c r="Q274" i="9" s="1"/>
  <c r="N274" i="9"/>
  <c r="P274" i="9" s="1"/>
  <c r="O273" i="9"/>
  <c r="Q273" i="9" s="1"/>
  <c r="N273" i="9"/>
  <c r="P273" i="9" s="1"/>
  <c r="O272" i="9"/>
  <c r="Q272" i="9" s="1"/>
  <c r="N272" i="9"/>
  <c r="P272" i="9" s="1"/>
  <c r="O271" i="9"/>
  <c r="Q271" i="9" s="1"/>
  <c r="N271" i="9"/>
  <c r="P271" i="9" s="1"/>
  <c r="O270" i="9"/>
  <c r="Q270" i="9" s="1"/>
  <c r="N270" i="9"/>
  <c r="P270" i="9" s="1"/>
  <c r="O269" i="9"/>
  <c r="Q269" i="9" s="1"/>
  <c r="N269" i="9"/>
  <c r="P269" i="9" s="1"/>
  <c r="O268" i="9"/>
  <c r="Q268" i="9" s="1"/>
  <c r="N268" i="9"/>
  <c r="P268" i="9" s="1"/>
  <c r="O267" i="9"/>
  <c r="Q267" i="9" s="1"/>
  <c r="N267" i="9"/>
  <c r="P267" i="9" s="1"/>
  <c r="O266" i="9"/>
  <c r="Q266" i="9" s="1"/>
  <c r="N266" i="9"/>
  <c r="P266" i="9" s="1"/>
  <c r="O265" i="9"/>
  <c r="Q265" i="9" s="1"/>
  <c r="N265" i="9"/>
  <c r="P265" i="9" s="1"/>
  <c r="AF263" i="9"/>
  <c r="AE263" i="9"/>
  <c r="AD263" i="9"/>
  <c r="AC263" i="9"/>
  <c r="AB263" i="9"/>
  <c r="Z263" i="9"/>
  <c r="M263" i="9"/>
  <c r="L263" i="9"/>
  <c r="K263" i="9"/>
  <c r="J263" i="9"/>
  <c r="I263" i="9"/>
  <c r="H263" i="9"/>
  <c r="O262" i="9"/>
  <c r="Q262" i="9" s="1"/>
  <c r="N262" i="9"/>
  <c r="P262" i="9" s="1"/>
  <c r="O261" i="9"/>
  <c r="Q261" i="9" s="1"/>
  <c r="N261" i="9"/>
  <c r="P261" i="9" s="1"/>
  <c r="O260" i="9"/>
  <c r="Q260" i="9" s="1"/>
  <c r="N260" i="9"/>
  <c r="P260" i="9" s="1"/>
  <c r="O259" i="9"/>
  <c r="Q259" i="9" s="1"/>
  <c r="N259" i="9"/>
  <c r="P259" i="9" s="1"/>
  <c r="Q258" i="9"/>
  <c r="P258" i="9"/>
  <c r="AF257" i="9"/>
  <c r="AE257" i="9"/>
  <c r="AD257" i="9"/>
  <c r="AC257" i="9"/>
  <c r="AB257" i="9"/>
  <c r="Z257" i="9"/>
  <c r="M257" i="9"/>
  <c r="L257" i="9"/>
  <c r="K257" i="9"/>
  <c r="J257" i="9"/>
  <c r="I257" i="9"/>
  <c r="H257" i="9"/>
  <c r="O256" i="9"/>
  <c r="Q256" i="9" s="1"/>
  <c r="N256" i="9"/>
  <c r="P256" i="9" s="1"/>
  <c r="O255" i="9"/>
  <c r="Q255" i="9" s="1"/>
  <c r="N255" i="9"/>
  <c r="P255" i="9" s="1"/>
  <c r="Q254" i="9"/>
  <c r="N254" i="9"/>
  <c r="P254" i="9" s="1"/>
  <c r="O253" i="9"/>
  <c r="Q253" i="9" s="1"/>
  <c r="N253" i="9"/>
  <c r="P253" i="9" s="1"/>
  <c r="O252" i="9"/>
  <c r="Q252" i="9" s="1"/>
  <c r="N252" i="9"/>
  <c r="P252" i="9" s="1"/>
  <c r="O251" i="9"/>
  <c r="Q251" i="9" s="1"/>
  <c r="N251" i="9"/>
  <c r="P251" i="9" s="1"/>
  <c r="Q250" i="9"/>
  <c r="N250" i="9"/>
  <c r="P250" i="9" s="1"/>
  <c r="O249" i="9"/>
  <c r="Q249" i="9" s="1"/>
  <c r="N249" i="9"/>
  <c r="P249" i="9" s="1"/>
  <c r="O248" i="9"/>
  <c r="Q248" i="9" s="1"/>
  <c r="N248" i="9"/>
  <c r="P248" i="9" s="1"/>
  <c r="O247" i="9"/>
  <c r="Q247" i="9" s="1"/>
  <c r="N247" i="9"/>
  <c r="P247" i="9" s="1"/>
  <c r="O246" i="9"/>
  <c r="Q246" i="9" s="1"/>
  <c r="N246" i="9"/>
  <c r="P246" i="9" s="1"/>
  <c r="O245" i="9"/>
  <c r="Q245" i="9" s="1"/>
  <c r="N245" i="9"/>
  <c r="P245" i="9" s="1"/>
  <c r="Q244" i="9"/>
  <c r="N244" i="9"/>
  <c r="P244" i="9" s="1"/>
  <c r="O243" i="9"/>
  <c r="Q243" i="9" s="1"/>
  <c r="N243" i="9"/>
  <c r="P243" i="9" s="1"/>
  <c r="O242" i="9"/>
  <c r="Q242" i="9" s="1"/>
  <c r="N242" i="9"/>
  <c r="P242" i="9" s="1"/>
  <c r="O241" i="9"/>
  <c r="Q241" i="9" s="1"/>
  <c r="N241" i="9"/>
  <c r="P241" i="9" s="1"/>
  <c r="O240" i="9"/>
  <c r="Q240" i="9" s="1"/>
  <c r="N240" i="9"/>
  <c r="P240" i="9" s="1"/>
  <c r="O239" i="9"/>
  <c r="Q239" i="9" s="1"/>
  <c r="N239" i="9"/>
  <c r="P239" i="9" s="1"/>
  <c r="O238" i="9"/>
  <c r="Q238" i="9" s="1"/>
  <c r="N238" i="9"/>
  <c r="P238" i="9" s="1"/>
  <c r="O237" i="9"/>
  <c r="Q237" i="9" s="1"/>
  <c r="N237" i="9"/>
  <c r="P237" i="9" s="1"/>
  <c r="O236" i="9"/>
  <c r="Q236" i="9" s="1"/>
  <c r="N236" i="9"/>
  <c r="P236" i="9" s="1"/>
  <c r="AF234" i="9"/>
  <c r="AE234" i="9"/>
  <c r="AD234" i="9"/>
  <c r="AC234" i="9"/>
  <c r="AB234" i="9"/>
  <c r="Z234" i="9"/>
  <c r="M234" i="9"/>
  <c r="L234" i="9"/>
  <c r="K234" i="9"/>
  <c r="J234" i="9"/>
  <c r="I234" i="9"/>
  <c r="H234" i="9"/>
  <c r="O233" i="9"/>
  <c r="Q233" i="9" s="1"/>
  <c r="N233" i="9"/>
  <c r="P233" i="9" s="1"/>
  <c r="O232" i="9"/>
  <c r="Q232" i="9" s="1"/>
  <c r="N232" i="9"/>
  <c r="P232" i="9" s="1"/>
  <c r="O231" i="9"/>
  <c r="Q231" i="9" s="1"/>
  <c r="N231" i="9"/>
  <c r="P231" i="9" s="1"/>
  <c r="O230" i="9"/>
  <c r="Q230" i="9" s="1"/>
  <c r="N230" i="9"/>
  <c r="P230" i="9" s="1"/>
  <c r="Q229" i="9"/>
  <c r="P229" i="9"/>
  <c r="O228" i="9"/>
  <c r="Q228" i="9" s="1"/>
  <c r="N228" i="9"/>
  <c r="P228" i="9" s="1"/>
  <c r="AF227" i="9"/>
  <c r="AE227" i="9"/>
  <c r="AD227" i="9"/>
  <c r="AC227" i="9"/>
  <c r="AB227" i="9"/>
  <c r="AF225" i="9"/>
  <c r="AE225" i="9"/>
  <c r="Z225" i="9"/>
  <c r="M225" i="9"/>
  <c r="L225" i="9"/>
  <c r="K225" i="9"/>
  <c r="J225" i="9"/>
  <c r="I225" i="9"/>
  <c r="H225" i="9"/>
  <c r="O224" i="9"/>
  <c r="Q224" i="9" s="1"/>
  <c r="N224" i="9"/>
  <c r="P224" i="9" s="1"/>
  <c r="AF223" i="9"/>
  <c r="AE223" i="9"/>
  <c r="AD223" i="9"/>
  <c r="AD225" i="9" s="1"/>
  <c r="AC223" i="9"/>
  <c r="AC225" i="9" s="1"/>
  <c r="AB223" i="9"/>
  <c r="AB225" i="9" s="1"/>
  <c r="O223" i="9"/>
  <c r="Q223" i="9" s="1"/>
  <c r="N223" i="9"/>
  <c r="P223" i="9" s="1"/>
  <c r="Q218" i="9"/>
  <c r="L218" i="9"/>
  <c r="J218" i="9"/>
  <c r="H218" i="9"/>
  <c r="Q217" i="9"/>
  <c r="N217" i="9"/>
  <c r="P217" i="9" s="1"/>
  <c r="AF215" i="9"/>
  <c r="AE215" i="9"/>
  <c r="AE219" i="9" s="1"/>
  <c r="AD215" i="9"/>
  <c r="AD219" i="9" s="1"/>
  <c r="AC215" i="9"/>
  <c r="AC219" i="9" s="1"/>
  <c r="AB215" i="9"/>
  <c r="AB219" i="9" s="1"/>
  <c r="Z215" i="9"/>
  <c r="Z219" i="9" s="1"/>
  <c r="M215" i="9"/>
  <c r="M219" i="9" s="1"/>
  <c r="L215" i="9"/>
  <c r="K215" i="9"/>
  <c r="K219" i="9" s="1"/>
  <c r="J215" i="9"/>
  <c r="I215" i="9"/>
  <c r="H215" i="9"/>
  <c r="O214" i="9"/>
  <c r="Q214" i="9" s="1"/>
  <c r="N214" i="9"/>
  <c r="P214" i="9" s="1"/>
  <c r="O213" i="9"/>
  <c r="Q213" i="9" s="1"/>
  <c r="N213" i="9"/>
  <c r="P213" i="9" s="1"/>
  <c r="Q212" i="9"/>
  <c r="N212" i="9"/>
  <c r="P212" i="9" s="1"/>
  <c r="O211" i="9"/>
  <c r="Q211" i="9" s="1"/>
  <c r="N211" i="9"/>
  <c r="P211" i="9" s="1"/>
  <c r="O210" i="9"/>
  <c r="Q210" i="9" s="1"/>
  <c r="N210" i="9"/>
  <c r="P210" i="9" s="1"/>
  <c r="AF207" i="9"/>
  <c r="AE207" i="9"/>
  <c r="AD207" i="9"/>
  <c r="AC207" i="9"/>
  <c r="AB207" i="9"/>
  <c r="Z207" i="9"/>
  <c r="M207" i="9"/>
  <c r="L207" i="9"/>
  <c r="K207" i="9"/>
  <c r="J207" i="9"/>
  <c r="I207" i="9"/>
  <c r="H207" i="9"/>
  <c r="O206" i="9"/>
  <c r="Q206" i="9" s="1"/>
  <c r="N206" i="9"/>
  <c r="P206" i="9" s="1"/>
  <c r="O205" i="9"/>
  <c r="Q205" i="9" s="1"/>
  <c r="N205" i="9"/>
  <c r="P205" i="9" s="1"/>
  <c r="Q204" i="9"/>
  <c r="N204" i="9"/>
  <c r="P204" i="9" s="1"/>
  <c r="O203" i="9"/>
  <c r="Q203" i="9" s="1"/>
  <c r="N203" i="9"/>
  <c r="P203" i="9" s="1"/>
  <c r="AF201" i="9"/>
  <c r="AE201" i="9"/>
  <c r="AD201" i="9"/>
  <c r="AC201" i="9"/>
  <c r="AB201" i="9"/>
  <c r="Z201" i="9"/>
  <c r="M201" i="9"/>
  <c r="L201" i="9"/>
  <c r="K201" i="9"/>
  <c r="J201" i="9"/>
  <c r="I201" i="9"/>
  <c r="H201" i="9"/>
  <c r="O200" i="9"/>
  <c r="Q200" i="9" s="1"/>
  <c r="N200" i="9"/>
  <c r="P200" i="9" s="1"/>
  <c r="Z198" i="9"/>
  <c r="M198" i="9"/>
  <c r="L198" i="9"/>
  <c r="K198" i="9"/>
  <c r="J198" i="9"/>
  <c r="I198" i="9"/>
  <c r="H198" i="9"/>
  <c r="O197" i="9"/>
  <c r="Q197" i="9" s="1"/>
  <c r="N197" i="9"/>
  <c r="P197" i="9" s="1"/>
  <c r="AF196" i="9"/>
  <c r="AE196" i="9"/>
  <c r="AD196" i="9"/>
  <c r="AC196" i="9"/>
  <c r="AB196" i="9"/>
  <c r="O196" i="9"/>
  <c r="Q196" i="9" s="1"/>
  <c r="N196" i="9"/>
  <c r="P196" i="9" s="1"/>
  <c r="AF195" i="9"/>
  <c r="AE195" i="9"/>
  <c r="AD195" i="9"/>
  <c r="AC195" i="9"/>
  <c r="AB195" i="9"/>
  <c r="O195" i="9"/>
  <c r="Q195" i="9" s="1"/>
  <c r="N195" i="9"/>
  <c r="P195" i="9" s="1"/>
  <c r="O194" i="9"/>
  <c r="Q194" i="9" s="1"/>
  <c r="N194" i="9"/>
  <c r="P194" i="9" s="1"/>
  <c r="AF193" i="9"/>
  <c r="AE193" i="9"/>
  <c r="AD193" i="9"/>
  <c r="AC193" i="9"/>
  <c r="AB193" i="9"/>
  <c r="O193" i="9"/>
  <c r="Q193" i="9" s="1"/>
  <c r="N193" i="9"/>
  <c r="P193" i="9" s="1"/>
  <c r="AF191" i="9"/>
  <c r="AE191" i="9"/>
  <c r="AD191" i="9"/>
  <c r="AC191" i="9"/>
  <c r="AB191" i="9"/>
  <c r="Z191" i="9"/>
  <c r="M191" i="9"/>
  <c r="L191" i="9"/>
  <c r="K191" i="9"/>
  <c r="J191" i="9"/>
  <c r="I191" i="9"/>
  <c r="H191" i="9"/>
  <c r="O190" i="9"/>
  <c r="Q190" i="9" s="1"/>
  <c r="N190" i="9"/>
  <c r="P190" i="9" s="1"/>
  <c r="Q189" i="9"/>
  <c r="P189" i="9"/>
  <c r="Z188" i="9"/>
  <c r="M188" i="9"/>
  <c r="L188" i="9"/>
  <c r="K188" i="9"/>
  <c r="J188" i="9"/>
  <c r="I188" i="9"/>
  <c r="H188" i="9"/>
  <c r="O187" i="9"/>
  <c r="Q187" i="9" s="1"/>
  <c r="N187" i="9"/>
  <c r="P187" i="9" s="1"/>
  <c r="O186" i="9"/>
  <c r="Q186" i="9" s="1"/>
  <c r="N186" i="9"/>
  <c r="P186" i="9" s="1"/>
  <c r="AF185" i="9"/>
  <c r="AF188" i="9" s="1"/>
  <c r="AE185" i="9"/>
  <c r="AE188" i="9" s="1"/>
  <c r="AD185" i="9"/>
  <c r="AD188" i="9" s="1"/>
  <c r="AC185" i="9"/>
  <c r="AC188" i="9" s="1"/>
  <c r="AB185" i="9"/>
  <c r="AB188" i="9" s="1"/>
  <c r="O185" i="9"/>
  <c r="Q185" i="9" s="1"/>
  <c r="N185" i="9"/>
  <c r="P185" i="9" s="1"/>
  <c r="Q184" i="9"/>
  <c r="P184" i="9"/>
  <c r="Z182" i="9"/>
  <c r="M182" i="9"/>
  <c r="L182" i="9"/>
  <c r="K182" i="9"/>
  <c r="J182" i="9"/>
  <c r="I182" i="9"/>
  <c r="H182" i="9"/>
  <c r="O181" i="9"/>
  <c r="Q181" i="9" s="1"/>
  <c r="N181" i="9"/>
  <c r="P181" i="9" s="1"/>
  <c r="AM180" i="9"/>
  <c r="O180" i="9"/>
  <c r="Q180" i="9" s="1"/>
  <c r="N180" i="9"/>
  <c r="P180" i="9" s="1"/>
  <c r="O179" i="9"/>
  <c r="Q179" i="9" s="1"/>
  <c r="N179" i="9"/>
  <c r="P179" i="9" s="1"/>
  <c r="O178" i="9"/>
  <c r="Q178" i="9" s="1"/>
  <c r="N178" i="9"/>
  <c r="P178" i="9" s="1"/>
  <c r="O177" i="9"/>
  <c r="Q177" i="9" s="1"/>
  <c r="N177" i="9"/>
  <c r="P177" i="9" s="1"/>
  <c r="O176" i="9"/>
  <c r="Q176" i="9" s="1"/>
  <c r="N176" i="9"/>
  <c r="P176" i="9" s="1"/>
  <c r="O175" i="9"/>
  <c r="Q175" i="9" s="1"/>
  <c r="N175" i="9"/>
  <c r="P175" i="9" s="1"/>
  <c r="O174" i="9"/>
  <c r="Q174" i="9" s="1"/>
  <c r="N174" i="9"/>
  <c r="P174" i="9" s="1"/>
  <c r="AF173" i="9"/>
  <c r="AE173" i="9"/>
  <c r="AE182" i="9" s="1"/>
  <c r="AD173" i="9"/>
  <c r="AD182" i="9" s="1"/>
  <c r="AC173" i="9"/>
  <c r="AC182" i="9" s="1"/>
  <c r="AB173" i="9"/>
  <c r="AB182" i="9" s="1"/>
  <c r="O173" i="9"/>
  <c r="Q173" i="9" s="1"/>
  <c r="N173" i="9"/>
  <c r="P173" i="9" s="1"/>
  <c r="AF172" i="9"/>
  <c r="O172" i="9"/>
  <c r="Q172" i="9" s="1"/>
  <c r="N172" i="9"/>
  <c r="P172" i="9" s="1"/>
  <c r="Q171" i="9"/>
  <c r="P171" i="9"/>
  <c r="O169" i="9"/>
  <c r="Q169" i="9" s="1"/>
  <c r="N169" i="9"/>
  <c r="P169" i="9" s="1"/>
  <c r="AF168" i="9"/>
  <c r="AE168" i="9"/>
  <c r="AD168" i="9"/>
  <c r="AC168" i="9"/>
  <c r="AB168" i="9"/>
  <c r="Z168" i="9"/>
  <c r="M168" i="9"/>
  <c r="L168" i="9"/>
  <c r="K168" i="9"/>
  <c r="J168" i="9"/>
  <c r="I168" i="9"/>
  <c r="H168" i="9"/>
  <c r="O167" i="9"/>
  <c r="Q167" i="9" s="1"/>
  <c r="N167" i="9"/>
  <c r="P167" i="9" s="1"/>
  <c r="O166" i="9"/>
  <c r="Q166" i="9" s="1"/>
  <c r="N166" i="9"/>
  <c r="P166" i="9" s="1"/>
  <c r="Q165" i="9"/>
  <c r="P165" i="9"/>
  <c r="AF164" i="9"/>
  <c r="AE164" i="9"/>
  <c r="AD164" i="9"/>
  <c r="AC164" i="9"/>
  <c r="AB164" i="9"/>
  <c r="Z164" i="9"/>
  <c r="M164" i="9"/>
  <c r="L164" i="9"/>
  <c r="K164" i="9"/>
  <c r="J164" i="9"/>
  <c r="I164" i="9"/>
  <c r="H164" i="9"/>
  <c r="O163" i="9"/>
  <c r="Q163" i="9" s="1"/>
  <c r="N163" i="9"/>
  <c r="P163" i="9" s="1"/>
  <c r="O162" i="9"/>
  <c r="Q162" i="9" s="1"/>
  <c r="N162" i="9"/>
  <c r="P162" i="9" s="1"/>
  <c r="O161" i="9"/>
  <c r="Q161" i="9" s="1"/>
  <c r="N161" i="9"/>
  <c r="P161" i="9" s="1"/>
  <c r="Q160" i="9"/>
  <c r="P160" i="9"/>
  <c r="AF159" i="9"/>
  <c r="AE159" i="9"/>
  <c r="AD159" i="9"/>
  <c r="AC159" i="9"/>
  <c r="AB159" i="9"/>
  <c r="Z159" i="9"/>
  <c r="M159" i="9"/>
  <c r="L159" i="9"/>
  <c r="K159" i="9"/>
  <c r="J159" i="9"/>
  <c r="I159" i="9"/>
  <c r="H159" i="9"/>
  <c r="O158" i="9"/>
  <c r="Q158" i="9" s="1"/>
  <c r="N158" i="9"/>
  <c r="P158" i="9" s="1"/>
  <c r="Q157" i="9"/>
  <c r="P157" i="9"/>
  <c r="AF156" i="9"/>
  <c r="AE156" i="9"/>
  <c r="AD156" i="9"/>
  <c r="AC156" i="9"/>
  <c r="AB156" i="9"/>
  <c r="Z156" i="9"/>
  <c r="M156" i="9"/>
  <c r="L156" i="9"/>
  <c r="K156" i="9"/>
  <c r="J156" i="9"/>
  <c r="I156" i="9"/>
  <c r="H156" i="9"/>
  <c r="O155" i="9"/>
  <c r="Q155" i="9" s="1"/>
  <c r="N155" i="9"/>
  <c r="P155" i="9" s="1"/>
  <c r="O154" i="9"/>
  <c r="Q154" i="9" s="1"/>
  <c r="N154" i="9"/>
  <c r="P154" i="9" s="1"/>
  <c r="O153" i="9"/>
  <c r="Q153" i="9" s="1"/>
  <c r="N153" i="9"/>
  <c r="P153" i="9" s="1"/>
  <c r="Q152" i="9"/>
  <c r="P152" i="9"/>
  <c r="AF151" i="9"/>
  <c r="AE151" i="9"/>
  <c r="AD151" i="9"/>
  <c r="AC151" i="9"/>
  <c r="AB151" i="9"/>
  <c r="Z151" i="9"/>
  <c r="M151" i="9"/>
  <c r="L151" i="9"/>
  <c r="K151" i="9"/>
  <c r="J151" i="9"/>
  <c r="I151" i="9"/>
  <c r="H151" i="9"/>
  <c r="O150" i="9"/>
  <c r="Q150" i="9" s="1"/>
  <c r="N150" i="9"/>
  <c r="P150" i="9" s="1"/>
  <c r="O149" i="9"/>
  <c r="Q149" i="9" s="1"/>
  <c r="N149" i="9"/>
  <c r="P149" i="9" s="1"/>
  <c r="O148" i="9"/>
  <c r="Q148" i="9" s="1"/>
  <c r="N148" i="9"/>
  <c r="P148" i="9" s="1"/>
  <c r="O147" i="9"/>
  <c r="Q147" i="9" s="1"/>
  <c r="N147" i="9"/>
  <c r="P147" i="9" s="1"/>
  <c r="O146" i="9"/>
  <c r="Q146" i="9" s="1"/>
  <c r="N146" i="9"/>
  <c r="P146" i="9" s="1"/>
  <c r="Q145" i="9"/>
  <c r="P145" i="9"/>
  <c r="AE144" i="9"/>
  <c r="AD144" i="9"/>
  <c r="AC144" i="9"/>
  <c r="AB144" i="9"/>
  <c r="Z144" i="9"/>
  <c r="M144" i="9"/>
  <c r="L144" i="9"/>
  <c r="K144" i="9"/>
  <c r="J144" i="9"/>
  <c r="I144" i="9"/>
  <c r="H144" i="9"/>
  <c r="AF143" i="9"/>
  <c r="AF144" i="9" s="1"/>
  <c r="O143" i="9"/>
  <c r="Q143" i="9" s="1"/>
  <c r="N143" i="9"/>
  <c r="P143" i="9" s="1"/>
  <c r="Q142" i="9"/>
  <c r="P142" i="9"/>
  <c r="AF141" i="9"/>
  <c r="AE141" i="9"/>
  <c r="AD141" i="9"/>
  <c r="AC141" i="9"/>
  <c r="AB141" i="9"/>
  <c r="Z141" i="9"/>
  <c r="M141" i="9"/>
  <c r="L141" i="9"/>
  <c r="K141" i="9"/>
  <c r="J141" i="9"/>
  <c r="I141" i="9"/>
  <c r="H141" i="9"/>
  <c r="O140" i="9"/>
  <c r="Q140" i="9" s="1"/>
  <c r="N140" i="9"/>
  <c r="P140" i="9" s="1"/>
  <c r="O139" i="9"/>
  <c r="Q139" i="9" s="1"/>
  <c r="N139" i="9"/>
  <c r="P139" i="9" s="1"/>
  <c r="O138" i="9"/>
  <c r="Q138" i="9" s="1"/>
  <c r="N138" i="9"/>
  <c r="P138" i="9" s="1"/>
  <c r="O137" i="9"/>
  <c r="Q137" i="9" s="1"/>
  <c r="N137" i="9"/>
  <c r="P137" i="9" s="1"/>
  <c r="Q136" i="9"/>
  <c r="P136" i="9"/>
  <c r="AF135" i="9"/>
  <c r="AE135" i="9"/>
  <c r="AD135" i="9"/>
  <c r="AC135" i="9"/>
  <c r="AB135" i="9"/>
  <c r="Z135" i="9"/>
  <c r="M135" i="9"/>
  <c r="L135" i="9"/>
  <c r="K135" i="9"/>
  <c r="J135" i="9"/>
  <c r="I135" i="9"/>
  <c r="H135" i="9"/>
  <c r="O134" i="9"/>
  <c r="Q134" i="9" s="1"/>
  <c r="N134" i="9"/>
  <c r="P134" i="9" s="1"/>
  <c r="O133" i="9"/>
  <c r="Q133" i="9" s="1"/>
  <c r="N133" i="9"/>
  <c r="P133" i="9" s="1"/>
  <c r="O132" i="9"/>
  <c r="Q132" i="9" s="1"/>
  <c r="N132" i="9"/>
  <c r="P132" i="9" s="1"/>
  <c r="Q131" i="9"/>
  <c r="P131" i="9"/>
  <c r="AF130" i="9"/>
  <c r="AE130" i="9"/>
  <c r="AD130" i="9"/>
  <c r="AC130" i="9"/>
  <c r="AB130" i="9"/>
  <c r="Z130" i="9"/>
  <c r="M130" i="9"/>
  <c r="L130" i="9"/>
  <c r="K130" i="9"/>
  <c r="J130" i="9"/>
  <c r="I130" i="9"/>
  <c r="H130" i="9"/>
  <c r="O129" i="9"/>
  <c r="Q129" i="9" s="1"/>
  <c r="N129" i="9"/>
  <c r="P129" i="9" s="1"/>
  <c r="O128" i="9"/>
  <c r="Q128" i="9" s="1"/>
  <c r="N128" i="9"/>
  <c r="P128" i="9" s="1"/>
  <c r="O127" i="9"/>
  <c r="Q127" i="9" s="1"/>
  <c r="N127" i="9"/>
  <c r="P127" i="9" s="1"/>
  <c r="O126" i="9"/>
  <c r="Q126" i="9" s="1"/>
  <c r="N126" i="9"/>
  <c r="P126" i="9" s="1"/>
  <c r="Q125" i="9"/>
  <c r="P125" i="9"/>
  <c r="AF124" i="9"/>
  <c r="AE124" i="9"/>
  <c r="AD124" i="9"/>
  <c r="AC124" i="9"/>
  <c r="AB124" i="9"/>
  <c r="Z124" i="9"/>
  <c r="M124" i="9"/>
  <c r="L124" i="9"/>
  <c r="K124" i="9"/>
  <c r="J124" i="9"/>
  <c r="I124" i="9"/>
  <c r="H124" i="9"/>
  <c r="O123" i="9"/>
  <c r="Q123" i="9" s="1"/>
  <c r="N123" i="9"/>
  <c r="P123" i="9" s="1"/>
  <c r="O122" i="9"/>
  <c r="Q122" i="9" s="1"/>
  <c r="N122" i="9"/>
  <c r="P122" i="9" s="1"/>
  <c r="O121" i="9"/>
  <c r="Q121" i="9" s="1"/>
  <c r="N121" i="9"/>
  <c r="P121" i="9" s="1"/>
  <c r="O120" i="9"/>
  <c r="Q120" i="9" s="1"/>
  <c r="N120" i="9"/>
  <c r="P120" i="9" s="1"/>
  <c r="O119" i="9"/>
  <c r="Q119" i="9" s="1"/>
  <c r="N119" i="9"/>
  <c r="P119" i="9" s="1"/>
  <c r="Q118" i="9"/>
  <c r="P118" i="9"/>
  <c r="Q117" i="9"/>
  <c r="P117" i="9"/>
  <c r="M115" i="9"/>
  <c r="L115" i="9"/>
  <c r="K115" i="9"/>
  <c r="J115" i="9"/>
  <c r="I115" i="9"/>
  <c r="H115" i="9"/>
  <c r="O114" i="9"/>
  <c r="Q114" i="9" s="1"/>
  <c r="N114" i="9"/>
  <c r="P114" i="9" s="1"/>
  <c r="O113" i="9"/>
  <c r="Q113" i="9" s="1"/>
  <c r="N113" i="9"/>
  <c r="P113" i="9" s="1"/>
  <c r="Q112" i="9"/>
  <c r="P112" i="9"/>
  <c r="AF111" i="9"/>
  <c r="AE111" i="9"/>
  <c r="AD111" i="9"/>
  <c r="AC111" i="9"/>
  <c r="AB111" i="9"/>
  <c r="Z111" i="9"/>
  <c r="M111" i="9"/>
  <c r="L111" i="9"/>
  <c r="K111" i="9"/>
  <c r="J111" i="9"/>
  <c r="I111" i="9"/>
  <c r="H111" i="9"/>
  <c r="O110" i="9"/>
  <c r="Q110" i="9" s="1"/>
  <c r="N110" i="9"/>
  <c r="P110" i="9" s="1"/>
  <c r="O109" i="9"/>
  <c r="Q109" i="9" s="1"/>
  <c r="N109" i="9"/>
  <c r="P109" i="9" s="1"/>
  <c r="O108" i="9"/>
  <c r="Q108" i="9" s="1"/>
  <c r="N108" i="9"/>
  <c r="P108" i="9" s="1"/>
  <c r="O107" i="9"/>
  <c r="Q107" i="9" s="1"/>
  <c r="N107" i="9"/>
  <c r="P107" i="9" s="1"/>
  <c r="O106" i="9"/>
  <c r="Q106" i="9" s="1"/>
  <c r="N106" i="9"/>
  <c r="P106" i="9" s="1"/>
  <c r="O105" i="9"/>
  <c r="Q105" i="9" s="1"/>
  <c r="N105" i="9"/>
  <c r="P105" i="9" s="1"/>
  <c r="O104" i="9"/>
  <c r="Q104" i="9" s="1"/>
  <c r="N104" i="9"/>
  <c r="P104" i="9" s="1"/>
  <c r="Q103" i="9"/>
  <c r="P103" i="9"/>
  <c r="AF102" i="9"/>
  <c r="AE102" i="9"/>
  <c r="AD102" i="9"/>
  <c r="AC102" i="9"/>
  <c r="AB102" i="9"/>
  <c r="Z102" i="9"/>
  <c r="M102" i="9"/>
  <c r="L102" i="9"/>
  <c r="K102" i="9"/>
  <c r="J102" i="9"/>
  <c r="I102" i="9"/>
  <c r="H102" i="9"/>
  <c r="O100" i="9"/>
  <c r="Q100" i="9" s="1"/>
  <c r="N100" i="9"/>
  <c r="P100" i="9" s="1"/>
  <c r="O99" i="9"/>
  <c r="Q99" i="9" s="1"/>
  <c r="N99" i="9"/>
  <c r="P99" i="9" s="1"/>
  <c r="O98" i="9"/>
  <c r="Q98" i="9" s="1"/>
  <c r="N98" i="9"/>
  <c r="P98" i="9" s="1"/>
  <c r="O97" i="9"/>
  <c r="Q97" i="9" s="1"/>
  <c r="N97" i="9"/>
  <c r="P97" i="9" s="1"/>
  <c r="O96" i="9"/>
  <c r="Q96" i="9" s="1"/>
  <c r="N96" i="9"/>
  <c r="P96" i="9" s="1"/>
  <c r="O95" i="9"/>
  <c r="Q95" i="9" s="1"/>
  <c r="N95" i="9"/>
  <c r="P95" i="9" s="1"/>
  <c r="O94" i="9"/>
  <c r="Q94" i="9" s="1"/>
  <c r="N94" i="9"/>
  <c r="P94" i="9" s="1"/>
  <c r="O93" i="9"/>
  <c r="Q93" i="9" s="1"/>
  <c r="N93" i="9"/>
  <c r="P93" i="9" s="1"/>
  <c r="O92" i="9"/>
  <c r="Q92" i="9" s="1"/>
  <c r="N92" i="9"/>
  <c r="P92" i="9" s="1"/>
  <c r="AF90" i="9"/>
  <c r="AE90" i="9"/>
  <c r="AD90" i="9"/>
  <c r="AC90" i="9"/>
  <c r="AB90" i="9"/>
  <c r="Z90" i="9"/>
  <c r="M90" i="9"/>
  <c r="L90" i="9"/>
  <c r="K90" i="9"/>
  <c r="J90" i="9"/>
  <c r="I90" i="9"/>
  <c r="H90" i="9"/>
  <c r="N90" i="9" s="1"/>
  <c r="P90" i="9" s="1"/>
  <c r="O89" i="9"/>
  <c r="Q89" i="9" s="1"/>
  <c r="N89" i="9"/>
  <c r="P89" i="9" s="1"/>
  <c r="O88" i="9"/>
  <c r="Q88" i="9" s="1"/>
  <c r="N88" i="9"/>
  <c r="P88" i="9" s="1"/>
  <c r="O87" i="9"/>
  <c r="Q87" i="9" s="1"/>
  <c r="N87" i="9"/>
  <c r="P87" i="9" s="1"/>
  <c r="O86" i="9"/>
  <c r="Q86" i="9" s="1"/>
  <c r="N86" i="9"/>
  <c r="P86" i="9" s="1"/>
  <c r="AF84" i="9"/>
  <c r="AE84" i="9"/>
  <c r="AD84" i="9"/>
  <c r="AC84" i="9"/>
  <c r="AB84" i="9"/>
  <c r="Z84" i="9"/>
  <c r="M84" i="9"/>
  <c r="L84" i="9"/>
  <c r="K84" i="9"/>
  <c r="J84" i="9"/>
  <c r="I84" i="9"/>
  <c r="H84" i="9"/>
  <c r="O83" i="9"/>
  <c r="Q83" i="9" s="1"/>
  <c r="N83" i="9"/>
  <c r="P83" i="9" s="1"/>
  <c r="O82" i="9"/>
  <c r="Q82" i="9" s="1"/>
  <c r="N82" i="9"/>
  <c r="P82" i="9" s="1"/>
  <c r="Q81" i="9"/>
  <c r="P81" i="9"/>
  <c r="O80" i="9"/>
  <c r="Q80" i="9" s="1"/>
  <c r="N80" i="9"/>
  <c r="P80" i="9" s="1"/>
  <c r="O79" i="9"/>
  <c r="Q79" i="9" s="1"/>
  <c r="N79" i="9"/>
  <c r="P79" i="9" s="1"/>
  <c r="O78" i="9"/>
  <c r="Q78" i="9" s="1"/>
  <c r="N78" i="9"/>
  <c r="P78" i="9" s="1"/>
  <c r="O77" i="9"/>
  <c r="Q77" i="9" s="1"/>
  <c r="N77" i="9"/>
  <c r="P77" i="9" s="1"/>
  <c r="O76" i="9"/>
  <c r="Q76" i="9" s="1"/>
  <c r="N76" i="9"/>
  <c r="P76" i="9" s="1"/>
  <c r="O75" i="9"/>
  <c r="Q75" i="9" s="1"/>
  <c r="N75" i="9"/>
  <c r="P75" i="9" s="1"/>
  <c r="O74" i="9"/>
  <c r="Q74" i="9" s="1"/>
  <c r="N74" i="9"/>
  <c r="P74" i="9" s="1"/>
  <c r="O73" i="9"/>
  <c r="Q73" i="9" s="1"/>
  <c r="N73" i="9"/>
  <c r="P73" i="9" s="1"/>
  <c r="AF71" i="9"/>
  <c r="AE71" i="9"/>
  <c r="AD71" i="9"/>
  <c r="AC71" i="9"/>
  <c r="AB71" i="9"/>
  <c r="Z71" i="9"/>
  <c r="M71" i="9"/>
  <c r="L71" i="9"/>
  <c r="K71" i="9"/>
  <c r="J71" i="9"/>
  <c r="I71" i="9"/>
  <c r="H71" i="9"/>
  <c r="O70" i="9"/>
  <c r="Q70" i="9" s="1"/>
  <c r="N70" i="9"/>
  <c r="P70" i="9" s="1"/>
  <c r="O69" i="9"/>
  <c r="Q69" i="9" s="1"/>
  <c r="N69" i="9"/>
  <c r="P69" i="9" s="1"/>
  <c r="O68" i="9"/>
  <c r="Q68" i="9" s="1"/>
  <c r="N68" i="9"/>
  <c r="P68" i="9" s="1"/>
  <c r="O67" i="9"/>
  <c r="Q67" i="9" s="1"/>
  <c r="N67" i="9"/>
  <c r="P67" i="9" s="1"/>
  <c r="O66" i="9"/>
  <c r="Q66" i="9" s="1"/>
  <c r="N66" i="9"/>
  <c r="P66" i="9" s="1"/>
  <c r="O65" i="9"/>
  <c r="Q65" i="9" s="1"/>
  <c r="N65" i="9"/>
  <c r="P65" i="9" s="1"/>
  <c r="O63" i="9"/>
  <c r="Q63" i="9" s="1"/>
  <c r="N63" i="9"/>
  <c r="P63" i="9" s="1"/>
  <c r="AF62" i="9"/>
  <c r="AE62" i="9"/>
  <c r="AD62" i="9"/>
  <c r="AC62" i="9"/>
  <c r="AB62" i="9"/>
  <c r="Z62" i="9"/>
  <c r="M62" i="9"/>
  <c r="L62" i="9"/>
  <c r="K62" i="9"/>
  <c r="J62" i="9"/>
  <c r="I62" i="9"/>
  <c r="H62" i="9"/>
  <c r="O61" i="9"/>
  <c r="Q61" i="9" s="1"/>
  <c r="N61" i="9"/>
  <c r="P61" i="9" s="1"/>
  <c r="O60" i="9"/>
  <c r="Q60" i="9" s="1"/>
  <c r="N60" i="9"/>
  <c r="P60" i="9" s="1"/>
  <c r="O59" i="9"/>
  <c r="Q59" i="9" s="1"/>
  <c r="N59" i="9"/>
  <c r="P59" i="9" s="1"/>
  <c r="O58" i="9"/>
  <c r="Q58" i="9" s="1"/>
  <c r="N58" i="9"/>
  <c r="P58" i="9" s="1"/>
  <c r="O57" i="9"/>
  <c r="Q57" i="9" s="1"/>
  <c r="N57" i="9"/>
  <c r="P57" i="9" s="1"/>
  <c r="O56" i="9"/>
  <c r="Q56" i="9" s="1"/>
  <c r="N56" i="9"/>
  <c r="P56" i="9" s="1"/>
  <c r="O55" i="9"/>
  <c r="Q55" i="9" s="1"/>
  <c r="N55" i="9"/>
  <c r="P55" i="9" s="1"/>
  <c r="O54" i="9"/>
  <c r="Q54" i="9" s="1"/>
  <c r="N54" i="9"/>
  <c r="P54" i="9" s="1"/>
  <c r="O53" i="9"/>
  <c r="Q53" i="9" s="1"/>
  <c r="N53" i="9"/>
  <c r="P53" i="9" s="1"/>
  <c r="O52" i="9"/>
  <c r="Q52" i="9" s="1"/>
  <c r="N52" i="9"/>
  <c r="P52" i="9" s="1"/>
  <c r="O51" i="9"/>
  <c r="Q51" i="9" s="1"/>
  <c r="N51" i="9"/>
  <c r="P51" i="9" s="1"/>
  <c r="O50" i="9"/>
  <c r="Q50" i="9" s="1"/>
  <c r="N50" i="9"/>
  <c r="P50" i="9" s="1"/>
  <c r="O49" i="9"/>
  <c r="Q49" i="9" s="1"/>
  <c r="N49" i="9"/>
  <c r="P49" i="9" s="1"/>
  <c r="O48" i="9"/>
  <c r="Q48" i="9" s="1"/>
  <c r="N48" i="9"/>
  <c r="P48" i="9" s="1"/>
  <c r="O47" i="9"/>
  <c r="Q47" i="9" s="1"/>
  <c r="N47" i="9"/>
  <c r="P47" i="9" s="1"/>
  <c r="AF45" i="9"/>
  <c r="AE45" i="9"/>
  <c r="AD45" i="9"/>
  <c r="AC45" i="9"/>
  <c r="AB45" i="9"/>
  <c r="Z45" i="9"/>
  <c r="M45" i="9"/>
  <c r="L45" i="9"/>
  <c r="K45" i="9"/>
  <c r="J45" i="9"/>
  <c r="I45" i="9"/>
  <c r="H45" i="9"/>
  <c r="O44" i="9"/>
  <c r="Q44" i="9" s="1"/>
  <c r="N44" i="9"/>
  <c r="P44" i="9" s="1"/>
  <c r="O43" i="9"/>
  <c r="Q43" i="9" s="1"/>
  <c r="N43" i="9"/>
  <c r="P43" i="9" s="1"/>
  <c r="O42" i="9"/>
  <c r="Q42" i="9" s="1"/>
  <c r="N42" i="9"/>
  <c r="P42" i="9" s="1"/>
  <c r="O41" i="9"/>
  <c r="Q41" i="9" s="1"/>
  <c r="N41" i="9"/>
  <c r="P41" i="9" s="1"/>
  <c r="AF39" i="9"/>
  <c r="AE39" i="9"/>
  <c r="AD39" i="9"/>
  <c r="AC39" i="9"/>
  <c r="AB39" i="9"/>
  <c r="Z39" i="9"/>
  <c r="M39" i="9"/>
  <c r="L39" i="9"/>
  <c r="K39" i="9"/>
  <c r="J39" i="9"/>
  <c r="I39" i="9"/>
  <c r="H39" i="9"/>
  <c r="O38" i="9"/>
  <c r="Q38" i="9" s="1"/>
  <c r="N38" i="9"/>
  <c r="P38" i="9" s="1"/>
  <c r="O37" i="9"/>
  <c r="Q37" i="9" s="1"/>
  <c r="N37" i="9"/>
  <c r="P37" i="9" s="1"/>
  <c r="Q36" i="9"/>
  <c r="N36" i="9"/>
  <c r="P36" i="9" s="1"/>
  <c r="O35" i="9"/>
  <c r="Q35" i="9" s="1"/>
  <c r="N35" i="9"/>
  <c r="P35" i="9" s="1"/>
  <c r="O34" i="9"/>
  <c r="Q34" i="9" s="1"/>
  <c r="N34" i="9"/>
  <c r="P34" i="9" s="1"/>
  <c r="O33" i="9"/>
  <c r="Q33" i="9" s="1"/>
  <c r="N33" i="9"/>
  <c r="P33" i="9" s="1"/>
  <c r="O32" i="9"/>
  <c r="Q32" i="9" s="1"/>
  <c r="N32" i="9"/>
  <c r="P32" i="9" s="1"/>
  <c r="O31" i="9"/>
  <c r="Q31" i="9" s="1"/>
  <c r="N31" i="9"/>
  <c r="P31" i="9" s="1"/>
  <c r="O30" i="9"/>
  <c r="Q30" i="9" s="1"/>
  <c r="N30" i="9"/>
  <c r="P30" i="9" s="1"/>
  <c r="O29" i="9"/>
  <c r="Q29" i="9" s="1"/>
  <c r="N29" i="9"/>
  <c r="P29" i="9" s="1"/>
  <c r="O28" i="9"/>
  <c r="Q28" i="9" s="1"/>
  <c r="N28" i="9"/>
  <c r="P28" i="9" s="1"/>
  <c r="O27" i="9"/>
  <c r="Q27" i="9" s="1"/>
  <c r="N27" i="9"/>
  <c r="P27" i="9" s="1"/>
  <c r="O26" i="9"/>
  <c r="Q26" i="9" s="1"/>
  <c r="N26" i="9"/>
  <c r="P26" i="9" s="1"/>
  <c r="O25" i="9"/>
  <c r="Q25" i="9" s="1"/>
  <c r="N25" i="9"/>
  <c r="P25" i="9" s="1"/>
  <c r="O24" i="9"/>
  <c r="Q24" i="9" s="1"/>
  <c r="N24" i="9"/>
  <c r="P24" i="9" s="1"/>
  <c r="O23" i="9"/>
  <c r="Q23" i="9" s="1"/>
  <c r="N23" i="9"/>
  <c r="P23" i="9" s="1"/>
  <c r="O22" i="9"/>
  <c r="Q22" i="9" s="1"/>
  <c r="N22" i="9"/>
  <c r="P22" i="9" s="1"/>
  <c r="O21" i="9"/>
  <c r="Q21" i="9" s="1"/>
  <c r="N21" i="9"/>
  <c r="P21" i="9" s="1"/>
  <c r="O20" i="9"/>
  <c r="Q20" i="9" s="1"/>
  <c r="N20" i="9"/>
  <c r="P20" i="9" s="1"/>
  <c r="O19" i="9"/>
  <c r="Q19" i="9" s="1"/>
  <c r="N19" i="9"/>
  <c r="P19" i="9" s="1"/>
  <c r="O18" i="9"/>
  <c r="Q18" i="9" s="1"/>
  <c r="N18" i="9"/>
  <c r="P18" i="9" s="1"/>
  <c r="O17" i="9"/>
  <c r="Q17" i="9" s="1"/>
  <c r="N17" i="9"/>
  <c r="P17" i="9" s="1"/>
  <c r="AF15" i="9"/>
  <c r="AE15" i="9"/>
  <c r="AD15" i="9"/>
  <c r="AC15" i="9"/>
  <c r="AB15" i="9"/>
  <c r="Z15" i="9"/>
  <c r="M15" i="9"/>
  <c r="L15" i="9"/>
  <c r="K15" i="9"/>
  <c r="J15" i="9"/>
  <c r="I15" i="9"/>
  <c r="H15" i="9"/>
  <c r="O14" i="9"/>
  <c r="Q14" i="9" s="1"/>
  <c r="N14" i="9"/>
  <c r="P14" i="9" s="1"/>
  <c r="O13" i="9"/>
  <c r="Q13" i="9" s="1"/>
  <c r="N13" i="9"/>
  <c r="P13" i="9" s="1"/>
  <c r="O12" i="9"/>
  <c r="Q12" i="9" s="1"/>
  <c r="N12" i="9"/>
  <c r="P12" i="9" s="1"/>
  <c r="O11" i="9"/>
  <c r="Q11" i="9" s="1"/>
  <c r="N11" i="9"/>
  <c r="P11" i="9" s="1"/>
  <c r="O10" i="9"/>
  <c r="Q10" i="9" s="1"/>
  <c r="N10" i="9"/>
  <c r="P10" i="9" s="1"/>
  <c r="AF172" i="8"/>
  <c r="O288" i="9" l="1"/>
  <c r="Q288" i="9" s="1"/>
  <c r="O361" i="9"/>
  <c r="Q361" i="9" s="1"/>
  <c r="O71" i="9"/>
  <c r="Q71" i="9" s="1"/>
  <c r="AC363" i="9"/>
  <c r="AE363" i="9"/>
  <c r="AF182" i="9"/>
  <c r="AG333" i="9"/>
  <c r="O553" i="9"/>
  <c r="Q553" i="9" s="1"/>
  <c r="AB363" i="9"/>
  <c r="AG363" i="9"/>
  <c r="AD428" i="9"/>
  <c r="J489" i="9"/>
  <c r="AG116" i="9"/>
  <c r="AG219" i="9"/>
  <c r="AI216" i="9"/>
  <c r="N141" i="9"/>
  <c r="P141" i="9" s="1"/>
  <c r="O151" i="9"/>
  <c r="Q151" i="9" s="1"/>
  <c r="N159" i="9"/>
  <c r="P159" i="9" s="1"/>
  <c r="O130" i="9"/>
  <c r="Q130" i="9" s="1"/>
  <c r="AG428" i="9"/>
  <c r="AI424" i="9"/>
  <c r="N288" i="9"/>
  <c r="P288" i="9" s="1"/>
  <c r="N102" i="9"/>
  <c r="P102" i="9" s="1"/>
  <c r="K363" i="9"/>
  <c r="O488" i="9"/>
  <c r="Q488" i="9" s="1"/>
  <c r="N198" i="9"/>
  <c r="P198" i="9" s="1"/>
  <c r="L363" i="9"/>
  <c r="AB198" i="9"/>
  <c r="O198" i="9"/>
  <c r="Q198" i="9" s="1"/>
  <c r="N301" i="9"/>
  <c r="P301" i="9" s="1"/>
  <c r="M363" i="9"/>
  <c r="N371" i="9"/>
  <c r="P371" i="9" s="1"/>
  <c r="I550" i="9"/>
  <c r="N144" i="9"/>
  <c r="P144" i="9" s="1"/>
  <c r="N151" i="9"/>
  <c r="P151" i="9" s="1"/>
  <c r="O301" i="9"/>
  <c r="Q301" i="9" s="1"/>
  <c r="J550" i="9"/>
  <c r="AG376" i="9"/>
  <c r="O319" i="9"/>
  <c r="Q319" i="9" s="1"/>
  <c r="N464" i="9"/>
  <c r="P464" i="9" s="1"/>
  <c r="O201" i="9"/>
  <c r="Q201" i="9" s="1"/>
  <c r="O225" i="9"/>
  <c r="Q225" i="9" s="1"/>
  <c r="O464" i="9"/>
  <c r="Q464" i="9" s="1"/>
  <c r="Z489" i="9"/>
  <c r="N376" i="9"/>
  <c r="P376" i="9" s="1"/>
  <c r="N39" i="9"/>
  <c r="P39" i="9" s="1"/>
  <c r="I363" i="9"/>
  <c r="M170" i="9"/>
  <c r="N71" i="9"/>
  <c r="P71" i="9" s="1"/>
  <c r="N319" i="9"/>
  <c r="P319" i="9" s="1"/>
  <c r="O328" i="9"/>
  <c r="Q328" i="9" s="1"/>
  <c r="O168" i="9"/>
  <c r="Q168" i="9" s="1"/>
  <c r="L428" i="9"/>
  <c r="N263" i="9"/>
  <c r="P263" i="9" s="1"/>
  <c r="AD333" i="9"/>
  <c r="O135" i="9"/>
  <c r="Q135" i="9" s="1"/>
  <c r="N215" i="9"/>
  <c r="P215" i="9" s="1"/>
  <c r="N135" i="9"/>
  <c r="P135" i="9" s="1"/>
  <c r="O164" i="9"/>
  <c r="Q164" i="9" s="1"/>
  <c r="O307" i="9"/>
  <c r="Q307" i="9" s="1"/>
  <c r="K550" i="9"/>
  <c r="J428" i="9"/>
  <c r="O331" i="9"/>
  <c r="Q331" i="9" s="1"/>
  <c r="N234" i="9"/>
  <c r="P234" i="9" s="1"/>
  <c r="AF376" i="9"/>
  <c r="N469" i="9"/>
  <c r="P469" i="9" s="1"/>
  <c r="AG364" i="9"/>
  <c r="N62" i="9"/>
  <c r="P62" i="9" s="1"/>
  <c r="O234" i="9"/>
  <c r="Q234" i="9" s="1"/>
  <c r="AE170" i="9"/>
  <c r="H571" i="9"/>
  <c r="H581" i="9" s="1"/>
  <c r="AE428" i="9"/>
  <c r="I571" i="9"/>
  <c r="I581" i="9" s="1"/>
  <c r="N328" i="9"/>
  <c r="P328" i="9" s="1"/>
  <c r="AG170" i="9"/>
  <c r="N156" i="9"/>
  <c r="P156" i="9" s="1"/>
  <c r="O469" i="9"/>
  <c r="Q469" i="9" s="1"/>
  <c r="N307" i="9"/>
  <c r="P307" i="9" s="1"/>
  <c r="AF219" i="9"/>
  <c r="N342" i="9"/>
  <c r="P342" i="9" s="1"/>
  <c r="H363" i="9"/>
  <c r="O376" i="9"/>
  <c r="Q376" i="9" s="1"/>
  <c r="O156" i="9"/>
  <c r="Q156" i="9" s="1"/>
  <c r="AF170" i="9"/>
  <c r="N84" i="9"/>
  <c r="P84" i="9" s="1"/>
  <c r="O84" i="9"/>
  <c r="Q84" i="9" s="1"/>
  <c r="N182" i="9"/>
  <c r="P182" i="9" s="1"/>
  <c r="J170" i="9"/>
  <c r="AC376" i="9"/>
  <c r="M571" i="9"/>
  <c r="M581" i="9" s="1"/>
  <c r="O111" i="9"/>
  <c r="Q111" i="9" s="1"/>
  <c r="AD376" i="9"/>
  <c r="N111" i="9"/>
  <c r="P111" i="9" s="1"/>
  <c r="AD363" i="9"/>
  <c r="O39" i="9"/>
  <c r="Q39" i="9" s="1"/>
  <c r="AD170" i="9"/>
  <c r="L489" i="9"/>
  <c r="N479" i="9"/>
  <c r="P479" i="9" s="1"/>
  <c r="O115" i="9"/>
  <c r="Q115" i="9" s="1"/>
  <c r="O342" i="9"/>
  <c r="Q342" i="9" s="1"/>
  <c r="AE198" i="9"/>
  <c r="AM181" i="9"/>
  <c r="AM188" i="9" s="1"/>
  <c r="AM189" i="9" s="1"/>
  <c r="AN190" i="9" s="1"/>
  <c r="N565" i="9"/>
  <c r="P565" i="9" s="1"/>
  <c r="N168" i="9"/>
  <c r="P168" i="9" s="1"/>
  <c r="AE376" i="9"/>
  <c r="N191" i="9"/>
  <c r="P191" i="9" s="1"/>
  <c r="H219" i="9"/>
  <c r="O257" i="9"/>
  <c r="Q257" i="9" s="1"/>
  <c r="O371" i="9"/>
  <c r="Q371" i="9" s="1"/>
  <c r="O479" i="9"/>
  <c r="Q479" i="9" s="1"/>
  <c r="N578" i="9"/>
  <c r="P578" i="9" s="1"/>
  <c r="J363" i="9"/>
  <c r="AB428" i="9"/>
  <c r="AC428" i="9"/>
  <c r="AD116" i="9"/>
  <c r="M550" i="9"/>
  <c r="N218" i="9"/>
  <c r="P218" i="9" s="1"/>
  <c r="L116" i="9"/>
  <c r="AF116" i="9"/>
  <c r="M116" i="9"/>
  <c r="AE116" i="9"/>
  <c r="AF333" i="9"/>
  <c r="AF364" i="9" s="1"/>
  <c r="O280" i="9"/>
  <c r="Q280" i="9" s="1"/>
  <c r="Z550" i="9"/>
  <c r="N570" i="9"/>
  <c r="P570" i="9" s="1"/>
  <c r="J580" i="9"/>
  <c r="N580" i="9" s="1"/>
  <c r="P580" i="9" s="1"/>
  <c r="O141" i="9"/>
  <c r="Q141" i="9" s="1"/>
  <c r="AB333" i="9"/>
  <c r="N280" i="9"/>
  <c r="P280" i="9" s="1"/>
  <c r="O159" i="9"/>
  <c r="Q159" i="9" s="1"/>
  <c r="O188" i="9"/>
  <c r="Q188" i="9" s="1"/>
  <c r="O570" i="9"/>
  <c r="Q570" i="9" s="1"/>
  <c r="O580" i="9"/>
  <c r="Q580" i="9" s="1"/>
  <c r="Z428" i="9"/>
  <c r="L219" i="9"/>
  <c r="N201" i="9"/>
  <c r="P201" i="9" s="1"/>
  <c r="N454" i="9"/>
  <c r="P454" i="9" s="1"/>
  <c r="L550" i="9"/>
  <c r="O102" i="9"/>
  <c r="Q102" i="9" s="1"/>
  <c r="O144" i="9"/>
  <c r="Q144" i="9" s="1"/>
  <c r="O182" i="9"/>
  <c r="Q182" i="9" s="1"/>
  <c r="N188" i="9"/>
  <c r="P188" i="9" s="1"/>
  <c r="AC198" i="9"/>
  <c r="N427" i="9"/>
  <c r="P427" i="9" s="1"/>
  <c r="N553" i="9"/>
  <c r="P553" i="9" s="1"/>
  <c r="L571" i="9"/>
  <c r="L581" i="9" s="1"/>
  <c r="N549" i="9"/>
  <c r="P549" i="9" s="1"/>
  <c r="H550" i="9"/>
  <c r="I116" i="9"/>
  <c r="AF198" i="9"/>
  <c r="N441" i="9"/>
  <c r="P441" i="9" s="1"/>
  <c r="H489" i="9"/>
  <c r="J333" i="9"/>
  <c r="N257" i="9"/>
  <c r="P257" i="9" s="1"/>
  <c r="N115" i="9"/>
  <c r="P115" i="9" s="1"/>
  <c r="AD198" i="9"/>
  <c r="AC333" i="9"/>
  <c r="AC364" i="9" s="1"/>
  <c r="Z333" i="9"/>
  <c r="J116" i="9"/>
  <c r="N520" i="9"/>
  <c r="P520" i="9" s="1"/>
  <c r="O578" i="9"/>
  <c r="Q578" i="9" s="1"/>
  <c r="O62" i="9"/>
  <c r="Q62" i="9" s="1"/>
  <c r="K489" i="9"/>
  <c r="AC116" i="9"/>
  <c r="J219" i="9"/>
  <c r="O90" i="9"/>
  <c r="Q90" i="9" s="1"/>
  <c r="N207" i="9"/>
  <c r="P207" i="9" s="1"/>
  <c r="H333" i="9"/>
  <c r="AE333" i="9"/>
  <c r="AB116" i="9"/>
  <c r="N225" i="9"/>
  <c r="P225" i="9" s="1"/>
  <c r="L170" i="9"/>
  <c r="O207" i="9"/>
  <c r="Q207" i="9" s="1"/>
  <c r="O215" i="9"/>
  <c r="Q215" i="9" s="1"/>
  <c r="I219" i="9"/>
  <c r="O219" i="9" s="1"/>
  <c r="Q219" i="9" s="1"/>
  <c r="N45" i="9"/>
  <c r="P45" i="9" s="1"/>
  <c r="O45" i="9"/>
  <c r="Q45" i="9" s="1"/>
  <c r="N124" i="9"/>
  <c r="P124" i="9" s="1"/>
  <c r="H170" i="9"/>
  <c r="O124" i="9"/>
  <c r="Q124" i="9" s="1"/>
  <c r="I170" i="9"/>
  <c r="N361" i="9"/>
  <c r="P361" i="9" s="1"/>
  <c r="J571" i="9"/>
  <c r="O263" i="9"/>
  <c r="Q263" i="9" s="1"/>
  <c r="I333" i="9"/>
  <c r="K571" i="9"/>
  <c r="I489" i="9"/>
  <c r="M455" i="9"/>
  <c r="M489" i="9" s="1"/>
  <c r="O454" i="9"/>
  <c r="Q454" i="9" s="1"/>
  <c r="H116" i="9"/>
  <c r="O565" i="9"/>
  <c r="Q565" i="9" s="1"/>
  <c r="Z170" i="9"/>
  <c r="N130" i="9"/>
  <c r="P130" i="9" s="1"/>
  <c r="K333" i="9"/>
  <c r="K116" i="9"/>
  <c r="AB170" i="9"/>
  <c r="AC170" i="9"/>
  <c r="O441" i="9"/>
  <c r="Q441" i="9" s="1"/>
  <c r="N15" i="9"/>
  <c r="P15" i="9" s="1"/>
  <c r="N455" i="9"/>
  <c r="P455" i="9" s="1"/>
  <c r="O15" i="9"/>
  <c r="Q15" i="9" s="1"/>
  <c r="M333" i="9"/>
  <c r="M364" i="9" s="1"/>
  <c r="AB376" i="9"/>
  <c r="O520" i="9"/>
  <c r="Q520" i="9" s="1"/>
  <c r="O191" i="9"/>
  <c r="Q191" i="9" s="1"/>
  <c r="Z116" i="9"/>
  <c r="K170" i="9"/>
  <c r="N164" i="9"/>
  <c r="P164" i="9" s="1"/>
  <c r="L333" i="9"/>
  <c r="O549" i="9"/>
  <c r="Q549" i="9" s="1"/>
  <c r="AF428" i="9"/>
  <c r="O405" i="9"/>
  <c r="Q405" i="9" s="1"/>
  <c r="I423" i="9"/>
  <c r="Z363" i="9"/>
  <c r="N405" i="9"/>
  <c r="P405" i="9" s="1"/>
  <c r="H423" i="9"/>
  <c r="AF402" i="8"/>
  <c r="AF375" i="8"/>
  <c r="AF374" i="8"/>
  <c r="AF373" i="8"/>
  <c r="AB364" i="9" l="1"/>
  <c r="L183" i="9"/>
  <c r="K364" i="9"/>
  <c r="AE364" i="9"/>
  <c r="AE183" i="9"/>
  <c r="O455" i="9"/>
  <c r="Q455" i="9" s="1"/>
  <c r="N489" i="9"/>
  <c r="P489" i="9" s="1"/>
  <c r="O363" i="9"/>
  <c r="Q363" i="9" s="1"/>
  <c r="M183" i="9"/>
  <c r="M220" i="9" s="1"/>
  <c r="J183" i="9"/>
  <c r="AG183" i="9"/>
  <c r="AG220" i="9" s="1"/>
  <c r="AD183" i="9"/>
  <c r="AD220" i="9" s="1"/>
  <c r="N219" i="9"/>
  <c r="P219" i="9" s="1"/>
  <c r="AE220" i="9"/>
  <c r="AE495" i="9" s="1"/>
  <c r="AE550" i="9" s="1"/>
  <c r="O170" i="9"/>
  <c r="Q170" i="9" s="1"/>
  <c r="O550" i="9"/>
  <c r="Q550" i="9" s="1"/>
  <c r="N363" i="9"/>
  <c r="P363" i="9" s="1"/>
  <c r="L220" i="9"/>
  <c r="AF183" i="9"/>
  <c r="AF220" i="9" s="1"/>
  <c r="AD364" i="9"/>
  <c r="N550" i="9"/>
  <c r="P550" i="9" s="1"/>
  <c r="J220" i="9"/>
  <c r="J364" i="9"/>
  <c r="J554" i="9" s="1"/>
  <c r="AB183" i="9"/>
  <c r="AB220" i="9" s="1"/>
  <c r="AB495" i="9" s="1"/>
  <c r="M554" i="9"/>
  <c r="Z364" i="9"/>
  <c r="Z554" i="9" s="1"/>
  <c r="K554" i="9"/>
  <c r="J581" i="9"/>
  <c r="N581" i="9" s="1"/>
  <c r="P581" i="9" s="1"/>
  <c r="O333" i="9"/>
  <c r="Q333" i="9" s="1"/>
  <c r="I364" i="9"/>
  <c r="H428" i="9"/>
  <c r="N428" i="9" s="1"/>
  <c r="P428" i="9" s="1"/>
  <c r="N423" i="9"/>
  <c r="P423" i="9" s="1"/>
  <c r="K581" i="9"/>
  <c r="O581" i="9" s="1"/>
  <c r="Q581" i="9" s="1"/>
  <c r="O571" i="9"/>
  <c r="Q571" i="9" s="1"/>
  <c r="I428" i="9"/>
  <c r="O428" i="9" s="1"/>
  <c r="Q428" i="9" s="1"/>
  <c r="O423" i="9"/>
  <c r="Q423" i="9" s="1"/>
  <c r="H183" i="9"/>
  <c r="N116" i="9"/>
  <c r="P116" i="9" s="1"/>
  <c r="Z183" i="9"/>
  <c r="Z220" i="9" s="1"/>
  <c r="O489" i="9"/>
  <c r="Q489" i="9" s="1"/>
  <c r="H364" i="9"/>
  <c r="N333" i="9"/>
  <c r="P333" i="9" s="1"/>
  <c r="L364" i="9"/>
  <c r="L554" i="9" s="1"/>
  <c r="AC183" i="9"/>
  <c r="AC220" i="9" s="1"/>
  <c r="K183" i="9"/>
  <c r="K220" i="9" s="1"/>
  <c r="N170" i="9"/>
  <c r="P170" i="9" s="1"/>
  <c r="N571" i="9"/>
  <c r="P571" i="9" s="1"/>
  <c r="O116" i="9"/>
  <c r="Q116" i="9" s="1"/>
  <c r="I183" i="9"/>
  <c r="AL180" i="8"/>
  <c r="AL181" i="8" s="1"/>
  <c r="AM453" i="8"/>
  <c r="AM456" i="8"/>
  <c r="AM459" i="8"/>
  <c r="AM460" i="8"/>
  <c r="AM461" i="8"/>
  <c r="AM463" i="8"/>
  <c r="AM465" i="8"/>
  <c r="AM470" i="8"/>
  <c r="AM480" i="8"/>
  <c r="AM490" i="8"/>
  <c r="AM491" i="8"/>
  <c r="AM492" i="8"/>
  <c r="AM493" i="8"/>
  <c r="AM494" i="8"/>
  <c r="AM496" i="8"/>
  <c r="AM497" i="8"/>
  <c r="AM498" i="8"/>
  <c r="AM500" i="8"/>
  <c r="AM501" i="8"/>
  <c r="AM502" i="8"/>
  <c r="AM503" i="8"/>
  <c r="AM505" i="8"/>
  <c r="AM506" i="8"/>
  <c r="AM507" i="8"/>
  <c r="AM508" i="8"/>
  <c r="AM509" i="8"/>
  <c r="AM510" i="8"/>
  <c r="AM511" i="8"/>
  <c r="AM512" i="8"/>
  <c r="AM513" i="8"/>
  <c r="AM514" i="8"/>
  <c r="AM515" i="8"/>
  <c r="AM516" i="8"/>
  <c r="AM517" i="8"/>
  <c r="AM519" i="8"/>
  <c r="AM520" i="8"/>
  <c r="AM521" i="8"/>
  <c r="AM522" i="8"/>
  <c r="AM523" i="8"/>
  <c r="AM524" i="8"/>
  <c r="AM525" i="8"/>
  <c r="AM526" i="8"/>
  <c r="AM527" i="8"/>
  <c r="AM528" i="8"/>
  <c r="AM529" i="8"/>
  <c r="AM531" i="8"/>
  <c r="AM533" i="8"/>
  <c r="AM534" i="8"/>
  <c r="AM535" i="8"/>
  <c r="AM536" i="8"/>
  <c r="AM537" i="8"/>
  <c r="AM538" i="8"/>
  <c r="AM539" i="8"/>
  <c r="AM540" i="8"/>
  <c r="AM541" i="8"/>
  <c r="AM542" i="8"/>
  <c r="AM543" i="8"/>
  <c r="AM544" i="8"/>
  <c r="AM545" i="8"/>
  <c r="AM546" i="8"/>
  <c r="AI431" i="8"/>
  <c r="AI432" i="8"/>
  <c r="AI433" i="8"/>
  <c r="AL433" i="8"/>
  <c r="AM433" i="8"/>
  <c r="AH433" i="8" s="1"/>
  <c r="AI434" i="8"/>
  <c r="AL434" i="8"/>
  <c r="AM434" i="8"/>
  <c r="AH434" i="8" s="1"/>
  <c r="AI435" i="8"/>
  <c r="AL435" i="8"/>
  <c r="AM435" i="8"/>
  <c r="AH435" i="8" s="1"/>
  <c r="AI436" i="8"/>
  <c r="AI437" i="8"/>
  <c r="AL437" i="8"/>
  <c r="AM437" i="8"/>
  <c r="AH437" i="8" s="1"/>
  <c r="AI438" i="8"/>
  <c r="AL438" i="8"/>
  <c r="AM438" i="8"/>
  <c r="AH438" i="8" s="1"/>
  <c r="AI439" i="8"/>
  <c r="AL439" i="8"/>
  <c r="AM439" i="8" s="1"/>
  <c r="AH439" i="8" s="1"/>
  <c r="AI440" i="8"/>
  <c r="AK441" i="8"/>
  <c r="AL431" i="8" s="1"/>
  <c r="AM431" i="8" s="1"/>
  <c r="AH431" i="8" s="1"/>
  <c r="AI376" i="9" l="1"/>
  <c r="M555" i="9"/>
  <c r="M582" i="9" s="1"/>
  <c r="M1" i="9" s="1"/>
  <c r="AG495" i="9"/>
  <c r="AG550" i="9" s="1"/>
  <c r="AF495" i="9"/>
  <c r="L555" i="9"/>
  <c r="L582" i="9" s="1"/>
  <c r="L1" i="9" s="1"/>
  <c r="Z555" i="9"/>
  <c r="Z582" i="9" s="1"/>
  <c r="Z1" i="9" s="1"/>
  <c r="K555" i="9"/>
  <c r="K582" i="9" s="1"/>
  <c r="K1" i="9" s="1"/>
  <c r="J555" i="9"/>
  <c r="J582" i="9" s="1"/>
  <c r="J1" i="9" s="1"/>
  <c r="AB550" i="9"/>
  <c r="AF550" i="9"/>
  <c r="H220" i="9"/>
  <c r="N183" i="9"/>
  <c r="P183" i="9" s="1"/>
  <c r="O364" i="9"/>
  <c r="Q364" i="9" s="1"/>
  <c r="I554" i="9"/>
  <c r="O554" i="9" s="1"/>
  <c r="Q554" i="9" s="1"/>
  <c r="AC495" i="9"/>
  <c r="N364" i="9"/>
  <c r="P364" i="9" s="1"/>
  <c r="H554" i="9"/>
  <c r="N554" i="9" s="1"/>
  <c r="P554" i="9" s="1"/>
  <c r="I220" i="9"/>
  <c r="O183" i="9"/>
  <c r="Q183" i="9" s="1"/>
  <c r="AD495" i="9"/>
  <c r="AD441" i="9"/>
  <c r="AL432" i="8"/>
  <c r="AM432" i="8" s="1"/>
  <c r="AH432" i="8" s="1"/>
  <c r="AL440" i="8"/>
  <c r="AM440" i="8" s="1"/>
  <c r="AH440" i="8" s="1"/>
  <c r="AL436" i="8"/>
  <c r="AM436" i="8" s="1"/>
  <c r="AH436" i="8" s="1"/>
  <c r="AF499" i="8"/>
  <c r="AM499" i="8" s="1"/>
  <c r="AC441" i="9" l="1"/>
  <c r="I555" i="9"/>
  <c r="O220" i="9"/>
  <c r="Q220" i="9" s="1"/>
  <c r="AD550" i="9"/>
  <c r="AC550" i="9"/>
  <c r="H555" i="9"/>
  <c r="N220" i="9"/>
  <c r="P220" i="9" s="1"/>
  <c r="AM441" i="8"/>
  <c r="AH441" i="8"/>
  <c r="AF143" i="8"/>
  <c r="H582" i="9" l="1"/>
  <c r="N555" i="9"/>
  <c r="P555" i="9" s="1"/>
  <c r="I582" i="9"/>
  <c r="O555" i="9"/>
  <c r="Q555" i="9" s="1"/>
  <c r="AF551" i="8"/>
  <c r="AF547" i="8"/>
  <c r="AF532" i="8"/>
  <c r="AF530" i="8"/>
  <c r="AF518" i="8"/>
  <c r="AF504" i="8"/>
  <c r="AM504" i="8" s="1"/>
  <c r="AF441" i="8"/>
  <c r="AF427" i="8"/>
  <c r="AF423" i="8"/>
  <c r="AH215" i="8" s="1"/>
  <c r="AF376" i="8"/>
  <c r="AF367" i="8"/>
  <c r="AF371" i="8" s="1"/>
  <c r="AF361" i="8"/>
  <c r="AF342" i="8"/>
  <c r="AF363" i="8" s="1"/>
  <c r="AF331" i="8"/>
  <c r="AF328" i="8"/>
  <c r="AF319" i="8"/>
  <c r="AF307" i="8"/>
  <c r="AF301" i="8"/>
  <c r="AF288" i="8"/>
  <c r="AF280" i="8"/>
  <c r="AF263" i="8"/>
  <c r="AF257" i="8"/>
  <c r="AF234" i="8"/>
  <c r="AF227" i="8"/>
  <c r="AF223" i="8"/>
  <c r="AF225" i="8" s="1"/>
  <c r="AF215" i="8"/>
  <c r="AF219" i="8" s="1"/>
  <c r="AF207" i="8"/>
  <c r="AF201" i="8"/>
  <c r="AF196" i="8"/>
  <c r="AF195" i="8"/>
  <c r="AF193" i="8"/>
  <c r="AF198" i="8" s="1"/>
  <c r="AF191" i="8"/>
  <c r="AF185" i="8"/>
  <c r="AF188" i="8" s="1"/>
  <c r="AF173" i="8"/>
  <c r="AF182" i="8" s="1"/>
  <c r="AF168" i="8"/>
  <c r="AF164" i="8"/>
  <c r="AF159" i="8"/>
  <c r="AF156" i="8"/>
  <c r="AF151" i="8"/>
  <c r="AF144" i="8"/>
  <c r="AF141" i="8"/>
  <c r="AF135" i="8"/>
  <c r="AF130" i="8"/>
  <c r="AF124" i="8"/>
  <c r="AF111" i="8"/>
  <c r="AF102" i="8"/>
  <c r="AF90" i="8"/>
  <c r="AF84" i="8"/>
  <c r="AF71" i="8"/>
  <c r="AF62" i="8"/>
  <c r="AF45" i="8"/>
  <c r="AF39" i="8"/>
  <c r="AF15" i="8"/>
  <c r="I578" i="8"/>
  <c r="H578" i="8"/>
  <c r="O577" i="8"/>
  <c r="Q577" i="8" s="1"/>
  <c r="N577" i="8"/>
  <c r="P577" i="8" s="1"/>
  <c r="M576" i="8"/>
  <c r="M578" i="8" s="1"/>
  <c r="L576" i="8"/>
  <c r="K576" i="8"/>
  <c r="K578" i="8" s="1"/>
  <c r="J576" i="8"/>
  <c r="J578" i="8" s="1"/>
  <c r="I576" i="8"/>
  <c r="H576" i="8"/>
  <c r="O575" i="8"/>
  <c r="Q575" i="8" s="1"/>
  <c r="N575" i="8"/>
  <c r="P575" i="8" s="1"/>
  <c r="O574" i="8"/>
  <c r="Q574" i="8" s="1"/>
  <c r="N574" i="8"/>
  <c r="P574" i="8" s="1"/>
  <c r="O573" i="8"/>
  <c r="Q573" i="8" s="1"/>
  <c r="N573" i="8"/>
  <c r="P573" i="8" s="1"/>
  <c r="O572" i="8"/>
  <c r="Q572" i="8" s="1"/>
  <c r="N572" i="8"/>
  <c r="P572" i="8" s="1"/>
  <c r="M568" i="8"/>
  <c r="L568" i="8"/>
  <c r="K568" i="8"/>
  <c r="J568" i="8"/>
  <c r="I568" i="8"/>
  <c r="O568" i="8" s="1"/>
  <c r="Q568" i="8" s="1"/>
  <c r="H568" i="8"/>
  <c r="N568" i="8" s="1"/>
  <c r="P568" i="8" s="1"/>
  <c r="O567" i="8"/>
  <c r="Q567" i="8" s="1"/>
  <c r="N567" i="8"/>
  <c r="P567" i="8" s="1"/>
  <c r="O566" i="8"/>
  <c r="Q566" i="8" s="1"/>
  <c r="N566" i="8"/>
  <c r="P566" i="8" s="1"/>
  <c r="O565" i="8"/>
  <c r="Q565" i="8" s="1"/>
  <c r="N565" i="8"/>
  <c r="P565" i="8" s="1"/>
  <c r="M563" i="8"/>
  <c r="L563" i="8"/>
  <c r="K563" i="8"/>
  <c r="J563" i="8"/>
  <c r="I563" i="8"/>
  <c r="H563" i="8"/>
  <c r="O562" i="8"/>
  <c r="Q562" i="8" s="1"/>
  <c r="N562" i="8"/>
  <c r="P562" i="8" s="1"/>
  <c r="O561" i="8"/>
  <c r="Q561" i="8" s="1"/>
  <c r="N561" i="8"/>
  <c r="P561" i="8" s="1"/>
  <c r="O560" i="8"/>
  <c r="Q560" i="8" s="1"/>
  <c r="N560" i="8"/>
  <c r="P560" i="8" s="1"/>
  <c r="O559" i="8"/>
  <c r="Q559" i="8" s="1"/>
  <c r="N559" i="8"/>
  <c r="P559" i="8" s="1"/>
  <c r="O558" i="8"/>
  <c r="Q558" i="8" s="1"/>
  <c r="N558" i="8"/>
  <c r="P558" i="8" s="1"/>
  <c r="O556" i="8"/>
  <c r="Q556" i="8" s="1"/>
  <c r="N556" i="8"/>
  <c r="P556" i="8" s="1"/>
  <c r="AE551" i="8"/>
  <c r="AD551" i="8"/>
  <c r="AC551" i="8"/>
  <c r="AB551" i="8"/>
  <c r="Z551" i="8"/>
  <c r="M551" i="8"/>
  <c r="L551" i="8"/>
  <c r="K551" i="8"/>
  <c r="J551" i="8"/>
  <c r="I551" i="8"/>
  <c r="H551" i="8"/>
  <c r="O550" i="8"/>
  <c r="Q550" i="8" s="1"/>
  <c r="N550" i="8"/>
  <c r="P550" i="8" s="1"/>
  <c r="AE547" i="8"/>
  <c r="AD547" i="8"/>
  <c r="AC547" i="8"/>
  <c r="AB547" i="8"/>
  <c r="Z547" i="8"/>
  <c r="M547" i="8"/>
  <c r="L547" i="8"/>
  <c r="K547" i="8"/>
  <c r="J547" i="8"/>
  <c r="I547" i="8"/>
  <c r="H547" i="8"/>
  <c r="AK546" i="8"/>
  <c r="AJ546" i="8"/>
  <c r="AI546" i="8"/>
  <c r="O546" i="8"/>
  <c r="Q546" i="8" s="1"/>
  <c r="N546" i="8"/>
  <c r="P546" i="8" s="1"/>
  <c r="AK545" i="8"/>
  <c r="AJ545" i="8"/>
  <c r="AI545" i="8"/>
  <c r="O545" i="8"/>
  <c r="Q545" i="8" s="1"/>
  <c r="N545" i="8"/>
  <c r="P545" i="8" s="1"/>
  <c r="AK544" i="8"/>
  <c r="AJ544" i="8"/>
  <c r="AI544" i="8"/>
  <c r="O544" i="8"/>
  <c r="Q544" i="8" s="1"/>
  <c r="N544" i="8"/>
  <c r="P544" i="8" s="1"/>
  <c r="AK543" i="8"/>
  <c r="AJ543" i="8"/>
  <c r="AI543" i="8"/>
  <c r="AK542" i="8"/>
  <c r="AJ542" i="8"/>
  <c r="AI542" i="8"/>
  <c r="O542" i="8"/>
  <c r="Q542" i="8" s="1"/>
  <c r="N542" i="8"/>
  <c r="P542" i="8" s="1"/>
  <c r="AK541" i="8"/>
  <c r="AJ541" i="8"/>
  <c r="AI541" i="8"/>
  <c r="Q541" i="8"/>
  <c r="N541" i="8"/>
  <c r="P541" i="8" s="1"/>
  <c r="AK540" i="8"/>
  <c r="AJ540" i="8"/>
  <c r="AI540" i="8"/>
  <c r="O540" i="8"/>
  <c r="Q540" i="8" s="1"/>
  <c r="N540" i="8"/>
  <c r="P540" i="8" s="1"/>
  <c r="AK539" i="8"/>
  <c r="AJ539" i="8"/>
  <c r="AI539" i="8"/>
  <c r="O539" i="8"/>
  <c r="Q539" i="8" s="1"/>
  <c r="N539" i="8"/>
  <c r="P539" i="8" s="1"/>
  <c r="AK538" i="8"/>
  <c r="AJ538" i="8"/>
  <c r="AI538" i="8"/>
  <c r="O538" i="8"/>
  <c r="Q538" i="8" s="1"/>
  <c r="N538" i="8"/>
  <c r="P538" i="8" s="1"/>
  <c r="AK537" i="8"/>
  <c r="AJ537" i="8"/>
  <c r="AI537" i="8"/>
  <c r="O537" i="8"/>
  <c r="Q537" i="8" s="1"/>
  <c r="N537" i="8"/>
  <c r="P537" i="8" s="1"/>
  <c r="AK536" i="8"/>
  <c r="AJ536" i="8"/>
  <c r="AI536" i="8"/>
  <c r="O536" i="8"/>
  <c r="Q536" i="8" s="1"/>
  <c r="N536" i="8"/>
  <c r="P536" i="8" s="1"/>
  <c r="AK535" i="8"/>
  <c r="AJ535" i="8"/>
  <c r="AI535" i="8"/>
  <c r="O535" i="8"/>
  <c r="Q535" i="8" s="1"/>
  <c r="N535" i="8"/>
  <c r="P535" i="8" s="1"/>
  <c r="AK534" i="8"/>
  <c r="AJ534" i="8"/>
  <c r="AI534" i="8"/>
  <c r="O534" i="8"/>
  <c r="Q534" i="8" s="1"/>
  <c r="N534" i="8"/>
  <c r="P534" i="8" s="1"/>
  <c r="AK533" i="8"/>
  <c r="AJ533" i="8"/>
  <c r="AI533" i="8"/>
  <c r="P533" i="8"/>
  <c r="O533" i="8"/>
  <c r="Q533" i="8" s="1"/>
  <c r="N533" i="8"/>
  <c r="AE532" i="8"/>
  <c r="AD532" i="8"/>
  <c r="AC532" i="8"/>
  <c r="AB532" i="8"/>
  <c r="AI532" i="8" s="1"/>
  <c r="O532" i="8"/>
  <c r="Q532" i="8" s="1"/>
  <c r="N532" i="8"/>
  <c r="P532" i="8" s="1"/>
  <c r="AK531" i="8"/>
  <c r="AJ531" i="8"/>
  <c r="AI531" i="8"/>
  <c r="O531" i="8"/>
  <c r="Q531" i="8" s="1"/>
  <c r="N531" i="8"/>
  <c r="P531" i="8" s="1"/>
  <c r="AE530" i="8"/>
  <c r="AD530" i="8"/>
  <c r="AC530" i="8"/>
  <c r="AB530" i="8"/>
  <c r="AI530" i="8" s="1"/>
  <c r="O530" i="8"/>
  <c r="Q530" i="8" s="1"/>
  <c r="N530" i="8"/>
  <c r="P530" i="8" s="1"/>
  <c r="AK529" i="8"/>
  <c r="AJ529" i="8"/>
  <c r="AI529" i="8"/>
  <c r="O529" i="8"/>
  <c r="Q529" i="8" s="1"/>
  <c r="N529" i="8"/>
  <c r="P529" i="8" s="1"/>
  <c r="AK528" i="8"/>
  <c r="AJ528" i="8"/>
  <c r="AI528" i="8"/>
  <c r="O528" i="8"/>
  <c r="Q528" i="8" s="1"/>
  <c r="N528" i="8"/>
  <c r="P528" i="8" s="1"/>
  <c r="AK527" i="8"/>
  <c r="AJ527" i="8"/>
  <c r="AI527" i="8"/>
  <c r="O527" i="8"/>
  <c r="Q527" i="8" s="1"/>
  <c r="N527" i="8"/>
  <c r="P527" i="8" s="1"/>
  <c r="AK526" i="8"/>
  <c r="AJ526" i="8"/>
  <c r="AI526" i="8"/>
  <c r="O526" i="8"/>
  <c r="Q526" i="8" s="1"/>
  <c r="N526" i="8"/>
  <c r="P526" i="8" s="1"/>
  <c r="AK525" i="8"/>
  <c r="AJ525" i="8"/>
  <c r="AI525" i="8"/>
  <c r="O525" i="8"/>
  <c r="Q525" i="8" s="1"/>
  <c r="N525" i="8"/>
  <c r="P525" i="8" s="1"/>
  <c r="AK524" i="8"/>
  <c r="AJ524" i="8"/>
  <c r="AI524" i="8"/>
  <c r="O524" i="8"/>
  <c r="Q524" i="8" s="1"/>
  <c r="N524" i="8"/>
  <c r="P524" i="8" s="1"/>
  <c r="AK523" i="8"/>
  <c r="AJ523" i="8"/>
  <c r="AI523" i="8"/>
  <c r="Q523" i="8"/>
  <c r="N523" i="8"/>
  <c r="P523" i="8" s="1"/>
  <c r="AK522" i="8"/>
  <c r="AJ522" i="8"/>
  <c r="AI522" i="8"/>
  <c r="O522" i="8"/>
  <c r="Q522" i="8" s="1"/>
  <c r="N522" i="8"/>
  <c r="P522" i="8" s="1"/>
  <c r="AK521" i="8"/>
  <c r="AJ521" i="8"/>
  <c r="AI521" i="8"/>
  <c r="O521" i="8"/>
  <c r="Q521" i="8" s="1"/>
  <c r="N521" i="8"/>
  <c r="P521" i="8" s="1"/>
  <c r="AK520" i="8"/>
  <c r="AJ520" i="8"/>
  <c r="AI520" i="8"/>
  <c r="O520" i="8"/>
  <c r="Q520" i="8" s="1"/>
  <c r="N520" i="8"/>
  <c r="P520" i="8" s="1"/>
  <c r="AK519" i="8"/>
  <c r="AJ519" i="8"/>
  <c r="AI519" i="8"/>
  <c r="O519" i="8"/>
  <c r="Q519" i="8" s="1"/>
  <c r="N519" i="8"/>
  <c r="P519" i="8" s="1"/>
  <c r="AE518" i="8"/>
  <c r="AD518" i="8"/>
  <c r="AC518" i="8"/>
  <c r="AB518" i="8"/>
  <c r="Z518" i="8"/>
  <c r="M518" i="8"/>
  <c r="L518" i="8"/>
  <c r="K518" i="8"/>
  <c r="K548" i="8" s="1"/>
  <c r="J518" i="8"/>
  <c r="J548" i="8" s="1"/>
  <c r="I518" i="8"/>
  <c r="H518" i="8"/>
  <c r="AK517" i="8"/>
  <c r="AJ517" i="8"/>
  <c r="AI517" i="8"/>
  <c r="O517" i="8"/>
  <c r="Q517" i="8" s="1"/>
  <c r="N517" i="8"/>
  <c r="P517" i="8" s="1"/>
  <c r="AK516" i="8"/>
  <c r="AJ516" i="8"/>
  <c r="AI516" i="8"/>
  <c r="O516" i="8"/>
  <c r="Q516" i="8" s="1"/>
  <c r="N516" i="8"/>
  <c r="P516" i="8" s="1"/>
  <c r="AK515" i="8"/>
  <c r="AJ515" i="8"/>
  <c r="AI515" i="8"/>
  <c r="O515" i="8"/>
  <c r="Q515" i="8" s="1"/>
  <c r="N515" i="8"/>
  <c r="P515" i="8" s="1"/>
  <c r="AK514" i="8"/>
  <c r="AJ514" i="8"/>
  <c r="AI514" i="8"/>
  <c r="AK513" i="8"/>
  <c r="AJ513" i="8"/>
  <c r="AI513" i="8"/>
  <c r="O513" i="8"/>
  <c r="Q513" i="8" s="1"/>
  <c r="N513" i="8"/>
  <c r="P513" i="8" s="1"/>
  <c r="AK512" i="8"/>
  <c r="AJ512" i="8"/>
  <c r="AI512" i="8"/>
  <c r="O512" i="8"/>
  <c r="Q512" i="8" s="1"/>
  <c r="N512" i="8"/>
  <c r="P512" i="8" s="1"/>
  <c r="AK511" i="8"/>
  <c r="AJ511" i="8"/>
  <c r="AI511" i="8"/>
  <c r="O511" i="8"/>
  <c r="Q511" i="8" s="1"/>
  <c r="N511" i="8"/>
  <c r="P511" i="8" s="1"/>
  <c r="AK510" i="8"/>
  <c r="AJ510" i="8"/>
  <c r="AI510" i="8"/>
  <c r="O510" i="8"/>
  <c r="Q510" i="8" s="1"/>
  <c r="N510" i="8"/>
  <c r="P510" i="8" s="1"/>
  <c r="AK509" i="8"/>
  <c r="AJ509" i="8"/>
  <c r="AI509" i="8"/>
  <c r="O509" i="8"/>
  <c r="Q509" i="8" s="1"/>
  <c r="N509" i="8"/>
  <c r="P509" i="8" s="1"/>
  <c r="AK508" i="8"/>
  <c r="AJ508" i="8"/>
  <c r="AI508" i="8"/>
  <c r="O508" i="8"/>
  <c r="Q508" i="8" s="1"/>
  <c r="N508" i="8"/>
  <c r="P508" i="8" s="1"/>
  <c r="AK507" i="8"/>
  <c r="AJ507" i="8"/>
  <c r="AI507" i="8"/>
  <c r="O507" i="8"/>
  <c r="Q507" i="8" s="1"/>
  <c r="N507" i="8"/>
  <c r="P507" i="8" s="1"/>
  <c r="AK506" i="8"/>
  <c r="AJ506" i="8"/>
  <c r="AI506" i="8"/>
  <c r="O506" i="8"/>
  <c r="Q506" i="8" s="1"/>
  <c r="N506" i="8"/>
  <c r="P506" i="8" s="1"/>
  <c r="AK505" i="8"/>
  <c r="AJ505" i="8"/>
  <c r="AI505" i="8"/>
  <c r="O505" i="8"/>
  <c r="Q505" i="8" s="1"/>
  <c r="N505" i="8"/>
  <c r="P505" i="8" s="1"/>
  <c r="AI504" i="8"/>
  <c r="AE504" i="8"/>
  <c r="AD504" i="8"/>
  <c r="AC504" i="8"/>
  <c r="AB504" i="8"/>
  <c r="O504" i="8"/>
  <c r="Q504" i="8" s="1"/>
  <c r="N504" i="8"/>
  <c r="P504" i="8" s="1"/>
  <c r="AK503" i="8"/>
  <c r="AJ503" i="8"/>
  <c r="AI503" i="8"/>
  <c r="O503" i="8"/>
  <c r="Q503" i="8" s="1"/>
  <c r="N503" i="8"/>
  <c r="P503" i="8" s="1"/>
  <c r="AK502" i="8"/>
  <c r="AJ502" i="8"/>
  <c r="AI502" i="8"/>
  <c r="O502" i="8"/>
  <c r="Q502" i="8" s="1"/>
  <c r="N502" i="8"/>
  <c r="P502" i="8" s="1"/>
  <c r="AK501" i="8"/>
  <c r="AJ501" i="8"/>
  <c r="AI501" i="8"/>
  <c r="O501" i="8"/>
  <c r="Q501" i="8" s="1"/>
  <c r="N501" i="8"/>
  <c r="P501" i="8" s="1"/>
  <c r="AK500" i="8"/>
  <c r="AJ500" i="8"/>
  <c r="AI500" i="8"/>
  <c r="O500" i="8"/>
  <c r="Q500" i="8" s="1"/>
  <c r="N500" i="8"/>
  <c r="P500" i="8" s="1"/>
  <c r="AK499" i="8"/>
  <c r="AJ499" i="8"/>
  <c r="AI499" i="8"/>
  <c r="O499" i="8"/>
  <c r="Q499" i="8" s="1"/>
  <c r="N499" i="8"/>
  <c r="P499" i="8" s="1"/>
  <c r="AK498" i="8"/>
  <c r="AJ498" i="8"/>
  <c r="AI498" i="8"/>
  <c r="O498" i="8"/>
  <c r="Q498" i="8" s="1"/>
  <c r="N498" i="8"/>
  <c r="P498" i="8" s="1"/>
  <c r="AK497" i="8"/>
  <c r="AJ497" i="8"/>
  <c r="AI497" i="8"/>
  <c r="O497" i="8"/>
  <c r="Q497" i="8" s="1"/>
  <c r="N497" i="8"/>
  <c r="P497" i="8" s="1"/>
  <c r="AK496" i="8"/>
  <c r="AJ496" i="8"/>
  <c r="AI496" i="8"/>
  <c r="O496" i="8"/>
  <c r="Q496" i="8" s="1"/>
  <c r="N496" i="8"/>
  <c r="P496" i="8" s="1"/>
  <c r="O495" i="8"/>
  <c r="Q495" i="8" s="1"/>
  <c r="N495" i="8"/>
  <c r="P495" i="8" s="1"/>
  <c r="AK494" i="8"/>
  <c r="AJ494" i="8"/>
  <c r="AI494" i="8"/>
  <c r="O494" i="8"/>
  <c r="Q494" i="8" s="1"/>
  <c r="N494" i="8"/>
  <c r="P494" i="8" s="1"/>
  <c r="AK493" i="8"/>
  <c r="AJ493" i="8"/>
  <c r="AI493" i="8"/>
  <c r="O493" i="8"/>
  <c r="Q493" i="8" s="1"/>
  <c r="N493" i="8"/>
  <c r="P493" i="8" s="1"/>
  <c r="AK492" i="8"/>
  <c r="AJ492" i="8"/>
  <c r="AI492" i="8"/>
  <c r="O492" i="8"/>
  <c r="Q492" i="8" s="1"/>
  <c r="N492" i="8"/>
  <c r="P492" i="8" s="1"/>
  <c r="AK491" i="8"/>
  <c r="AJ491" i="8"/>
  <c r="AI491" i="8"/>
  <c r="O491" i="8"/>
  <c r="Q491" i="8" s="1"/>
  <c r="N491" i="8"/>
  <c r="P491" i="8" s="1"/>
  <c r="AK490" i="8"/>
  <c r="AJ490" i="8"/>
  <c r="Q490" i="8"/>
  <c r="P490" i="8"/>
  <c r="Z488" i="8"/>
  <c r="M488" i="8"/>
  <c r="L488" i="8"/>
  <c r="K488" i="8"/>
  <c r="J488" i="8"/>
  <c r="I488" i="8"/>
  <c r="H488" i="8"/>
  <c r="O487" i="8"/>
  <c r="Q487" i="8" s="1"/>
  <c r="N487" i="8"/>
  <c r="P487" i="8" s="1"/>
  <c r="AK486" i="8"/>
  <c r="P486" i="8"/>
  <c r="O486" i="8"/>
  <c r="Q486" i="8" s="1"/>
  <c r="N486" i="8"/>
  <c r="AK485" i="8"/>
  <c r="Q485" i="8"/>
  <c r="O485" i="8"/>
  <c r="N485" i="8"/>
  <c r="P485" i="8" s="1"/>
  <c r="O484" i="8"/>
  <c r="Q484" i="8" s="1"/>
  <c r="N484" i="8"/>
  <c r="P484" i="8" s="1"/>
  <c r="AK483" i="8"/>
  <c r="O483" i="8"/>
  <c r="Q483" i="8" s="1"/>
  <c r="N483" i="8"/>
  <c r="P483" i="8" s="1"/>
  <c r="AK482" i="8"/>
  <c r="O482" i="8"/>
  <c r="Q482" i="8" s="1"/>
  <c r="N482" i="8"/>
  <c r="P482" i="8" s="1"/>
  <c r="O481" i="8"/>
  <c r="Q481" i="8" s="1"/>
  <c r="N481" i="8"/>
  <c r="P481" i="8" s="1"/>
  <c r="AK480" i="8"/>
  <c r="AJ480" i="8"/>
  <c r="Z479" i="8"/>
  <c r="M479" i="8"/>
  <c r="L479" i="8"/>
  <c r="K479" i="8"/>
  <c r="J479" i="8"/>
  <c r="I479" i="8"/>
  <c r="H479" i="8"/>
  <c r="N479" i="8" s="1"/>
  <c r="P479" i="8" s="1"/>
  <c r="O478" i="8"/>
  <c r="Q478" i="8" s="1"/>
  <c r="N478" i="8"/>
  <c r="P478" i="8" s="1"/>
  <c r="Q477" i="8"/>
  <c r="O477" i="8"/>
  <c r="N477" i="8"/>
  <c r="P477" i="8" s="1"/>
  <c r="AK476" i="8"/>
  <c r="O476" i="8"/>
  <c r="Q476" i="8" s="1"/>
  <c r="N476" i="8"/>
  <c r="P476" i="8" s="1"/>
  <c r="O475" i="8"/>
  <c r="Q475" i="8" s="1"/>
  <c r="N475" i="8"/>
  <c r="P475" i="8" s="1"/>
  <c r="O474" i="8"/>
  <c r="Q474" i="8" s="1"/>
  <c r="N474" i="8"/>
  <c r="P474" i="8" s="1"/>
  <c r="AK473" i="8"/>
  <c r="O473" i="8"/>
  <c r="Q473" i="8" s="1"/>
  <c r="N473" i="8"/>
  <c r="P473" i="8" s="1"/>
  <c r="AK472" i="8"/>
  <c r="O472" i="8"/>
  <c r="Q472" i="8" s="1"/>
  <c r="N472" i="8"/>
  <c r="P472" i="8" s="1"/>
  <c r="AK471" i="8"/>
  <c r="O471" i="8"/>
  <c r="Q471" i="8" s="1"/>
  <c r="N471" i="8"/>
  <c r="P471" i="8" s="1"/>
  <c r="AK470" i="8"/>
  <c r="AJ470" i="8"/>
  <c r="Z469" i="8"/>
  <c r="M469" i="8"/>
  <c r="L469" i="8"/>
  <c r="K469" i="8"/>
  <c r="J469" i="8"/>
  <c r="I469" i="8"/>
  <c r="H469" i="8"/>
  <c r="O468" i="8"/>
  <c r="Q468" i="8" s="1"/>
  <c r="N468" i="8"/>
  <c r="P468" i="8" s="1"/>
  <c r="AK467" i="8"/>
  <c r="O467" i="8"/>
  <c r="Q467" i="8" s="1"/>
  <c r="N467" i="8"/>
  <c r="P467" i="8" s="1"/>
  <c r="P466" i="8"/>
  <c r="O466" i="8"/>
  <c r="Q466" i="8" s="1"/>
  <c r="N466" i="8"/>
  <c r="AK465" i="8"/>
  <c r="AJ465" i="8"/>
  <c r="Q465" i="8"/>
  <c r="P465" i="8"/>
  <c r="Z464" i="8"/>
  <c r="M464" i="8"/>
  <c r="L464" i="8"/>
  <c r="K464" i="8"/>
  <c r="J464" i="8"/>
  <c r="I464" i="8"/>
  <c r="O464" i="8" s="1"/>
  <c r="Q464" i="8" s="1"/>
  <c r="H464" i="8"/>
  <c r="AK463" i="8"/>
  <c r="AJ463" i="8"/>
  <c r="AI463" i="8"/>
  <c r="O463" i="8"/>
  <c r="Q463" i="8" s="1"/>
  <c r="N463" i="8"/>
  <c r="P463" i="8" s="1"/>
  <c r="O462" i="8"/>
  <c r="Q462" i="8" s="1"/>
  <c r="N462" i="8"/>
  <c r="P462" i="8" s="1"/>
  <c r="AK461" i="8"/>
  <c r="O461" i="8"/>
  <c r="Q461" i="8" s="1"/>
  <c r="N461" i="8"/>
  <c r="P461" i="8" s="1"/>
  <c r="AK460" i="8"/>
  <c r="P460" i="8"/>
  <c r="O460" i="8"/>
  <c r="Q460" i="8" s="1"/>
  <c r="N460" i="8"/>
  <c r="AK459" i="8"/>
  <c r="Q459" i="8"/>
  <c r="O459" i="8"/>
  <c r="N459" i="8"/>
  <c r="P459" i="8" s="1"/>
  <c r="AK458" i="8"/>
  <c r="O458" i="8"/>
  <c r="Q458" i="8" s="1"/>
  <c r="N458" i="8"/>
  <c r="P458" i="8" s="1"/>
  <c r="AK457" i="8"/>
  <c r="O457" i="8"/>
  <c r="Q457" i="8" s="1"/>
  <c r="N457" i="8"/>
  <c r="P457" i="8" s="1"/>
  <c r="AK456" i="8"/>
  <c r="AJ456" i="8"/>
  <c r="M455" i="8"/>
  <c r="Z454" i="8"/>
  <c r="Z455" i="8" s="1"/>
  <c r="M454" i="8"/>
  <c r="L454" i="8"/>
  <c r="L455" i="8" s="1"/>
  <c r="K454" i="8"/>
  <c r="K455" i="8" s="1"/>
  <c r="J454" i="8"/>
  <c r="J455" i="8" s="1"/>
  <c r="I454" i="8"/>
  <c r="H454" i="8"/>
  <c r="AK453" i="8"/>
  <c r="O453" i="8"/>
  <c r="Q453" i="8" s="1"/>
  <c r="N453" i="8"/>
  <c r="P453" i="8" s="1"/>
  <c r="O452" i="8"/>
  <c r="Q452" i="8" s="1"/>
  <c r="N452" i="8"/>
  <c r="P452" i="8" s="1"/>
  <c r="O451" i="8"/>
  <c r="Q451" i="8" s="1"/>
  <c r="N451" i="8"/>
  <c r="P451" i="8" s="1"/>
  <c r="O450" i="8"/>
  <c r="Q450" i="8" s="1"/>
  <c r="N450" i="8"/>
  <c r="P450" i="8" s="1"/>
  <c r="O449" i="8"/>
  <c r="Q449" i="8" s="1"/>
  <c r="N449" i="8"/>
  <c r="P449" i="8" s="1"/>
  <c r="O448" i="8"/>
  <c r="Q448" i="8" s="1"/>
  <c r="N448" i="8"/>
  <c r="P448" i="8" s="1"/>
  <c r="O447" i="8"/>
  <c r="Q447" i="8" s="1"/>
  <c r="N447" i="8"/>
  <c r="P447" i="8" s="1"/>
  <c r="O446" i="8"/>
  <c r="Q446" i="8" s="1"/>
  <c r="N446" i="8"/>
  <c r="P446" i="8" s="1"/>
  <c r="O445" i="8"/>
  <c r="Q445" i="8" s="1"/>
  <c r="N445" i="8"/>
  <c r="P445" i="8" s="1"/>
  <c r="O444" i="8"/>
  <c r="Q444" i="8" s="1"/>
  <c r="N444" i="8"/>
  <c r="P444" i="8" s="1"/>
  <c r="AE441" i="8"/>
  <c r="AB441" i="8"/>
  <c r="Z441" i="8"/>
  <c r="M441" i="8"/>
  <c r="L441" i="8"/>
  <c r="K441" i="8"/>
  <c r="J441" i="8"/>
  <c r="I441" i="8"/>
  <c r="H441" i="8"/>
  <c r="O440" i="8"/>
  <c r="Q440" i="8" s="1"/>
  <c r="N440" i="8"/>
  <c r="P440" i="8" s="1"/>
  <c r="O439" i="8"/>
  <c r="Q439" i="8" s="1"/>
  <c r="N439" i="8"/>
  <c r="P439" i="8" s="1"/>
  <c r="O438" i="8"/>
  <c r="Q438" i="8" s="1"/>
  <c r="N438" i="8"/>
  <c r="P438" i="8" s="1"/>
  <c r="AD437" i="8"/>
  <c r="AC437" i="8"/>
  <c r="AJ437" i="8" s="1"/>
  <c r="O437" i="8"/>
  <c r="Q437" i="8" s="1"/>
  <c r="N437" i="8"/>
  <c r="P437" i="8" s="1"/>
  <c r="O436" i="8"/>
  <c r="Q436" i="8" s="1"/>
  <c r="N436" i="8"/>
  <c r="P436" i="8" s="1"/>
  <c r="Q435" i="8"/>
  <c r="O435" i="8"/>
  <c r="N435" i="8"/>
  <c r="P435" i="8" s="1"/>
  <c r="O434" i="8"/>
  <c r="Q434" i="8" s="1"/>
  <c r="N434" i="8"/>
  <c r="P434" i="8" s="1"/>
  <c r="O433" i="8"/>
  <c r="Q433" i="8" s="1"/>
  <c r="N433" i="8"/>
  <c r="P433" i="8" s="1"/>
  <c r="Q432" i="8"/>
  <c r="O432" i="8"/>
  <c r="N432" i="8"/>
  <c r="P432" i="8" s="1"/>
  <c r="Q431" i="8"/>
  <c r="O431" i="8"/>
  <c r="N431" i="8"/>
  <c r="P431" i="8" s="1"/>
  <c r="Q430" i="8"/>
  <c r="P430" i="8"/>
  <c r="Q429" i="8"/>
  <c r="P429" i="8"/>
  <c r="AE427" i="8"/>
  <c r="AD427" i="8"/>
  <c r="AD428" i="8" s="1"/>
  <c r="AC427" i="8"/>
  <c r="AB427" i="8"/>
  <c r="Z427" i="8"/>
  <c r="Q427" i="8"/>
  <c r="L427" i="8"/>
  <c r="J427" i="8"/>
  <c r="H427" i="8"/>
  <c r="N427" i="8" s="1"/>
  <c r="P427" i="8" s="1"/>
  <c r="Q426" i="8"/>
  <c r="N426" i="8"/>
  <c r="P426" i="8" s="1"/>
  <c r="Q425" i="8"/>
  <c r="N425" i="8"/>
  <c r="P425" i="8" s="1"/>
  <c r="Z423" i="8"/>
  <c r="Z428" i="8" s="1"/>
  <c r="O422" i="8"/>
  <c r="Q422" i="8" s="1"/>
  <c r="N422" i="8"/>
  <c r="P422" i="8" s="1"/>
  <c r="O421" i="8"/>
  <c r="Q421" i="8" s="1"/>
  <c r="N421" i="8"/>
  <c r="P421" i="8" s="1"/>
  <c r="O420" i="8"/>
  <c r="Q420" i="8" s="1"/>
  <c r="N420" i="8"/>
  <c r="P420" i="8" s="1"/>
  <c r="O419" i="8"/>
  <c r="Q419" i="8" s="1"/>
  <c r="N419" i="8"/>
  <c r="P419" i="8" s="1"/>
  <c r="O418" i="8"/>
  <c r="Q418" i="8" s="1"/>
  <c r="N418" i="8"/>
  <c r="P418" i="8" s="1"/>
  <c r="O417" i="8"/>
  <c r="Q417" i="8" s="1"/>
  <c r="N417" i="8"/>
  <c r="P417" i="8" s="1"/>
  <c r="O416" i="8"/>
  <c r="Q416" i="8" s="1"/>
  <c r="N416" i="8"/>
  <c r="P416" i="8" s="1"/>
  <c r="O415" i="8"/>
  <c r="Q415" i="8" s="1"/>
  <c r="N415" i="8"/>
  <c r="P415" i="8" s="1"/>
  <c r="O414" i="8"/>
  <c r="Q414" i="8" s="1"/>
  <c r="N414" i="8"/>
  <c r="P414" i="8" s="1"/>
  <c r="Q413" i="8"/>
  <c r="N413" i="8"/>
  <c r="P413" i="8" s="1"/>
  <c r="O412" i="8"/>
  <c r="Q412" i="8" s="1"/>
  <c r="N412" i="8"/>
  <c r="P412" i="8" s="1"/>
  <c r="O411" i="8"/>
  <c r="Q411" i="8" s="1"/>
  <c r="N411" i="8"/>
  <c r="P411" i="8" s="1"/>
  <c r="O410" i="8"/>
  <c r="Q410" i="8" s="1"/>
  <c r="N410" i="8"/>
  <c r="P410" i="8" s="1"/>
  <c r="O409" i="8"/>
  <c r="Q409" i="8" s="1"/>
  <c r="N409" i="8"/>
  <c r="P409" i="8" s="1"/>
  <c r="O408" i="8"/>
  <c r="Q408" i="8" s="1"/>
  <c r="N408" i="8"/>
  <c r="P408" i="8" s="1"/>
  <c r="O407" i="8"/>
  <c r="Q407" i="8" s="1"/>
  <c r="N407" i="8"/>
  <c r="P407" i="8" s="1"/>
  <c r="Q406" i="8"/>
  <c r="N406" i="8"/>
  <c r="P406" i="8" s="1"/>
  <c r="M405" i="8"/>
  <c r="M423" i="8" s="1"/>
  <c r="M428" i="8" s="1"/>
  <c r="L405" i="8"/>
  <c r="K405" i="8"/>
  <c r="K423" i="8" s="1"/>
  <c r="J405" i="8"/>
  <c r="J423" i="8" s="1"/>
  <c r="I405" i="8"/>
  <c r="I423" i="8" s="1"/>
  <c r="I428" i="8" s="1"/>
  <c r="H405" i="8"/>
  <c r="H423" i="8" s="1"/>
  <c r="P404" i="8"/>
  <c r="O404" i="8"/>
  <c r="Q404" i="8" s="1"/>
  <c r="N404" i="8"/>
  <c r="O402" i="8"/>
  <c r="Q402" i="8" s="1"/>
  <c r="N402" i="8"/>
  <c r="P402" i="8" s="1"/>
  <c r="AE401" i="8"/>
  <c r="AE423" i="8" s="1"/>
  <c r="AD401" i="8"/>
  <c r="AD423" i="8" s="1"/>
  <c r="AC401" i="8"/>
  <c r="AC423" i="8" s="1"/>
  <c r="AB401" i="8"/>
  <c r="AB423" i="8" s="1"/>
  <c r="O401" i="8"/>
  <c r="Q401" i="8" s="1"/>
  <c r="N401" i="8"/>
  <c r="P401" i="8" s="1"/>
  <c r="O400" i="8"/>
  <c r="Q400" i="8" s="1"/>
  <c r="N400" i="8"/>
  <c r="P400" i="8" s="1"/>
  <c r="O399" i="8"/>
  <c r="Q399" i="8" s="1"/>
  <c r="N399" i="8"/>
  <c r="P399" i="8" s="1"/>
  <c r="Q398" i="8"/>
  <c r="O398" i="8"/>
  <c r="N398" i="8"/>
  <c r="P398" i="8" s="1"/>
  <c r="O397" i="8"/>
  <c r="Q397" i="8" s="1"/>
  <c r="N397" i="8"/>
  <c r="P397" i="8" s="1"/>
  <c r="O396" i="8"/>
  <c r="Q396" i="8" s="1"/>
  <c r="N396" i="8"/>
  <c r="P396" i="8" s="1"/>
  <c r="O395" i="8"/>
  <c r="Q395" i="8" s="1"/>
  <c r="N395" i="8"/>
  <c r="P395" i="8" s="1"/>
  <c r="O394" i="8"/>
  <c r="Q394" i="8" s="1"/>
  <c r="N394" i="8"/>
  <c r="P394" i="8" s="1"/>
  <c r="O393" i="8"/>
  <c r="Q393" i="8" s="1"/>
  <c r="N393" i="8"/>
  <c r="P393" i="8" s="1"/>
  <c r="O392" i="8"/>
  <c r="Q392" i="8" s="1"/>
  <c r="N392" i="8"/>
  <c r="P392" i="8" s="1"/>
  <c r="O391" i="8"/>
  <c r="Q391" i="8" s="1"/>
  <c r="N391" i="8"/>
  <c r="P391" i="8" s="1"/>
  <c r="O390" i="8"/>
  <c r="Q390" i="8" s="1"/>
  <c r="N390" i="8"/>
  <c r="P390" i="8" s="1"/>
  <c r="O389" i="8"/>
  <c r="Q389" i="8" s="1"/>
  <c r="N389" i="8"/>
  <c r="P389" i="8" s="1"/>
  <c r="O388" i="8"/>
  <c r="Q388" i="8" s="1"/>
  <c r="N388" i="8"/>
  <c r="P388" i="8" s="1"/>
  <c r="O387" i="8"/>
  <c r="Q387" i="8" s="1"/>
  <c r="N387" i="8"/>
  <c r="P387" i="8" s="1"/>
  <c r="O385" i="8"/>
  <c r="Q385" i="8" s="1"/>
  <c r="N385" i="8"/>
  <c r="P385" i="8" s="1"/>
  <c r="O384" i="8"/>
  <c r="Q384" i="8" s="1"/>
  <c r="N384" i="8"/>
  <c r="P384" i="8" s="1"/>
  <c r="Q383" i="8"/>
  <c r="N383" i="8"/>
  <c r="P383" i="8" s="1"/>
  <c r="O382" i="8"/>
  <c r="Q382" i="8" s="1"/>
  <c r="N382" i="8"/>
  <c r="P382" i="8" s="1"/>
  <c r="O381" i="8"/>
  <c r="Q381" i="8" s="1"/>
  <c r="N381" i="8"/>
  <c r="P381" i="8" s="1"/>
  <c r="O380" i="8"/>
  <c r="Q380" i="8" s="1"/>
  <c r="N380" i="8"/>
  <c r="P380" i="8" s="1"/>
  <c r="O379" i="8"/>
  <c r="Q379" i="8" s="1"/>
  <c r="N379" i="8"/>
  <c r="P379" i="8" s="1"/>
  <c r="Z376" i="8"/>
  <c r="M376" i="8"/>
  <c r="L376" i="8"/>
  <c r="K376" i="8"/>
  <c r="J376" i="8"/>
  <c r="I376" i="8"/>
  <c r="H376" i="8"/>
  <c r="N376" i="8" s="1"/>
  <c r="P376" i="8" s="1"/>
  <c r="AE375" i="8"/>
  <c r="AD375" i="8"/>
  <c r="AC375" i="8"/>
  <c r="AB375" i="8"/>
  <c r="O375" i="8"/>
  <c r="Q375" i="8" s="1"/>
  <c r="N375" i="8"/>
  <c r="P375" i="8" s="1"/>
  <c r="AE374" i="8"/>
  <c r="AD374" i="8"/>
  <c r="AC374" i="8"/>
  <c r="AB374" i="8"/>
  <c r="O374" i="8"/>
  <c r="Q374" i="8" s="1"/>
  <c r="N374" i="8"/>
  <c r="P374" i="8" s="1"/>
  <c r="AE373" i="8"/>
  <c r="AD373" i="8"/>
  <c r="AC373" i="8"/>
  <c r="AB373" i="8"/>
  <c r="Q373" i="8"/>
  <c r="O373" i="8"/>
  <c r="N373" i="8"/>
  <c r="P373" i="8" s="1"/>
  <c r="Q372" i="8"/>
  <c r="P372" i="8"/>
  <c r="Z371" i="8"/>
  <c r="M371" i="8"/>
  <c r="L371" i="8"/>
  <c r="K371" i="8"/>
  <c r="J371" i="8"/>
  <c r="I371" i="8"/>
  <c r="H371" i="8"/>
  <c r="O370" i="8"/>
  <c r="Q370" i="8" s="1"/>
  <c r="N370" i="8"/>
  <c r="P370" i="8" s="1"/>
  <c r="O369" i="8"/>
  <c r="Q369" i="8" s="1"/>
  <c r="N369" i="8"/>
  <c r="P369" i="8" s="1"/>
  <c r="O368" i="8"/>
  <c r="Q368" i="8" s="1"/>
  <c r="N368" i="8"/>
  <c r="P368" i="8" s="1"/>
  <c r="AE367" i="8"/>
  <c r="AE371" i="8" s="1"/>
  <c r="AD367" i="8"/>
  <c r="AD371" i="8" s="1"/>
  <c r="AC367" i="8"/>
  <c r="AC371" i="8" s="1"/>
  <c r="AB367" i="8"/>
  <c r="AB371" i="8" s="1"/>
  <c r="O367" i="8"/>
  <c r="Q367" i="8" s="1"/>
  <c r="N367" i="8"/>
  <c r="P367" i="8" s="1"/>
  <c r="O366" i="8"/>
  <c r="Q366" i="8" s="1"/>
  <c r="N366" i="8"/>
  <c r="P366" i="8" s="1"/>
  <c r="O362" i="8"/>
  <c r="Q362" i="8" s="1"/>
  <c r="N362" i="8"/>
  <c r="P362" i="8" s="1"/>
  <c r="AE361" i="8"/>
  <c r="AD361" i="8"/>
  <c r="AC361" i="8"/>
  <c r="AB361" i="8"/>
  <c r="Z361" i="8"/>
  <c r="M361" i="8"/>
  <c r="L361" i="8"/>
  <c r="K361" i="8"/>
  <c r="J361" i="8"/>
  <c r="I361" i="8"/>
  <c r="H361" i="8"/>
  <c r="O360" i="8"/>
  <c r="Q360" i="8" s="1"/>
  <c r="N360" i="8"/>
  <c r="P360" i="8" s="1"/>
  <c r="O359" i="8"/>
  <c r="Q359" i="8" s="1"/>
  <c r="N359" i="8"/>
  <c r="P359" i="8" s="1"/>
  <c r="O357" i="8"/>
  <c r="Q357" i="8" s="1"/>
  <c r="N357" i="8"/>
  <c r="P357" i="8" s="1"/>
  <c r="O356" i="8"/>
  <c r="Q356" i="8" s="1"/>
  <c r="N356" i="8"/>
  <c r="P356" i="8" s="1"/>
  <c r="O355" i="8"/>
  <c r="Q355" i="8" s="1"/>
  <c r="N355" i="8"/>
  <c r="P355" i="8" s="1"/>
  <c r="O354" i="8"/>
  <c r="Q354" i="8" s="1"/>
  <c r="N354" i="8"/>
  <c r="P354" i="8" s="1"/>
  <c r="O353" i="8"/>
  <c r="Q353" i="8" s="1"/>
  <c r="N353" i="8"/>
  <c r="P353" i="8" s="1"/>
  <c r="O352" i="8"/>
  <c r="Q352" i="8" s="1"/>
  <c r="N352" i="8"/>
  <c r="P352" i="8" s="1"/>
  <c r="O351" i="8"/>
  <c r="Q351" i="8" s="1"/>
  <c r="N351" i="8"/>
  <c r="P351" i="8" s="1"/>
  <c r="O350" i="8"/>
  <c r="Q350" i="8" s="1"/>
  <c r="N350" i="8"/>
  <c r="P350" i="8" s="1"/>
  <c r="O349" i="8"/>
  <c r="Q349" i="8" s="1"/>
  <c r="N349" i="8"/>
  <c r="P349" i="8" s="1"/>
  <c r="O348" i="8"/>
  <c r="Q348" i="8" s="1"/>
  <c r="N348" i="8"/>
  <c r="P348" i="8" s="1"/>
  <c r="O347" i="8"/>
  <c r="Q347" i="8" s="1"/>
  <c r="N347" i="8"/>
  <c r="P347" i="8" s="1"/>
  <c r="O346" i="8"/>
  <c r="Q346" i="8" s="1"/>
  <c r="N346" i="8"/>
  <c r="P346" i="8" s="1"/>
  <c r="Q345" i="8"/>
  <c r="N345" i="8"/>
  <c r="P345" i="8" s="1"/>
  <c r="P344" i="8"/>
  <c r="O344" i="8"/>
  <c r="Q344" i="8" s="1"/>
  <c r="N344" i="8"/>
  <c r="P343" i="8"/>
  <c r="O343" i="8"/>
  <c r="Q343" i="8" s="1"/>
  <c r="N343" i="8"/>
  <c r="AE342" i="8"/>
  <c r="AD342" i="8"/>
  <c r="AC342" i="8"/>
  <c r="AB342" i="8"/>
  <c r="AB363" i="8" s="1"/>
  <c r="Z342" i="8"/>
  <c r="Z363" i="8" s="1"/>
  <c r="M342" i="8"/>
  <c r="M363" i="8" s="1"/>
  <c r="L342" i="8"/>
  <c r="L363" i="8" s="1"/>
  <c r="K342" i="8"/>
  <c r="J342" i="8"/>
  <c r="I342" i="8"/>
  <c r="H342" i="8"/>
  <c r="O341" i="8"/>
  <c r="Q341" i="8" s="1"/>
  <c r="N341" i="8"/>
  <c r="P341" i="8" s="1"/>
  <c r="O339" i="8"/>
  <c r="Q339" i="8" s="1"/>
  <c r="N339" i="8"/>
  <c r="P339" i="8" s="1"/>
  <c r="Q338" i="8"/>
  <c r="N338" i="8"/>
  <c r="P338" i="8" s="1"/>
  <c r="O337" i="8"/>
  <c r="Q337" i="8" s="1"/>
  <c r="N337" i="8"/>
  <c r="P337" i="8" s="1"/>
  <c r="Q336" i="8"/>
  <c r="N336" i="8"/>
  <c r="P336" i="8" s="1"/>
  <c r="AH335" i="8"/>
  <c r="O332" i="8"/>
  <c r="Q332" i="8" s="1"/>
  <c r="N332" i="8"/>
  <c r="P332" i="8" s="1"/>
  <c r="AE331" i="8"/>
  <c r="AD331" i="8"/>
  <c r="AC331" i="8"/>
  <c r="AB331" i="8"/>
  <c r="Z331" i="8"/>
  <c r="M331" i="8"/>
  <c r="L331" i="8"/>
  <c r="K331" i="8"/>
  <c r="J331" i="8"/>
  <c r="I331" i="8"/>
  <c r="H331" i="8"/>
  <c r="O330" i="8"/>
  <c r="Q330" i="8" s="1"/>
  <c r="N330" i="8"/>
  <c r="P330" i="8" s="1"/>
  <c r="AE328" i="8"/>
  <c r="AD328" i="8"/>
  <c r="AC328" i="8"/>
  <c r="AB328" i="8"/>
  <c r="Z328" i="8"/>
  <c r="M328" i="8"/>
  <c r="L328" i="8"/>
  <c r="K328" i="8"/>
  <c r="J328" i="8"/>
  <c r="N328" i="8" s="1"/>
  <c r="P328" i="8" s="1"/>
  <c r="I328" i="8"/>
  <c r="H328" i="8"/>
  <c r="O326" i="8"/>
  <c r="Q326" i="8" s="1"/>
  <c r="N326" i="8"/>
  <c r="P326" i="8" s="1"/>
  <c r="O325" i="8"/>
  <c r="Q325" i="8" s="1"/>
  <c r="N325" i="8"/>
  <c r="P325" i="8" s="1"/>
  <c r="O324" i="8"/>
  <c r="Q324" i="8" s="1"/>
  <c r="N324" i="8"/>
  <c r="P324" i="8" s="1"/>
  <c r="O323" i="8"/>
  <c r="Q323" i="8" s="1"/>
  <c r="N323" i="8"/>
  <c r="P323" i="8" s="1"/>
  <c r="O322" i="8"/>
  <c r="Q322" i="8" s="1"/>
  <c r="N322" i="8"/>
  <c r="P322" i="8" s="1"/>
  <c r="O321" i="8"/>
  <c r="Q321" i="8" s="1"/>
  <c r="N321" i="8"/>
  <c r="P321" i="8" s="1"/>
  <c r="AE319" i="8"/>
  <c r="AD319" i="8"/>
  <c r="AC319" i="8"/>
  <c r="AB319" i="8"/>
  <c r="Z319" i="8"/>
  <c r="M319" i="8"/>
  <c r="L319" i="8"/>
  <c r="K319" i="8"/>
  <c r="J319" i="8"/>
  <c r="I319" i="8"/>
  <c r="H319" i="8"/>
  <c r="O318" i="8"/>
  <c r="Q318" i="8" s="1"/>
  <c r="N318" i="8"/>
  <c r="P318" i="8" s="1"/>
  <c r="O317" i="8"/>
  <c r="Q317" i="8" s="1"/>
  <c r="N317" i="8"/>
  <c r="P317" i="8" s="1"/>
  <c r="O316" i="8"/>
  <c r="Q316" i="8" s="1"/>
  <c r="N316" i="8"/>
  <c r="P316" i="8" s="1"/>
  <c r="O315" i="8"/>
  <c r="Q315" i="8" s="1"/>
  <c r="N315" i="8"/>
  <c r="P315" i="8" s="1"/>
  <c r="O314" i="8"/>
  <c r="Q314" i="8" s="1"/>
  <c r="N314" i="8"/>
  <c r="P314" i="8" s="1"/>
  <c r="O313" i="8"/>
  <c r="Q313" i="8" s="1"/>
  <c r="N313" i="8"/>
  <c r="P313" i="8" s="1"/>
  <c r="O312" i="8"/>
  <c r="Q312" i="8" s="1"/>
  <c r="N312" i="8"/>
  <c r="P312" i="8" s="1"/>
  <c r="O311" i="8"/>
  <c r="Q311" i="8" s="1"/>
  <c r="N311" i="8"/>
  <c r="P311" i="8" s="1"/>
  <c r="O310" i="8"/>
  <c r="Q310" i="8" s="1"/>
  <c r="N310" i="8"/>
  <c r="P310" i="8" s="1"/>
  <c r="O309" i="8"/>
  <c r="Q309" i="8" s="1"/>
  <c r="N309" i="8"/>
  <c r="P309" i="8" s="1"/>
  <c r="AE307" i="8"/>
  <c r="AD307" i="8"/>
  <c r="AC307" i="8"/>
  <c r="AB307" i="8"/>
  <c r="Z307" i="8"/>
  <c r="M307" i="8"/>
  <c r="L307" i="8"/>
  <c r="K307" i="8"/>
  <c r="J307" i="8"/>
  <c r="I307" i="8"/>
  <c r="H307" i="8"/>
  <c r="O306" i="8"/>
  <c r="Q306" i="8" s="1"/>
  <c r="N306" i="8"/>
  <c r="P306" i="8" s="1"/>
  <c r="O305" i="8"/>
  <c r="Q305" i="8" s="1"/>
  <c r="N305" i="8"/>
  <c r="P305" i="8" s="1"/>
  <c r="O304" i="8"/>
  <c r="Q304" i="8" s="1"/>
  <c r="N304" i="8"/>
  <c r="P304" i="8" s="1"/>
  <c r="O303" i="8"/>
  <c r="Q303" i="8" s="1"/>
  <c r="N303" i="8"/>
  <c r="P303" i="8" s="1"/>
  <c r="AE301" i="8"/>
  <c r="AD301" i="8"/>
  <c r="AC301" i="8"/>
  <c r="AB301" i="8"/>
  <c r="Z301" i="8"/>
  <c r="M301" i="8"/>
  <c r="L301" i="8"/>
  <c r="K301" i="8"/>
  <c r="J301" i="8"/>
  <c r="I301" i="8"/>
  <c r="H301" i="8"/>
  <c r="O300" i="8"/>
  <c r="Q300" i="8" s="1"/>
  <c r="N300" i="8"/>
  <c r="P300" i="8" s="1"/>
  <c r="O299" i="8"/>
  <c r="Q299" i="8" s="1"/>
  <c r="N299" i="8"/>
  <c r="P299" i="8" s="1"/>
  <c r="O298" i="8"/>
  <c r="Q298" i="8" s="1"/>
  <c r="N298" i="8"/>
  <c r="P298" i="8" s="1"/>
  <c r="O297" i="8"/>
  <c r="Q297" i="8" s="1"/>
  <c r="N297" i="8"/>
  <c r="P297" i="8" s="1"/>
  <c r="O296" i="8"/>
  <c r="Q296" i="8" s="1"/>
  <c r="N296" i="8"/>
  <c r="P296" i="8" s="1"/>
  <c r="O295" i="8"/>
  <c r="Q295" i="8" s="1"/>
  <c r="N295" i="8"/>
  <c r="P295" i="8" s="1"/>
  <c r="O294" i="8"/>
  <c r="Q294" i="8" s="1"/>
  <c r="N294" i="8"/>
  <c r="P294" i="8" s="1"/>
  <c r="O293" i="8"/>
  <c r="Q293" i="8" s="1"/>
  <c r="N293" i="8"/>
  <c r="P293" i="8" s="1"/>
  <c r="O292" i="8"/>
  <c r="Q292" i="8" s="1"/>
  <c r="N292" i="8"/>
  <c r="P292" i="8" s="1"/>
  <c r="O291" i="8"/>
  <c r="Q291" i="8" s="1"/>
  <c r="N291" i="8"/>
  <c r="P291" i="8" s="1"/>
  <c r="O290" i="8"/>
  <c r="Q290" i="8" s="1"/>
  <c r="N290" i="8"/>
  <c r="P290" i="8" s="1"/>
  <c r="AE288" i="8"/>
  <c r="AD288" i="8"/>
  <c r="AC288" i="8"/>
  <c r="AB288" i="8"/>
  <c r="Z288" i="8"/>
  <c r="M288" i="8"/>
  <c r="L288" i="8"/>
  <c r="K288" i="8"/>
  <c r="J288" i="8"/>
  <c r="I288" i="8"/>
  <c r="H288" i="8"/>
  <c r="O287" i="8"/>
  <c r="Q287" i="8" s="1"/>
  <c r="N287" i="8"/>
  <c r="P287" i="8" s="1"/>
  <c r="O286" i="8"/>
  <c r="Q286" i="8" s="1"/>
  <c r="N286" i="8"/>
  <c r="P286" i="8" s="1"/>
  <c r="O285" i="8"/>
  <c r="Q285" i="8" s="1"/>
  <c r="N285" i="8"/>
  <c r="P285" i="8" s="1"/>
  <c r="O284" i="8"/>
  <c r="Q284" i="8" s="1"/>
  <c r="N284" i="8"/>
  <c r="P284" i="8" s="1"/>
  <c r="O283" i="8"/>
  <c r="Q283" i="8" s="1"/>
  <c r="N283" i="8"/>
  <c r="P283" i="8" s="1"/>
  <c r="O282" i="8"/>
  <c r="Q282" i="8" s="1"/>
  <c r="N282" i="8"/>
  <c r="P282" i="8" s="1"/>
  <c r="Q281" i="8"/>
  <c r="P281" i="8"/>
  <c r="AE280" i="8"/>
  <c r="AD280" i="8"/>
  <c r="AC280" i="8"/>
  <c r="AB280" i="8"/>
  <c r="Z280" i="8"/>
  <c r="M280" i="8"/>
  <c r="L280" i="8"/>
  <c r="K280" i="8"/>
  <c r="J280" i="8"/>
  <c r="I280" i="8"/>
  <c r="H280" i="8"/>
  <c r="O279" i="8"/>
  <c r="Q279" i="8" s="1"/>
  <c r="N279" i="8"/>
  <c r="P279" i="8" s="1"/>
  <c r="O278" i="8"/>
  <c r="Q278" i="8" s="1"/>
  <c r="N278" i="8"/>
  <c r="P278" i="8" s="1"/>
  <c r="O277" i="8"/>
  <c r="Q277" i="8" s="1"/>
  <c r="N277" i="8"/>
  <c r="P277" i="8" s="1"/>
  <c r="O276" i="8"/>
  <c r="Q276" i="8" s="1"/>
  <c r="N276" i="8"/>
  <c r="P276" i="8" s="1"/>
  <c r="O275" i="8"/>
  <c r="Q275" i="8" s="1"/>
  <c r="N275" i="8"/>
  <c r="P275" i="8" s="1"/>
  <c r="O274" i="8"/>
  <c r="Q274" i="8" s="1"/>
  <c r="N274" i="8"/>
  <c r="P274" i="8" s="1"/>
  <c r="Q273" i="8"/>
  <c r="O273" i="8"/>
  <c r="N273" i="8"/>
  <c r="P273" i="8" s="1"/>
  <c r="O272" i="8"/>
  <c r="Q272" i="8" s="1"/>
  <c r="N272" i="8"/>
  <c r="P272" i="8" s="1"/>
  <c r="O271" i="8"/>
  <c r="Q271" i="8" s="1"/>
  <c r="N271" i="8"/>
  <c r="P271" i="8" s="1"/>
  <c r="O270" i="8"/>
  <c r="Q270" i="8" s="1"/>
  <c r="N270" i="8"/>
  <c r="P270" i="8" s="1"/>
  <c r="O269" i="8"/>
  <c r="Q269" i="8" s="1"/>
  <c r="N269" i="8"/>
  <c r="P269" i="8" s="1"/>
  <c r="O268" i="8"/>
  <c r="Q268" i="8" s="1"/>
  <c r="N268" i="8"/>
  <c r="P268" i="8" s="1"/>
  <c r="O267" i="8"/>
  <c r="Q267" i="8" s="1"/>
  <c r="N267" i="8"/>
  <c r="P267" i="8" s="1"/>
  <c r="O266" i="8"/>
  <c r="Q266" i="8" s="1"/>
  <c r="N266" i="8"/>
  <c r="P266" i="8" s="1"/>
  <c r="O265" i="8"/>
  <c r="Q265" i="8" s="1"/>
  <c r="N265" i="8"/>
  <c r="P265" i="8" s="1"/>
  <c r="AE263" i="8"/>
  <c r="AD263" i="8"/>
  <c r="AC263" i="8"/>
  <c r="AB263" i="8"/>
  <c r="Z263" i="8"/>
  <c r="M263" i="8"/>
  <c r="L263" i="8"/>
  <c r="K263" i="8"/>
  <c r="J263" i="8"/>
  <c r="I263" i="8"/>
  <c r="H263" i="8"/>
  <c r="O262" i="8"/>
  <c r="Q262" i="8" s="1"/>
  <c r="N262" i="8"/>
  <c r="P262" i="8" s="1"/>
  <c r="O261" i="8"/>
  <c r="Q261" i="8" s="1"/>
  <c r="N261" i="8"/>
  <c r="P261" i="8" s="1"/>
  <c r="O260" i="8"/>
  <c r="Q260" i="8" s="1"/>
  <c r="N260" i="8"/>
  <c r="P260" i="8" s="1"/>
  <c r="O259" i="8"/>
  <c r="Q259" i="8" s="1"/>
  <c r="N259" i="8"/>
  <c r="P259" i="8" s="1"/>
  <c r="Q258" i="8"/>
  <c r="P258" i="8"/>
  <c r="AE257" i="8"/>
  <c r="AD257" i="8"/>
  <c r="AC257" i="8"/>
  <c r="AB257" i="8"/>
  <c r="Z257" i="8"/>
  <c r="M257" i="8"/>
  <c r="L257" i="8"/>
  <c r="K257" i="8"/>
  <c r="J257" i="8"/>
  <c r="I257" i="8"/>
  <c r="H257" i="8"/>
  <c r="O256" i="8"/>
  <c r="Q256" i="8" s="1"/>
  <c r="N256" i="8"/>
  <c r="P256" i="8" s="1"/>
  <c r="O255" i="8"/>
  <c r="Q255" i="8" s="1"/>
  <c r="N255" i="8"/>
  <c r="P255" i="8" s="1"/>
  <c r="Q254" i="8"/>
  <c r="N254" i="8"/>
  <c r="P254" i="8" s="1"/>
  <c r="O253" i="8"/>
  <c r="Q253" i="8" s="1"/>
  <c r="N253" i="8"/>
  <c r="P253" i="8" s="1"/>
  <c r="O252" i="8"/>
  <c r="Q252" i="8" s="1"/>
  <c r="N252" i="8"/>
  <c r="P252" i="8" s="1"/>
  <c r="O251" i="8"/>
  <c r="Q251" i="8" s="1"/>
  <c r="N251" i="8"/>
  <c r="P251" i="8" s="1"/>
  <c r="Q250" i="8"/>
  <c r="N250" i="8"/>
  <c r="P250" i="8" s="1"/>
  <c r="O249" i="8"/>
  <c r="Q249" i="8" s="1"/>
  <c r="N249" i="8"/>
  <c r="P249" i="8" s="1"/>
  <c r="O248" i="8"/>
  <c r="Q248" i="8" s="1"/>
  <c r="N248" i="8"/>
  <c r="P248" i="8" s="1"/>
  <c r="O247" i="8"/>
  <c r="Q247" i="8" s="1"/>
  <c r="N247" i="8"/>
  <c r="P247" i="8" s="1"/>
  <c r="O246" i="8"/>
  <c r="Q246" i="8" s="1"/>
  <c r="N246" i="8"/>
  <c r="P246" i="8" s="1"/>
  <c r="O245" i="8"/>
  <c r="Q245" i="8" s="1"/>
  <c r="N245" i="8"/>
  <c r="P245" i="8" s="1"/>
  <c r="Q244" i="8"/>
  <c r="N244" i="8"/>
  <c r="P244" i="8" s="1"/>
  <c r="O243" i="8"/>
  <c r="Q243" i="8" s="1"/>
  <c r="N243" i="8"/>
  <c r="P243" i="8" s="1"/>
  <c r="O242" i="8"/>
  <c r="Q242" i="8" s="1"/>
  <c r="N242" i="8"/>
  <c r="P242" i="8" s="1"/>
  <c r="O241" i="8"/>
  <c r="Q241" i="8" s="1"/>
  <c r="N241" i="8"/>
  <c r="P241" i="8" s="1"/>
  <c r="O240" i="8"/>
  <c r="Q240" i="8" s="1"/>
  <c r="N240" i="8"/>
  <c r="P240" i="8" s="1"/>
  <c r="O239" i="8"/>
  <c r="Q239" i="8" s="1"/>
  <c r="N239" i="8"/>
  <c r="P239" i="8" s="1"/>
  <c r="O238" i="8"/>
  <c r="Q238" i="8" s="1"/>
  <c r="N238" i="8"/>
  <c r="P238" i="8" s="1"/>
  <c r="O237" i="8"/>
  <c r="Q237" i="8" s="1"/>
  <c r="N237" i="8"/>
  <c r="P237" i="8" s="1"/>
  <c r="O236" i="8"/>
  <c r="Q236" i="8" s="1"/>
  <c r="N236" i="8"/>
  <c r="P236" i="8" s="1"/>
  <c r="AE234" i="8"/>
  <c r="AD234" i="8"/>
  <c r="AC234" i="8"/>
  <c r="AB234" i="8"/>
  <c r="Z234" i="8"/>
  <c r="M234" i="8"/>
  <c r="L234" i="8"/>
  <c r="K234" i="8"/>
  <c r="J234" i="8"/>
  <c r="I234" i="8"/>
  <c r="H234" i="8"/>
  <c r="O233" i="8"/>
  <c r="Q233" i="8" s="1"/>
  <c r="N233" i="8"/>
  <c r="P233" i="8" s="1"/>
  <c r="O232" i="8"/>
  <c r="Q232" i="8" s="1"/>
  <c r="N232" i="8"/>
  <c r="P232" i="8" s="1"/>
  <c r="O231" i="8"/>
  <c r="Q231" i="8" s="1"/>
  <c r="N231" i="8"/>
  <c r="P231" i="8" s="1"/>
  <c r="O230" i="8"/>
  <c r="Q230" i="8" s="1"/>
  <c r="N230" i="8"/>
  <c r="P230" i="8" s="1"/>
  <c r="Q229" i="8"/>
  <c r="P229" i="8"/>
  <c r="O228" i="8"/>
  <c r="Q228" i="8" s="1"/>
  <c r="N228" i="8"/>
  <c r="P228" i="8" s="1"/>
  <c r="AE227" i="8"/>
  <c r="AD227" i="8"/>
  <c r="AC227" i="8"/>
  <c r="AB227" i="8"/>
  <c r="Z225" i="8"/>
  <c r="M225" i="8"/>
  <c r="L225" i="8"/>
  <c r="K225" i="8"/>
  <c r="J225" i="8"/>
  <c r="I225" i="8"/>
  <c r="H225" i="8"/>
  <c r="O224" i="8"/>
  <c r="Q224" i="8" s="1"/>
  <c r="N224" i="8"/>
  <c r="P224" i="8" s="1"/>
  <c r="AE223" i="8"/>
  <c r="AE225" i="8" s="1"/>
  <c r="AD223" i="8"/>
  <c r="AD225" i="8" s="1"/>
  <c r="AC223" i="8"/>
  <c r="AC225" i="8" s="1"/>
  <c r="AB223" i="8"/>
  <c r="AB225" i="8" s="1"/>
  <c r="O223" i="8"/>
  <c r="Q223" i="8" s="1"/>
  <c r="N223" i="8"/>
  <c r="P223" i="8" s="1"/>
  <c r="Q218" i="8"/>
  <c r="L218" i="8"/>
  <c r="J218" i="8"/>
  <c r="H218" i="8"/>
  <c r="Q217" i="8"/>
  <c r="N217" i="8"/>
  <c r="P217" i="8" s="1"/>
  <c r="AE215" i="8"/>
  <c r="AE219" i="8" s="1"/>
  <c r="AD215" i="8"/>
  <c r="AD219" i="8" s="1"/>
  <c r="AC215" i="8"/>
  <c r="AC219" i="8" s="1"/>
  <c r="AB215" i="8"/>
  <c r="AB219" i="8" s="1"/>
  <c r="Z215" i="8"/>
  <c r="Z219" i="8" s="1"/>
  <c r="M215" i="8"/>
  <c r="M219" i="8" s="1"/>
  <c r="L215" i="8"/>
  <c r="K215" i="8"/>
  <c r="J215" i="8"/>
  <c r="I215" i="8"/>
  <c r="I219" i="8" s="1"/>
  <c r="H215" i="8"/>
  <c r="O214" i="8"/>
  <c r="Q214" i="8" s="1"/>
  <c r="N214" i="8"/>
  <c r="P214" i="8" s="1"/>
  <c r="O213" i="8"/>
  <c r="Q213" i="8" s="1"/>
  <c r="N213" i="8"/>
  <c r="P213" i="8" s="1"/>
  <c r="Q212" i="8"/>
  <c r="N212" i="8"/>
  <c r="P212" i="8" s="1"/>
  <c r="O211" i="8"/>
  <c r="Q211" i="8" s="1"/>
  <c r="N211" i="8"/>
  <c r="P211" i="8" s="1"/>
  <c r="O210" i="8"/>
  <c r="Q210" i="8" s="1"/>
  <c r="N210" i="8"/>
  <c r="P210" i="8" s="1"/>
  <c r="AE207" i="8"/>
  <c r="AD207" i="8"/>
  <c r="AC207" i="8"/>
  <c r="AB207" i="8"/>
  <c r="Z207" i="8"/>
  <c r="M207" i="8"/>
  <c r="L207" i="8"/>
  <c r="K207" i="8"/>
  <c r="J207" i="8"/>
  <c r="I207" i="8"/>
  <c r="H207" i="8"/>
  <c r="O206" i="8"/>
  <c r="Q206" i="8" s="1"/>
  <c r="N206" i="8"/>
  <c r="P206" i="8" s="1"/>
  <c r="O205" i="8"/>
  <c r="Q205" i="8" s="1"/>
  <c r="N205" i="8"/>
  <c r="P205" i="8" s="1"/>
  <c r="Q204" i="8"/>
  <c r="N204" i="8"/>
  <c r="P204" i="8" s="1"/>
  <c r="O203" i="8"/>
  <c r="Q203" i="8" s="1"/>
  <c r="N203" i="8"/>
  <c r="P203" i="8" s="1"/>
  <c r="AE201" i="8"/>
  <c r="AD201" i="8"/>
  <c r="AC201" i="8"/>
  <c r="AB201" i="8"/>
  <c r="Z201" i="8"/>
  <c r="M201" i="8"/>
  <c r="L201" i="8"/>
  <c r="K201" i="8"/>
  <c r="J201" i="8"/>
  <c r="I201" i="8"/>
  <c r="H201" i="8"/>
  <c r="O200" i="8"/>
  <c r="Q200" i="8" s="1"/>
  <c r="N200" i="8"/>
  <c r="P200" i="8" s="1"/>
  <c r="Z198" i="8"/>
  <c r="M198" i="8"/>
  <c r="L198" i="8"/>
  <c r="K198" i="8"/>
  <c r="J198" i="8"/>
  <c r="I198" i="8"/>
  <c r="O198" i="8" s="1"/>
  <c r="Q198" i="8" s="1"/>
  <c r="H198" i="8"/>
  <c r="N198" i="8" s="1"/>
  <c r="P198" i="8" s="1"/>
  <c r="Q197" i="8"/>
  <c r="P197" i="8"/>
  <c r="O197" i="8"/>
  <c r="N197" i="8"/>
  <c r="AE196" i="8"/>
  <c r="AD196" i="8"/>
  <c r="AC196" i="8"/>
  <c r="AB196" i="8"/>
  <c r="O196" i="8"/>
  <c r="Q196" i="8" s="1"/>
  <c r="N196" i="8"/>
  <c r="P196" i="8" s="1"/>
  <c r="AE195" i="8"/>
  <c r="AD195" i="8"/>
  <c r="AC195" i="8"/>
  <c r="AB195" i="8"/>
  <c r="O195" i="8"/>
  <c r="Q195" i="8" s="1"/>
  <c r="N195" i="8"/>
  <c r="P195" i="8" s="1"/>
  <c r="O194" i="8"/>
  <c r="Q194" i="8" s="1"/>
  <c r="N194" i="8"/>
  <c r="P194" i="8" s="1"/>
  <c r="AE193" i="8"/>
  <c r="AD193" i="8"/>
  <c r="AC193" i="8"/>
  <c r="AC198" i="8" s="1"/>
  <c r="AB193" i="8"/>
  <c r="AB198" i="8" s="1"/>
  <c r="Q193" i="8"/>
  <c r="P193" i="8"/>
  <c r="O193" i="8"/>
  <c r="N193" i="8"/>
  <c r="AE191" i="8"/>
  <c r="AD191" i="8"/>
  <c r="AC191" i="8"/>
  <c r="AB191" i="8"/>
  <c r="Z191" i="8"/>
  <c r="M191" i="8"/>
  <c r="L191" i="8"/>
  <c r="K191" i="8"/>
  <c r="J191" i="8"/>
  <c r="I191" i="8"/>
  <c r="H191" i="8"/>
  <c r="O190" i="8"/>
  <c r="Q190" i="8" s="1"/>
  <c r="N190" i="8"/>
  <c r="P190" i="8" s="1"/>
  <c r="Q189" i="8"/>
  <c r="P189" i="8"/>
  <c r="AB188" i="8"/>
  <c r="Z188" i="8"/>
  <c r="M188" i="8"/>
  <c r="L188" i="8"/>
  <c r="K188" i="8"/>
  <c r="J188" i="8"/>
  <c r="I188" i="8"/>
  <c r="H188" i="8"/>
  <c r="O187" i="8"/>
  <c r="Q187" i="8" s="1"/>
  <c r="N187" i="8"/>
  <c r="P187" i="8" s="1"/>
  <c r="O186" i="8"/>
  <c r="Q186" i="8" s="1"/>
  <c r="N186" i="8"/>
  <c r="P186" i="8" s="1"/>
  <c r="AE185" i="8"/>
  <c r="AE188" i="8" s="1"/>
  <c r="AD185" i="8"/>
  <c r="AD188" i="8" s="1"/>
  <c r="AC185" i="8"/>
  <c r="AC188" i="8" s="1"/>
  <c r="AB185" i="8"/>
  <c r="O185" i="8"/>
  <c r="Q185" i="8" s="1"/>
  <c r="N185" i="8"/>
  <c r="P185" i="8" s="1"/>
  <c r="Q184" i="8"/>
  <c r="P184" i="8"/>
  <c r="Z182" i="8"/>
  <c r="M182" i="8"/>
  <c r="L182" i="8"/>
  <c r="K182" i="8"/>
  <c r="J182" i="8"/>
  <c r="I182" i="8"/>
  <c r="H182" i="8"/>
  <c r="O181" i="8"/>
  <c r="Q181" i="8" s="1"/>
  <c r="N181" i="8"/>
  <c r="P181" i="8" s="1"/>
  <c r="O180" i="8"/>
  <c r="Q180" i="8" s="1"/>
  <c r="N180" i="8"/>
  <c r="P180" i="8" s="1"/>
  <c r="AI179" i="8"/>
  <c r="O179" i="8"/>
  <c r="Q179" i="8" s="1"/>
  <c r="N179" i="8"/>
  <c r="P179" i="8" s="1"/>
  <c r="O178" i="8"/>
  <c r="Q178" i="8" s="1"/>
  <c r="N178" i="8"/>
  <c r="P178" i="8" s="1"/>
  <c r="O177" i="8"/>
  <c r="Q177" i="8" s="1"/>
  <c r="N177" i="8"/>
  <c r="P177" i="8" s="1"/>
  <c r="O176" i="8"/>
  <c r="Q176" i="8" s="1"/>
  <c r="N176" i="8"/>
  <c r="P176" i="8" s="1"/>
  <c r="O175" i="8"/>
  <c r="Q175" i="8" s="1"/>
  <c r="N175" i="8"/>
  <c r="P175" i="8" s="1"/>
  <c r="O174" i="8"/>
  <c r="Q174" i="8" s="1"/>
  <c r="N174" i="8"/>
  <c r="P174" i="8" s="1"/>
  <c r="AE173" i="8"/>
  <c r="AE182" i="8" s="1"/>
  <c r="AD173" i="8"/>
  <c r="AD182" i="8" s="1"/>
  <c r="AC173" i="8"/>
  <c r="AC182" i="8" s="1"/>
  <c r="AB173" i="8"/>
  <c r="AB182" i="8" s="1"/>
  <c r="O173" i="8"/>
  <c r="Q173" i="8" s="1"/>
  <c r="N173" i="8"/>
  <c r="P173" i="8" s="1"/>
  <c r="O172" i="8"/>
  <c r="Q172" i="8" s="1"/>
  <c r="N172" i="8"/>
  <c r="P172" i="8" s="1"/>
  <c r="Q171" i="8"/>
  <c r="P171" i="8"/>
  <c r="O169" i="8"/>
  <c r="Q169" i="8" s="1"/>
  <c r="N169" i="8"/>
  <c r="P169" i="8" s="1"/>
  <c r="AE168" i="8"/>
  <c r="AD168" i="8"/>
  <c r="AC168" i="8"/>
  <c r="AB168" i="8"/>
  <c r="Z168" i="8"/>
  <c r="M168" i="8"/>
  <c r="L168" i="8"/>
  <c r="K168" i="8"/>
  <c r="J168" i="8"/>
  <c r="I168" i="8"/>
  <c r="H168" i="8"/>
  <c r="O167" i="8"/>
  <c r="Q167" i="8" s="1"/>
  <c r="N167" i="8"/>
  <c r="P167" i="8" s="1"/>
  <c r="O166" i="8"/>
  <c r="Q166" i="8" s="1"/>
  <c r="N166" i="8"/>
  <c r="P166" i="8" s="1"/>
  <c r="Q165" i="8"/>
  <c r="P165" i="8"/>
  <c r="AE164" i="8"/>
  <c r="AD164" i="8"/>
  <c r="AC164" i="8"/>
  <c r="AB164" i="8"/>
  <c r="Z164" i="8"/>
  <c r="M164" i="8"/>
  <c r="L164" i="8"/>
  <c r="K164" i="8"/>
  <c r="J164" i="8"/>
  <c r="I164" i="8"/>
  <c r="H164" i="8"/>
  <c r="O163" i="8"/>
  <c r="Q163" i="8" s="1"/>
  <c r="N163" i="8"/>
  <c r="P163" i="8" s="1"/>
  <c r="O162" i="8"/>
  <c r="Q162" i="8" s="1"/>
  <c r="N162" i="8"/>
  <c r="P162" i="8" s="1"/>
  <c r="O161" i="8"/>
  <c r="Q161" i="8" s="1"/>
  <c r="N161" i="8"/>
  <c r="P161" i="8" s="1"/>
  <c r="Q160" i="8"/>
  <c r="P160" i="8"/>
  <c r="AE159" i="8"/>
  <c r="AD159" i="8"/>
  <c r="AC159" i="8"/>
  <c r="AB159" i="8"/>
  <c r="Z159" i="8"/>
  <c r="M159" i="8"/>
  <c r="L159" i="8"/>
  <c r="K159" i="8"/>
  <c r="J159" i="8"/>
  <c r="I159" i="8"/>
  <c r="H159" i="8"/>
  <c r="O158" i="8"/>
  <c r="Q158" i="8" s="1"/>
  <c r="N158" i="8"/>
  <c r="P158" i="8" s="1"/>
  <c r="Q157" i="8"/>
  <c r="P157" i="8"/>
  <c r="AE156" i="8"/>
  <c r="AD156" i="8"/>
  <c r="AC156" i="8"/>
  <c r="AB156" i="8"/>
  <c r="Z156" i="8"/>
  <c r="M156" i="8"/>
  <c r="L156" i="8"/>
  <c r="K156" i="8"/>
  <c r="J156" i="8"/>
  <c r="I156" i="8"/>
  <c r="H156" i="8"/>
  <c r="O155" i="8"/>
  <c r="Q155" i="8" s="1"/>
  <c r="N155" i="8"/>
  <c r="P155" i="8" s="1"/>
  <c r="O154" i="8"/>
  <c r="Q154" i="8" s="1"/>
  <c r="N154" i="8"/>
  <c r="P154" i="8" s="1"/>
  <c r="O153" i="8"/>
  <c r="Q153" i="8" s="1"/>
  <c r="N153" i="8"/>
  <c r="P153" i="8" s="1"/>
  <c r="Q152" i="8"/>
  <c r="P152" i="8"/>
  <c r="AE151" i="8"/>
  <c r="AD151" i="8"/>
  <c r="AC151" i="8"/>
  <c r="AB151" i="8"/>
  <c r="Z151" i="8"/>
  <c r="M151" i="8"/>
  <c r="L151" i="8"/>
  <c r="K151" i="8"/>
  <c r="J151" i="8"/>
  <c r="I151" i="8"/>
  <c r="H151" i="8"/>
  <c r="O150" i="8"/>
  <c r="Q150" i="8" s="1"/>
  <c r="N150" i="8"/>
  <c r="P150" i="8" s="1"/>
  <c r="O149" i="8"/>
  <c r="Q149" i="8" s="1"/>
  <c r="N149" i="8"/>
  <c r="P149" i="8" s="1"/>
  <c r="O148" i="8"/>
  <c r="Q148" i="8" s="1"/>
  <c r="N148" i="8"/>
  <c r="P148" i="8" s="1"/>
  <c r="O147" i="8"/>
  <c r="Q147" i="8" s="1"/>
  <c r="N147" i="8"/>
  <c r="P147" i="8" s="1"/>
  <c r="O146" i="8"/>
  <c r="Q146" i="8" s="1"/>
  <c r="N146" i="8"/>
  <c r="P146" i="8" s="1"/>
  <c r="Q145" i="8"/>
  <c r="P145" i="8"/>
  <c r="AE144" i="8"/>
  <c r="AD144" i="8"/>
  <c r="AC144" i="8"/>
  <c r="AB144" i="8"/>
  <c r="Z144" i="8"/>
  <c r="M144" i="8"/>
  <c r="L144" i="8"/>
  <c r="K144" i="8"/>
  <c r="J144" i="8"/>
  <c r="I144" i="8"/>
  <c r="H144" i="8"/>
  <c r="O143" i="8"/>
  <c r="Q143" i="8" s="1"/>
  <c r="N143" i="8"/>
  <c r="P143" i="8" s="1"/>
  <c r="Q142" i="8"/>
  <c r="P142" i="8"/>
  <c r="AE141" i="8"/>
  <c r="AD141" i="8"/>
  <c r="AC141" i="8"/>
  <c r="AB141" i="8"/>
  <c r="Z141" i="8"/>
  <c r="M141" i="8"/>
  <c r="L141" i="8"/>
  <c r="K141" i="8"/>
  <c r="J141" i="8"/>
  <c r="I141" i="8"/>
  <c r="H141" i="8"/>
  <c r="O140" i="8"/>
  <c r="Q140" i="8" s="1"/>
  <c r="N140" i="8"/>
  <c r="P140" i="8" s="1"/>
  <c r="O139" i="8"/>
  <c r="Q139" i="8" s="1"/>
  <c r="N139" i="8"/>
  <c r="P139" i="8" s="1"/>
  <c r="O138" i="8"/>
  <c r="Q138" i="8" s="1"/>
  <c r="N138" i="8"/>
  <c r="P138" i="8" s="1"/>
  <c r="O137" i="8"/>
  <c r="Q137" i="8" s="1"/>
  <c r="N137" i="8"/>
  <c r="P137" i="8" s="1"/>
  <c r="Q136" i="8"/>
  <c r="P136" i="8"/>
  <c r="AE135" i="8"/>
  <c r="AD135" i="8"/>
  <c r="AC135" i="8"/>
  <c r="AB135" i="8"/>
  <c r="Z135" i="8"/>
  <c r="M135" i="8"/>
  <c r="L135" i="8"/>
  <c r="K135" i="8"/>
  <c r="J135" i="8"/>
  <c r="I135" i="8"/>
  <c r="H135" i="8"/>
  <c r="O134" i="8"/>
  <c r="Q134" i="8" s="1"/>
  <c r="N134" i="8"/>
  <c r="P134" i="8" s="1"/>
  <c r="O133" i="8"/>
  <c r="Q133" i="8" s="1"/>
  <c r="N133" i="8"/>
  <c r="P133" i="8" s="1"/>
  <c r="O132" i="8"/>
  <c r="Q132" i="8" s="1"/>
  <c r="N132" i="8"/>
  <c r="P132" i="8" s="1"/>
  <c r="Q131" i="8"/>
  <c r="P131" i="8"/>
  <c r="AE130" i="8"/>
  <c r="AD130" i="8"/>
  <c r="AC130" i="8"/>
  <c r="AB130" i="8"/>
  <c r="Z130" i="8"/>
  <c r="M130" i="8"/>
  <c r="L130" i="8"/>
  <c r="K130" i="8"/>
  <c r="J130" i="8"/>
  <c r="I130" i="8"/>
  <c r="H130" i="8"/>
  <c r="O129" i="8"/>
  <c r="Q129" i="8" s="1"/>
  <c r="N129" i="8"/>
  <c r="P129" i="8" s="1"/>
  <c r="O128" i="8"/>
  <c r="Q128" i="8" s="1"/>
  <c r="N128" i="8"/>
  <c r="P128" i="8" s="1"/>
  <c r="O127" i="8"/>
  <c r="Q127" i="8" s="1"/>
  <c r="N127" i="8"/>
  <c r="P127" i="8" s="1"/>
  <c r="O126" i="8"/>
  <c r="Q126" i="8" s="1"/>
  <c r="N126" i="8"/>
  <c r="P126" i="8" s="1"/>
  <c r="Q125" i="8"/>
  <c r="P125" i="8"/>
  <c r="AE124" i="8"/>
  <c r="AD124" i="8"/>
  <c r="AC124" i="8"/>
  <c r="AB124" i="8"/>
  <c r="Z124" i="8"/>
  <c r="M124" i="8"/>
  <c r="L124" i="8"/>
  <c r="K124" i="8"/>
  <c r="J124" i="8"/>
  <c r="I124" i="8"/>
  <c r="H124" i="8"/>
  <c r="O123" i="8"/>
  <c r="Q123" i="8" s="1"/>
  <c r="N123" i="8"/>
  <c r="P123" i="8" s="1"/>
  <c r="O122" i="8"/>
  <c r="Q122" i="8" s="1"/>
  <c r="N122" i="8"/>
  <c r="P122" i="8" s="1"/>
  <c r="O121" i="8"/>
  <c r="Q121" i="8" s="1"/>
  <c r="N121" i="8"/>
  <c r="P121" i="8" s="1"/>
  <c r="O120" i="8"/>
  <c r="Q120" i="8" s="1"/>
  <c r="N120" i="8"/>
  <c r="P120" i="8" s="1"/>
  <c r="O119" i="8"/>
  <c r="Q119" i="8" s="1"/>
  <c r="N119" i="8"/>
  <c r="P119" i="8" s="1"/>
  <c r="Q118" i="8"/>
  <c r="P118" i="8"/>
  <c r="Q117" i="8"/>
  <c r="P117" i="8"/>
  <c r="M115" i="8"/>
  <c r="L115" i="8"/>
  <c r="K115" i="8"/>
  <c r="J115" i="8"/>
  <c r="I115" i="8"/>
  <c r="H115" i="8"/>
  <c r="O114" i="8"/>
  <c r="Q114" i="8" s="1"/>
  <c r="N114" i="8"/>
  <c r="P114" i="8" s="1"/>
  <c r="O113" i="8"/>
  <c r="Q113" i="8" s="1"/>
  <c r="N113" i="8"/>
  <c r="P113" i="8" s="1"/>
  <c r="Q112" i="8"/>
  <c r="P112" i="8"/>
  <c r="AE111" i="8"/>
  <c r="AD111" i="8"/>
  <c r="AC111" i="8"/>
  <c r="AB111" i="8"/>
  <c r="Z111" i="8"/>
  <c r="M111" i="8"/>
  <c r="L111" i="8"/>
  <c r="K111" i="8"/>
  <c r="J111" i="8"/>
  <c r="I111" i="8"/>
  <c r="H111" i="8"/>
  <c r="O110" i="8"/>
  <c r="Q110" i="8" s="1"/>
  <c r="N110" i="8"/>
  <c r="P110" i="8" s="1"/>
  <c r="O109" i="8"/>
  <c r="Q109" i="8" s="1"/>
  <c r="N109" i="8"/>
  <c r="P109" i="8" s="1"/>
  <c r="O108" i="8"/>
  <c r="Q108" i="8" s="1"/>
  <c r="N108" i="8"/>
  <c r="P108" i="8" s="1"/>
  <c r="O107" i="8"/>
  <c r="Q107" i="8" s="1"/>
  <c r="N107" i="8"/>
  <c r="P107" i="8" s="1"/>
  <c r="O106" i="8"/>
  <c r="Q106" i="8" s="1"/>
  <c r="N106" i="8"/>
  <c r="P106" i="8" s="1"/>
  <c r="O105" i="8"/>
  <c r="Q105" i="8" s="1"/>
  <c r="N105" i="8"/>
  <c r="P105" i="8" s="1"/>
  <c r="Q104" i="8"/>
  <c r="P104" i="8"/>
  <c r="O104" i="8"/>
  <c r="N104" i="8"/>
  <c r="Q103" i="8"/>
  <c r="P103" i="8"/>
  <c r="AE102" i="8"/>
  <c r="AD102" i="8"/>
  <c r="AC102" i="8"/>
  <c r="AB102" i="8"/>
  <c r="Z102" i="8"/>
  <c r="M102" i="8"/>
  <c r="O102" i="8" s="1"/>
  <c r="Q102" i="8" s="1"/>
  <c r="L102" i="8"/>
  <c r="K102" i="8"/>
  <c r="J102" i="8"/>
  <c r="I102" i="8"/>
  <c r="H102" i="8"/>
  <c r="O100" i="8"/>
  <c r="Q100" i="8" s="1"/>
  <c r="N100" i="8"/>
  <c r="P100" i="8" s="1"/>
  <c r="O99" i="8"/>
  <c r="Q99" i="8" s="1"/>
  <c r="N99" i="8"/>
  <c r="P99" i="8" s="1"/>
  <c r="O98" i="8"/>
  <c r="Q98" i="8" s="1"/>
  <c r="N98" i="8"/>
  <c r="P98" i="8" s="1"/>
  <c r="O97" i="8"/>
  <c r="Q97" i="8" s="1"/>
  <c r="N97" i="8"/>
  <c r="P97" i="8" s="1"/>
  <c r="O96" i="8"/>
  <c r="Q96" i="8" s="1"/>
  <c r="N96" i="8"/>
  <c r="P96" i="8" s="1"/>
  <c r="O95" i="8"/>
  <c r="Q95" i="8" s="1"/>
  <c r="N95" i="8"/>
  <c r="P95" i="8" s="1"/>
  <c r="O94" i="8"/>
  <c r="Q94" i="8" s="1"/>
  <c r="N94" i="8"/>
  <c r="P94" i="8" s="1"/>
  <c r="O93" i="8"/>
  <c r="Q93" i="8" s="1"/>
  <c r="N93" i="8"/>
  <c r="P93" i="8" s="1"/>
  <c r="O92" i="8"/>
  <c r="Q92" i="8" s="1"/>
  <c r="N92" i="8"/>
  <c r="P92" i="8" s="1"/>
  <c r="AE90" i="8"/>
  <c r="AD90" i="8"/>
  <c r="AC90" i="8"/>
  <c r="AB90" i="8"/>
  <c r="Z90" i="8"/>
  <c r="M90" i="8"/>
  <c r="L90" i="8"/>
  <c r="K90" i="8"/>
  <c r="J90" i="8"/>
  <c r="I90" i="8"/>
  <c r="O90" i="8" s="1"/>
  <c r="Q90" i="8" s="1"/>
  <c r="H90" i="8"/>
  <c r="N90" i="8" s="1"/>
  <c r="P90" i="8" s="1"/>
  <c r="Q89" i="8"/>
  <c r="O89" i="8"/>
  <c r="N89" i="8"/>
  <c r="P89" i="8" s="1"/>
  <c r="O88" i="8"/>
  <c r="Q88" i="8" s="1"/>
  <c r="N88" i="8"/>
  <c r="P88" i="8" s="1"/>
  <c r="O87" i="8"/>
  <c r="Q87" i="8" s="1"/>
  <c r="N87" i="8"/>
  <c r="P87" i="8" s="1"/>
  <c r="O86" i="8"/>
  <c r="Q86" i="8" s="1"/>
  <c r="N86" i="8"/>
  <c r="P86" i="8" s="1"/>
  <c r="AE84" i="8"/>
  <c r="AD84" i="8"/>
  <c r="AC84" i="8"/>
  <c r="AB84" i="8"/>
  <c r="Z84" i="8"/>
  <c r="M84" i="8"/>
  <c r="L84" i="8"/>
  <c r="K84" i="8"/>
  <c r="J84" i="8"/>
  <c r="I84" i="8"/>
  <c r="H84" i="8"/>
  <c r="O83" i="8"/>
  <c r="Q83" i="8" s="1"/>
  <c r="N83" i="8"/>
  <c r="P83" i="8" s="1"/>
  <c r="O82" i="8"/>
  <c r="Q82" i="8" s="1"/>
  <c r="N82" i="8"/>
  <c r="P82" i="8" s="1"/>
  <c r="Q81" i="8"/>
  <c r="P81" i="8"/>
  <c r="O80" i="8"/>
  <c r="Q80" i="8" s="1"/>
  <c r="N80" i="8"/>
  <c r="P80" i="8" s="1"/>
  <c r="O79" i="8"/>
  <c r="Q79" i="8" s="1"/>
  <c r="N79" i="8"/>
  <c r="P79" i="8" s="1"/>
  <c r="O78" i="8"/>
  <c r="Q78" i="8" s="1"/>
  <c r="N78" i="8"/>
  <c r="P78" i="8" s="1"/>
  <c r="O77" i="8"/>
  <c r="Q77" i="8" s="1"/>
  <c r="N77" i="8"/>
  <c r="P77" i="8" s="1"/>
  <c r="O76" i="8"/>
  <c r="Q76" i="8" s="1"/>
  <c r="N76" i="8"/>
  <c r="P76" i="8" s="1"/>
  <c r="O75" i="8"/>
  <c r="Q75" i="8" s="1"/>
  <c r="N75" i="8"/>
  <c r="P75" i="8" s="1"/>
  <c r="O74" i="8"/>
  <c r="Q74" i="8" s="1"/>
  <c r="N74" i="8"/>
  <c r="P74" i="8" s="1"/>
  <c r="O73" i="8"/>
  <c r="Q73" i="8" s="1"/>
  <c r="N73" i="8"/>
  <c r="P73" i="8" s="1"/>
  <c r="AE71" i="8"/>
  <c r="AD71" i="8"/>
  <c r="AC71" i="8"/>
  <c r="AB71" i="8"/>
  <c r="Z71" i="8"/>
  <c r="M71" i="8"/>
  <c r="L71" i="8"/>
  <c r="K71" i="8"/>
  <c r="J71" i="8"/>
  <c r="I71" i="8"/>
  <c r="H71" i="8"/>
  <c r="N71" i="8" s="1"/>
  <c r="P71" i="8" s="1"/>
  <c r="O70" i="8"/>
  <c r="Q70" i="8" s="1"/>
  <c r="N70" i="8"/>
  <c r="P70" i="8" s="1"/>
  <c r="O69" i="8"/>
  <c r="Q69" i="8" s="1"/>
  <c r="N69" i="8"/>
  <c r="P69" i="8" s="1"/>
  <c r="O68" i="8"/>
  <c r="Q68" i="8" s="1"/>
  <c r="N68" i="8"/>
  <c r="P68" i="8" s="1"/>
  <c r="O67" i="8"/>
  <c r="Q67" i="8" s="1"/>
  <c r="N67" i="8"/>
  <c r="P67" i="8" s="1"/>
  <c r="O66" i="8"/>
  <c r="Q66" i="8" s="1"/>
  <c r="N66" i="8"/>
  <c r="P66" i="8" s="1"/>
  <c r="O65" i="8"/>
  <c r="Q65" i="8" s="1"/>
  <c r="N65" i="8"/>
  <c r="P65" i="8" s="1"/>
  <c r="O63" i="8"/>
  <c r="Q63" i="8" s="1"/>
  <c r="N63" i="8"/>
  <c r="P63" i="8" s="1"/>
  <c r="AE62" i="8"/>
  <c r="AD62" i="8"/>
  <c r="AC62" i="8"/>
  <c r="AB62" i="8"/>
  <c r="Z62" i="8"/>
  <c r="M62" i="8"/>
  <c r="L62" i="8"/>
  <c r="K62" i="8"/>
  <c r="J62" i="8"/>
  <c r="I62" i="8"/>
  <c r="H62" i="8"/>
  <c r="O61" i="8"/>
  <c r="Q61" i="8" s="1"/>
  <c r="N61" i="8"/>
  <c r="P61" i="8" s="1"/>
  <c r="O60" i="8"/>
  <c r="Q60" i="8" s="1"/>
  <c r="N60" i="8"/>
  <c r="P60" i="8" s="1"/>
  <c r="O59" i="8"/>
  <c r="Q59" i="8" s="1"/>
  <c r="N59" i="8"/>
  <c r="P59" i="8" s="1"/>
  <c r="O58" i="8"/>
  <c r="Q58" i="8" s="1"/>
  <c r="N58" i="8"/>
  <c r="P58" i="8" s="1"/>
  <c r="O57" i="8"/>
  <c r="Q57" i="8" s="1"/>
  <c r="N57" i="8"/>
  <c r="P57" i="8" s="1"/>
  <c r="O56" i="8"/>
  <c r="Q56" i="8" s="1"/>
  <c r="N56" i="8"/>
  <c r="P56" i="8" s="1"/>
  <c r="O55" i="8"/>
  <c r="Q55" i="8" s="1"/>
  <c r="N55" i="8"/>
  <c r="P55" i="8" s="1"/>
  <c r="O54" i="8"/>
  <c r="Q54" i="8" s="1"/>
  <c r="N54" i="8"/>
  <c r="P54" i="8" s="1"/>
  <c r="O53" i="8"/>
  <c r="Q53" i="8" s="1"/>
  <c r="N53" i="8"/>
  <c r="P53" i="8" s="1"/>
  <c r="O52" i="8"/>
  <c r="Q52" i="8" s="1"/>
  <c r="N52" i="8"/>
  <c r="P52" i="8" s="1"/>
  <c r="O51" i="8"/>
  <c r="Q51" i="8" s="1"/>
  <c r="N51" i="8"/>
  <c r="P51" i="8" s="1"/>
  <c r="O50" i="8"/>
  <c r="Q50" i="8" s="1"/>
  <c r="N50" i="8"/>
  <c r="P50" i="8" s="1"/>
  <c r="O49" i="8"/>
  <c r="Q49" i="8" s="1"/>
  <c r="N49" i="8"/>
  <c r="P49" i="8" s="1"/>
  <c r="O48" i="8"/>
  <c r="Q48" i="8" s="1"/>
  <c r="N48" i="8"/>
  <c r="P48" i="8" s="1"/>
  <c r="O47" i="8"/>
  <c r="Q47" i="8" s="1"/>
  <c r="N47" i="8"/>
  <c r="P47" i="8" s="1"/>
  <c r="AE45" i="8"/>
  <c r="AD45" i="8"/>
  <c r="AC45" i="8"/>
  <c r="AB45" i="8"/>
  <c r="Z45" i="8"/>
  <c r="M45" i="8"/>
  <c r="L45" i="8"/>
  <c r="K45" i="8"/>
  <c r="J45" i="8"/>
  <c r="I45" i="8"/>
  <c r="H45" i="8"/>
  <c r="O44" i="8"/>
  <c r="Q44" i="8" s="1"/>
  <c r="N44" i="8"/>
  <c r="P44" i="8" s="1"/>
  <c r="O43" i="8"/>
  <c r="Q43" i="8" s="1"/>
  <c r="N43" i="8"/>
  <c r="P43" i="8" s="1"/>
  <c r="P42" i="8"/>
  <c r="O42" i="8"/>
  <c r="Q42" i="8" s="1"/>
  <c r="N42" i="8"/>
  <c r="O41" i="8"/>
  <c r="Q41" i="8" s="1"/>
  <c r="N41" i="8"/>
  <c r="P41" i="8" s="1"/>
  <c r="AE39" i="8"/>
  <c r="AD39" i="8"/>
  <c r="AC39" i="8"/>
  <c r="AB39" i="8"/>
  <c r="Z39" i="8"/>
  <c r="M39" i="8"/>
  <c r="L39" i="8"/>
  <c r="N39" i="8" s="1"/>
  <c r="P39" i="8" s="1"/>
  <c r="K39" i="8"/>
  <c r="J39" i="8"/>
  <c r="I39" i="8"/>
  <c r="H39" i="8"/>
  <c r="O38" i="8"/>
  <c r="Q38" i="8" s="1"/>
  <c r="N38" i="8"/>
  <c r="P38" i="8" s="1"/>
  <c r="O37" i="8"/>
  <c r="Q37" i="8" s="1"/>
  <c r="N37" i="8"/>
  <c r="P37" i="8" s="1"/>
  <c r="Q36" i="8"/>
  <c r="N36" i="8"/>
  <c r="P36" i="8" s="1"/>
  <c r="O35" i="8"/>
  <c r="Q35" i="8" s="1"/>
  <c r="N35" i="8"/>
  <c r="P35" i="8" s="1"/>
  <c r="O34" i="8"/>
  <c r="Q34" i="8" s="1"/>
  <c r="N34" i="8"/>
  <c r="P34" i="8" s="1"/>
  <c r="O33" i="8"/>
  <c r="Q33" i="8" s="1"/>
  <c r="N33" i="8"/>
  <c r="P33" i="8" s="1"/>
  <c r="O32" i="8"/>
  <c r="Q32" i="8" s="1"/>
  <c r="N32" i="8"/>
  <c r="P32" i="8" s="1"/>
  <c r="O31" i="8"/>
  <c r="Q31" i="8" s="1"/>
  <c r="N31" i="8"/>
  <c r="P31" i="8" s="1"/>
  <c r="O30" i="8"/>
  <c r="Q30" i="8" s="1"/>
  <c r="N30" i="8"/>
  <c r="P30" i="8" s="1"/>
  <c r="O29" i="8"/>
  <c r="Q29" i="8" s="1"/>
  <c r="N29" i="8"/>
  <c r="P29" i="8" s="1"/>
  <c r="O28" i="8"/>
  <c r="Q28" i="8" s="1"/>
  <c r="N28" i="8"/>
  <c r="P28" i="8" s="1"/>
  <c r="O27" i="8"/>
  <c r="Q27" i="8" s="1"/>
  <c r="N27" i="8"/>
  <c r="P27" i="8" s="1"/>
  <c r="O26" i="8"/>
  <c r="Q26" i="8" s="1"/>
  <c r="N26" i="8"/>
  <c r="P26" i="8" s="1"/>
  <c r="O25" i="8"/>
  <c r="Q25" i="8" s="1"/>
  <c r="N25" i="8"/>
  <c r="P25" i="8" s="1"/>
  <c r="O24" i="8"/>
  <c r="Q24" i="8" s="1"/>
  <c r="N24" i="8"/>
  <c r="P24" i="8" s="1"/>
  <c r="P23" i="8"/>
  <c r="O23" i="8"/>
  <c r="Q23" i="8" s="1"/>
  <c r="N23" i="8"/>
  <c r="O22" i="8"/>
  <c r="Q22" i="8" s="1"/>
  <c r="N22" i="8"/>
  <c r="P22" i="8" s="1"/>
  <c r="O21" i="8"/>
  <c r="Q21" i="8" s="1"/>
  <c r="N21" i="8"/>
  <c r="P21" i="8" s="1"/>
  <c r="O20" i="8"/>
  <c r="Q20" i="8" s="1"/>
  <c r="N20" i="8"/>
  <c r="P20" i="8" s="1"/>
  <c r="O19" i="8"/>
  <c r="Q19" i="8" s="1"/>
  <c r="N19" i="8"/>
  <c r="P19" i="8" s="1"/>
  <c r="O18" i="8"/>
  <c r="Q18" i="8" s="1"/>
  <c r="N18" i="8"/>
  <c r="P18" i="8" s="1"/>
  <c r="O17" i="8"/>
  <c r="Q17" i="8" s="1"/>
  <c r="N17" i="8"/>
  <c r="P17" i="8" s="1"/>
  <c r="AE15" i="8"/>
  <c r="AD15" i="8"/>
  <c r="AC15" i="8"/>
  <c r="AB15" i="8"/>
  <c r="Z15" i="8"/>
  <c r="M15" i="8"/>
  <c r="L15" i="8"/>
  <c r="K15" i="8"/>
  <c r="J15" i="8"/>
  <c r="I15" i="8"/>
  <c r="H15" i="8"/>
  <c r="O14" i="8"/>
  <c r="Q14" i="8" s="1"/>
  <c r="N14" i="8"/>
  <c r="P14" i="8" s="1"/>
  <c r="O13" i="8"/>
  <c r="Q13" i="8" s="1"/>
  <c r="N13" i="8"/>
  <c r="P13" i="8" s="1"/>
  <c r="O12" i="8"/>
  <c r="Q12" i="8" s="1"/>
  <c r="N12" i="8"/>
  <c r="P12" i="8" s="1"/>
  <c r="O11" i="8"/>
  <c r="Q11" i="8" s="1"/>
  <c r="N11" i="8"/>
  <c r="P11" i="8" s="1"/>
  <c r="O10" i="8"/>
  <c r="Q10" i="8" s="1"/>
  <c r="N10" i="8"/>
  <c r="P10" i="8" s="1"/>
  <c r="O582" i="9" l="1"/>
  <c r="I1" i="9"/>
  <c r="N582" i="9"/>
  <c r="H1" i="9"/>
  <c r="AE376" i="8"/>
  <c r="J569" i="8"/>
  <c r="J579" i="8" s="1"/>
  <c r="N405" i="8"/>
  <c r="P405" i="8" s="1"/>
  <c r="N331" i="8"/>
  <c r="P331" i="8" s="1"/>
  <c r="AB428" i="8"/>
  <c r="O547" i="8"/>
  <c r="Q547" i="8" s="1"/>
  <c r="O301" i="8"/>
  <c r="Q301" i="8" s="1"/>
  <c r="AC363" i="8"/>
  <c r="N301" i="8"/>
  <c r="P301" i="8" s="1"/>
  <c r="AD363" i="8"/>
  <c r="AJ504" i="8"/>
  <c r="AF333" i="8"/>
  <c r="AF364" i="8" s="1"/>
  <c r="N102" i="8"/>
  <c r="P102" i="8" s="1"/>
  <c r="N115" i="8"/>
  <c r="P115" i="8" s="1"/>
  <c r="N234" i="8"/>
  <c r="P234" i="8" s="1"/>
  <c r="AF116" i="8"/>
  <c r="AF183" i="8" s="1"/>
  <c r="AF220" i="8" s="1"/>
  <c r="O488" i="8"/>
  <c r="Q488" i="8" s="1"/>
  <c r="N201" i="8"/>
  <c r="P201" i="8" s="1"/>
  <c r="O328" i="8"/>
  <c r="Q328" i="8" s="1"/>
  <c r="O191" i="8"/>
  <c r="Q191" i="8" s="1"/>
  <c r="N371" i="8"/>
  <c r="P371" i="8" s="1"/>
  <c r="O441" i="8"/>
  <c r="Q441" i="8" s="1"/>
  <c r="I569" i="8"/>
  <c r="I579" i="8" s="1"/>
  <c r="M569" i="8"/>
  <c r="M579" i="8" s="1"/>
  <c r="AM530" i="8"/>
  <c r="AC428" i="8"/>
  <c r="AI441" i="8"/>
  <c r="L569" i="8"/>
  <c r="AM532" i="8"/>
  <c r="AB116" i="8"/>
  <c r="J219" i="8"/>
  <c r="AM547" i="8"/>
  <c r="N280" i="8"/>
  <c r="P280" i="8" s="1"/>
  <c r="AM518" i="8"/>
  <c r="AF428" i="8"/>
  <c r="AH423" i="8"/>
  <c r="AF170" i="8"/>
  <c r="O141" i="8"/>
  <c r="Q141" i="8" s="1"/>
  <c r="O151" i="8"/>
  <c r="Q151" i="8" s="1"/>
  <c r="N135" i="8"/>
  <c r="P135" i="8" s="1"/>
  <c r="O164" i="8"/>
  <c r="Q164" i="8" s="1"/>
  <c r="N164" i="8"/>
  <c r="P164" i="8" s="1"/>
  <c r="O563" i="8"/>
  <c r="Q563" i="8" s="1"/>
  <c r="N144" i="8"/>
  <c r="P144" i="8" s="1"/>
  <c r="AB170" i="8"/>
  <c r="AB183" i="8" s="1"/>
  <c r="AB220" i="8" s="1"/>
  <c r="AB495" i="8" s="1"/>
  <c r="O144" i="8"/>
  <c r="Q144" i="8" s="1"/>
  <c r="O361" i="8"/>
  <c r="Q361" i="8" s="1"/>
  <c r="Z489" i="8"/>
  <c r="AB376" i="8"/>
  <c r="AD198" i="8"/>
  <c r="AE198" i="8"/>
  <c r="Z333" i="8"/>
  <c r="Z364" i="8" s="1"/>
  <c r="O479" i="8"/>
  <c r="Q479" i="8" s="1"/>
  <c r="Z116" i="8"/>
  <c r="N454" i="8"/>
  <c r="P454" i="8" s="1"/>
  <c r="H455" i="8"/>
  <c r="N455" i="8" s="1"/>
  <c r="P455" i="8" s="1"/>
  <c r="N464" i="8"/>
  <c r="P464" i="8" s="1"/>
  <c r="AE170" i="8"/>
  <c r="AC364" i="8"/>
  <c r="AI518" i="8"/>
  <c r="AJ518" i="8"/>
  <c r="AC170" i="8"/>
  <c r="K428" i="8"/>
  <c r="O428" i="8" s="1"/>
  <c r="Q428" i="8" s="1"/>
  <c r="O423" i="8"/>
  <c r="Q423" i="8" s="1"/>
  <c r="AK504" i="8"/>
  <c r="L578" i="8"/>
  <c r="L579" i="8" s="1"/>
  <c r="N576" i="8"/>
  <c r="P576" i="8" s="1"/>
  <c r="AC431" i="8"/>
  <c r="AJ431" i="8" s="1"/>
  <c r="AC436" i="8"/>
  <c r="AJ436" i="8" s="1"/>
  <c r="O454" i="8"/>
  <c r="Q454" i="8" s="1"/>
  <c r="I455" i="8"/>
  <c r="O455" i="8" s="1"/>
  <c r="Q455" i="8" s="1"/>
  <c r="AJ530" i="8"/>
  <c r="J489" i="8"/>
  <c r="M548" i="8"/>
  <c r="AK530" i="8"/>
  <c r="L116" i="8"/>
  <c r="N45" i="8"/>
  <c r="P45" i="8" s="1"/>
  <c r="N156" i="8"/>
  <c r="P156" i="8" s="1"/>
  <c r="O257" i="8"/>
  <c r="Q257" i="8" s="1"/>
  <c r="O263" i="8"/>
  <c r="Q263" i="8" s="1"/>
  <c r="Z548" i="8"/>
  <c r="O15" i="8"/>
  <c r="Q15" i="8" s="1"/>
  <c r="O45" i="8"/>
  <c r="Q45" i="8" s="1"/>
  <c r="N62" i="8"/>
  <c r="P62" i="8" s="1"/>
  <c r="N263" i="8"/>
  <c r="P263" i="8" s="1"/>
  <c r="O307" i="8"/>
  <c r="Q307" i="8" s="1"/>
  <c r="H428" i="8"/>
  <c r="AI547" i="8"/>
  <c r="O62" i="8"/>
  <c r="Q62" i="8" s="1"/>
  <c r="M333" i="8"/>
  <c r="M364" i="8" s="1"/>
  <c r="N307" i="8"/>
  <c r="P307" i="8" s="1"/>
  <c r="O39" i="8"/>
  <c r="Q39" i="8" s="1"/>
  <c r="N151" i="8"/>
  <c r="P151" i="8" s="1"/>
  <c r="N191" i="8"/>
  <c r="P191" i="8" s="1"/>
  <c r="AE428" i="8"/>
  <c r="AC333" i="8"/>
  <c r="N130" i="8"/>
  <c r="P130" i="8" s="1"/>
  <c r="N168" i="8"/>
  <c r="P168" i="8" s="1"/>
  <c r="N207" i="8"/>
  <c r="P207" i="8" s="1"/>
  <c r="AD333" i="8"/>
  <c r="O71" i="8"/>
  <c r="Q71" i="8" s="1"/>
  <c r="O135" i="8"/>
  <c r="Q135" i="8" s="1"/>
  <c r="O84" i="8"/>
  <c r="Q84" i="8" s="1"/>
  <c r="O111" i="8"/>
  <c r="Q111" i="8" s="1"/>
  <c r="N188" i="8"/>
  <c r="P188" i="8" s="1"/>
  <c r="O331" i="8"/>
  <c r="Q331" i="8" s="1"/>
  <c r="L219" i="8"/>
  <c r="N111" i="8"/>
  <c r="P111" i="8" s="1"/>
  <c r="O551" i="8"/>
  <c r="Q551" i="8" s="1"/>
  <c r="N159" i="8"/>
  <c r="P159" i="8" s="1"/>
  <c r="N182" i="8"/>
  <c r="P182" i="8" s="1"/>
  <c r="O188" i="8"/>
  <c r="Q188" i="8" s="1"/>
  <c r="O201" i="8"/>
  <c r="Q201" i="8" s="1"/>
  <c r="N518" i="8"/>
  <c r="P518" i="8" s="1"/>
  <c r="N488" i="8"/>
  <c r="P488" i="8" s="1"/>
  <c r="O115" i="8"/>
  <c r="Q115" i="8" s="1"/>
  <c r="O168" i="8"/>
  <c r="Q168" i="8" s="1"/>
  <c r="M170" i="8"/>
  <c r="O280" i="8"/>
  <c r="Q280" i="8" s="1"/>
  <c r="I548" i="8"/>
  <c r="N361" i="8"/>
  <c r="P361" i="8" s="1"/>
  <c r="N15" i="8"/>
  <c r="P15" i="8" s="1"/>
  <c r="L170" i="8"/>
  <c r="N124" i="8"/>
  <c r="P124" i="8" s="1"/>
  <c r="AJ547" i="8"/>
  <c r="M489" i="8"/>
  <c r="AK547" i="8"/>
  <c r="AD116" i="8"/>
  <c r="AE116" i="8"/>
  <c r="O234" i="8"/>
  <c r="Q234" i="8" s="1"/>
  <c r="K219" i="8"/>
  <c r="O219" i="8" s="1"/>
  <c r="Q219" i="8" s="1"/>
  <c r="O215" i="8"/>
  <c r="Q215" i="8" s="1"/>
  <c r="AD170" i="8"/>
  <c r="AD439" i="8"/>
  <c r="AC439" i="8"/>
  <c r="AJ439" i="8" s="1"/>
  <c r="AB333" i="8"/>
  <c r="AB364" i="8" s="1"/>
  <c r="J428" i="8"/>
  <c r="N469" i="8"/>
  <c r="P469" i="8" s="1"/>
  <c r="O156" i="8"/>
  <c r="Q156" i="8" s="1"/>
  <c r="O469" i="8"/>
  <c r="Q469" i="8" s="1"/>
  <c r="M116" i="8"/>
  <c r="O225" i="8"/>
  <c r="Q225" i="8" s="1"/>
  <c r="J116" i="8"/>
  <c r="N84" i="8"/>
  <c r="P84" i="8" s="1"/>
  <c r="O578" i="8"/>
  <c r="Q578" i="8" s="1"/>
  <c r="I333" i="8"/>
  <c r="J333" i="8"/>
  <c r="N342" i="8"/>
  <c r="P342" i="8" s="1"/>
  <c r="H363" i="8"/>
  <c r="O376" i="8"/>
  <c r="Q376" i="8" s="1"/>
  <c r="K333" i="8"/>
  <c r="O576" i="8"/>
  <c r="Q576" i="8" s="1"/>
  <c r="I170" i="8"/>
  <c r="O124" i="8"/>
  <c r="Q124" i="8" s="1"/>
  <c r="L333" i="8"/>
  <c r="L423" i="8"/>
  <c r="L428" i="8" s="1"/>
  <c r="AK532" i="8"/>
  <c r="AJ532" i="8"/>
  <c r="K569" i="8"/>
  <c r="Z170" i="8"/>
  <c r="O405" i="8"/>
  <c r="Q405" i="8" s="1"/>
  <c r="AK518" i="8"/>
  <c r="O182" i="8"/>
  <c r="Q182" i="8" s="1"/>
  <c r="AE333" i="8"/>
  <c r="I116" i="8"/>
  <c r="N218" i="8"/>
  <c r="P218" i="8" s="1"/>
  <c r="AC376" i="8"/>
  <c r="AE363" i="8"/>
  <c r="K116" i="8"/>
  <c r="N225" i="8"/>
  <c r="P225" i="8" s="1"/>
  <c r="H333" i="8"/>
  <c r="N288" i="8"/>
  <c r="P288" i="8" s="1"/>
  <c r="H548" i="8"/>
  <c r="N548" i="8" s="1"/>
  <c r="P548" i="8" s="1"/>
  <c r="H116" i="8"/>
  <c r="AD433" i="8"/>
  <c r="AC433" i="8"/>
  <c r="AJ433" i="8" s="1"/>
  <c r="O342" i="8"/>
  <c r="Q342" i="8" s="1"/>
  <c r="I363" i="8"/>
  <c r="N319" i="8"/>
  <c r="P319" i="8" s="1"/>
  <c r="K363" i="8"/>
  <c r="O207" i="8"/>
  <c r="Q207" i="8" s="1"/>
  <c r="O319" i="8"/>
  <c r="Q319" i="8" s="1"/>
  <c r="N551" i="8"/>
  <c r="P551" i="8" s="1"/>
  <c r="AD376" i="8"/>
  <c r="H170" i="8"/>
  <c r="J363" i="8"/>
  <c r="L548" i="8"/>
  <c r="N547" i="8"/>
  <c r="P547" i="8" s="1"/>
  <c r="N441" i="8"/>
  <c r="P441" i="8" s="1"/>
  <c r="AC116" i="8"/>
  <c r="K170" i="8"/>
  <c r="O130" i="8"/>
  <c r="Q130" i="8" s="1"/>
  <c r="N141" i="8"/>
  <c r="P141" i="8" s="1"/>
  <c r="N257" i="8"/>
  <c r="P257" i="8" s="1"/>
  <c r="O518" i="8"/>
  <c r="Q518" i="8" s="1"/>
  <c r="H569" i="8"/>
  <c r="N563" i="8"/>
  <c r="P563" i="8" s="1"/>
  <c r="O288" i="8"/>
  <c r="Q288" i="8" s="1"/>
  <c r="O371" i="8"/>
  <c r="Q371" i="8" s="1"/>
  <c r="K489" i="8"/>
  <c r="L489" i="8"/>
  <c r="J170" i="8"/>
  <c r="O159" i="8"/>
  <c r="Q159" i="8" s="1"/>
  <c r="H219" i="8"/>
  <c r="N215" i="8"/>
  <c r="P215" i="8" s="1"/>
  <c r="P582" i="9" l="1"/>
  <c r="P1" i="9" s="1"/>
  <c r="N1" i="9"/>
  <c r="Q582" i="9"/>
  <c r="Q1" i="9" s="1"/>
  <c r="O1" i="9"/>
  <c r="AD364" i="8"/>
  <c r="AF495" i="8"/>
  <c r="AH376" i="8"/>
  <c r="Z552" i="8"/>
  <c r="H489" i="8"/>
  <c r="O548" i="8"/>
  <c r="Q548" i="8" s="1"/>
  <c r="N428" i="8"/>
  <c r="P428" i="8" s="1"/>
  <c r="M552" i="8"/>
  <c r="L183" i="8"/>
  <c r="L220" i="8" s="1"/>
  <c r="AG496" i="8" s="1"/>
  <c r="N423" i="8"/>
  <c r="P423" i="8" s="1"/>
  <c r="J364" i="8"/>
  <c r="J552" i="8" s="1"/>
  <c r="AF548" i="8"/>
  <c r="AE183" i="8"/>
  <c r="AE220" i="8" s="1"/>
  <c r="AE495" i="8" s="1"/>
  <c r="AE548" i="8" s="1"/>
  <c r="AC183" i="8"/>
  <c r="AC220" i="8" s="1"/>
  <c r="AC495" i="8" s="1"/>
  <c r="AC434" i="8"/>
  <c r="AJ434" i="8" s="1"/>
  <c r="AD434" i="8"/>
  <c r="N578" i="8"/>
  <c r="P578" i="8" s="1"/>
  <c r="AC438" i="8"/>
  <c r="AJ438" i="8" s="1"/>
  <c r="AD438" i="8"/>
  <c r="AD440" i="8"/>
  <c r="AC440" i="8"/>
  <c r="AJ440" i="8" s="1"/>
  <c r="AD436" i="8"/>
  <c r="M183" i="8"/>
  <c r="M220" i="8" s="1"/>
  <c r="O363" i="8"/>
  <c r="Q363" i="8" s="1"/>
  <c r="K364" i="8"/>
  <c r="K552" i="8" s="1"/>
  <c r="AD431" i="8"/>
  <c r="N219" i="8"/>
  <c r="P219" i="8" s="1"/>
  <c r="N170" i="8"/>
  <c r="P170" i="8" s="1"/>
  <c r="I489" i="8"/>
  <c r="O489" i="8" s="1"/>
  <c r="Q489" i="8" s="1"/>
  <c r="AD432" i="8"/>
  <c r="AC432" i="8"/>
  <c r="N489" i="8"/>
  <c r="P489" i="8" s="1"/>
  <c r="O170" i="8"/>
  <c r="Q170" i="8" s="1"/>
  <c r="AE364" i="8"/>
  <c r="Z183" i="8"/>
  <c r="Z220" i="8" s="1"/>
  <c r="Z553" i="8" s="1"/>
  <c r="Z580" i="8" s="1"/>
  <c r="Z1" i="8" s="1"/>
  <c r="N363" i="8"/>
  <c r="P363" i="8" s="1"/>
  <c r="H579" i="8"/>
  <c r="N579" i="8" s="1"/>
  <c r="P579" i="8" s="1"/>
  <c r="N569" i="8"/>
  <c r="P569" i="8" s="1"/>
  <c r="AD435" i="8"/>
  <c r="AC435" i="8"/>
  <c r="AJ435" i="8" s="1"/>
  <c r="K579" i="8"/>
  <c r="O579" i="8" s="1"/>
  <c r="Q579" i="8" s="1"/>
  <c r="O569" i="8"/>
  <c r="Q569" i="8" s="1"/>
  <c r="O333" i="8"/>
  <c r="Q333" i="8" s="1"/>
  <c r="I364" i="8"/>
  <c r="AI495" i="8"/>
  <c r="AB548" i="8"/>
  <c r="AI548" i="8" s="1"/>
  <c r="H183" i="8"/>
  <c r="N116" i="8"/>
  <c r="P116" i="8" s="1"/>
  <c r="N333" i="8"/>
  <c r="P333" i="8" s="1"/>
  <c r="H364" i="8"/>
  <c r="AD183" i="8"/>
  <c r="AD220" i="8" s="1"/>
  <c r="K183" i="8"/>
  <c r="K220" i="8" s="1"/>
  <c r="AH334" i="8"/>
  <c r="L364" i="8"/>
  <c r="L552" i="8" s="1"/>
  <c r="I183" i="8"/>
  <c r="O116" i="8"/>
  <c r="Q116" i="8" s="1"/>
  <c r="J183" i="8"/>
  <c r="J220" i="8" s="1"/>
  <c r="M553" i="8" l="1"/>
  <c r="M580" i="8" s="1"/>
  <c r="M1" i="8" s="1"/>
  <c r="AM495" i="8"/>
  <c r="AM548" i="8"/>
  <c r="J553" i="8"/>
  <c r="J580" i="8" s="1"/>
  <c r="J1" i="8" s="1"/>
  <c r="L553" i="8"/>
  <c r="L580" i="8" s="1"/>
  <c r="L1" i="8" s="1"/>
  <c r="AC441" i="8"/>
  <c r="AJ441" i="8" s="1"/>
  <c r="AJ432" i="8"/>
  <c r="AD441" i="8"/>
  <c r="K553" i="8"/>
  <c r="K580" i="8" s="1"/>
  <c r="K1" i="8" s="1"/>
  <c r="N183" i="8"/>
  <c r="P183" i="8" s="1"/>
  <c r="H220" i="8"/>
  <c r="O183" i="8"/>
  <c r="Q183" i="8" s="1"/>
  <c r="I220" i="8"/>
  <c r="O364" i="8"/>
  <c r="Q364" i="8" s="1"/>
  <c r="I552" i="8"/>
  <c r="O552" i="8" s="1"/>
  <c r="Q552" i="8" s="1"/>
  <c r="AJ495" i="8"/>
  <c r="AC548" i="8"/>
  <c r="AJ548" i="8" s="1"/>
  <c r="N364" i="8"/>
  <c r="P364" i="8" s="1"/>
  <c r="H552" i="8"/>
  <c r="N552" i="8" s="1"/>
  <c r="P552" i="8" s="1"/>
  <c r="AD495" i="8"/>
  <c r="I553" i="8" l="1"/>
  <c r="O220" i="8"/>
  <c r="Q220" i="8" s="1"/>
  <c r="AK495" i="8"/>
  <c r="AD548" i="8"/>
  <c r="H553" i="8"/>
  <c r="N220" i="8"/>
  <c r="P220" i="8" s="1"/>
  <c r="AG495" i="8" s="1"/>
  <c r="H580" i="8" l="1"/>
  <c r="N553" i="8"/>
  <c r="P553" i="8" s="1"/>
  <c r="AK548" i="8"/>
  <c r="O553" i="8"/>
  <c r="Q553" i="8" s="1"/>
  <c r="I580" i="8"/>
  <c r="I1" i="8" l="1"/>
  <c r="O580" i="8"/>
  <c r="H1" i="8"/>
  <c r="N580" i="8"/>
  <c r="N1" i="8" l="1"/>
  <c r="P580" i="8"/>
  <c r="P1" i="8" s="1"/>
  <c r="Q580" i="8"/>
  <c r="Q1" i="8" s="1"/>
  <c r="O1" i="8"/>
  <c r="AG335" i="6" l="1"/>
  <c r="AE227" i="6"/>
  <c r="AE551" i="6"/>
  <c r="AE547" i="6"/>
  <c r="AE532" i="6"/>
  <c r="AE530" i="6"/>
  <c r="AE518" i="6"/>
  <c r="AE504" i="6"/>
  <c r="AE441" i="6"/>
  <c r="AE427" i="6"/>
  <c r="AE401" i="6"/>
  <c r="AE423" i="6" s="1"/>
  <c r="AE428" i="6" s="1"/>
  <c r="AE375" i="6"/>
  <c r="AE374" i="6"/>
  <c r="AE373" i="6"/>
  <c r="AE376" i="6" s="1"/>
  <c r="AE367" i="6"/>
  <c r="AE371" i="6" s="1"/>
  <c r="AE361" i="6"/>
  <c r="AE342" i="6"/>
  <c r="AE363" i="6" s="1"/>
  <c r="AE331" i="6"/>
  <c r="AE328" i="6"/>
  <c r="AE319" i="6"/>
  <c r="AE307" i="6"/>
  <c r="AE301" i="6"/>
  <c r="AE288" i="6"/>
  <c r="AE280" i="6"/>
  <c r="AE263" i="6"/>
  <c r="AE257" i="6"/>
  <c r="AE234" i="6"/>
  <c r="AE223" i="6"/>
  <c r="AE225" i="6" s="1"/>
  <c r="AE215" i="6"/>
  <c r="AE219" i="6" s="1"/>
  <c r="AE207" i="6"/>
  <c r="AE201" i="6"/>
  <c r="AE196" i="6"/>
  <c r="AE195" i="6"/>
  <c r="AE193" i="6"/>
  <c r="AE198" i="6" s="1"/>
  <c r="AE191" i="6"/>
  <c r="AE185" i="6"/>
  <c r="AE188" i="6" s="1"/>
  <c r="AE173" i="6"/>
  <c r="AE182" i="6" s="1"/>
  <c r="AE168" i="6"/>
  <c r="AE164" i="6"/>
  <c r="AE159" i="6"/>
  <c r="AE156" i="6"/>
  <c r="AE151" i="6"/>
  <c r="AE144" i="6"/>
  <c r="AE141" i="6"/>
  <c r="AE135" i="6"/>
  <c r="AE130" i="6"/>
  <c r="AE124" i="6"/>
  <c r="AE170" i="6" s="1"/>
  <c r="AE111" i="6"/>
  <c r="AE102" i="6"/>
  <c r="AE90" i="6"/>
  <c r="AE84" i="6"/>
  <c r="AE71" i="6"/>
  <c r="AE62" i="6"/>
  <c r="AE45" i="6"/>
  <c r="AE39" i="6"/>
  <c r="AE15" i="6"/>
  <c r="AE116" i="6" s="1"/>
  <c r="O577" i="6"/>
  <c r="Q577" i="6" s="1"/>
  <c r="N577" i="6"/>
  <c r="P577" i="6" s="1"/>
  <c r="M576" i="6"/>
  <c r="M578" i="6" s="1"/>
  <c r="L576" i="6"/>
  <c r="L578" i="6" s="1"/>
  <c r="K576" i="6"/>
  <c r="K578" i="6" s="1"/>
  <c r="J576" i="6"/>
  <c r="J578" i="6" s="1"/>
  <c r="I576" i="6"/>
  <c r="I578" i="6" s="1"/>
  <c r="H576" i="6"/>
  <c r="O575" i="6"/>
  <c r="Q575" i="6" s="1"/>
  <c r="N575" i="6"/>
  <c r="P575" i="6" s="1"/>
  <c r="O574" i="6"/>
  <c r="Q574" i="6" s="1"/>
  <c r="N574" i="6"/>
  <c r="P574" i="6" s="1"/>
  <c r="O573" i="6"/>
  <c r="Q573" i="6" s="1"/>
  <c r="N573" i="6"/>
  <c r="P573" i="6" s="1"/>
  <c r="P572" i="6"/>
  <c r="O572" i="6"/>
  <c r="Q572" i="6" s="1"/>
  <c r="N572" i="6"/>
  <c r="M568" i="6"/>
  <c r="L568" i="6"/>
  <c r="K568" i="6"/>
  <c r="J568" i="6"/>
  <c r="I568" i="6"/>
  <c r="H568" i="6"/>
  <c r="O567" i="6"/>
  <c r="Q567" i="6" s="1"/>
  <c r="N567" i="6"/>
  <c r="P567" i="6" s="1"/>
  <c r="O566" i="6"/>
  <c r="Q566" i="6" s="1"/>
  <c r="N566" i="6"/>
  <c r="P566" i="6" s="1"/>
  <c r="O565" i="6"/>
  <c r="Q565" i="6" s="1"/>
  <c r="N565" i="6"/>
  <c r="P565" i="6" s="1"/>
  <c r="M563" i="6"/>
  <c r="M569" i="6" s="1"/>
  <c r="L563" i="6"/>
  <c r="L569" i="6" s="1"/>
  <c r="L579" i="6" s="1"/>
  <c r="K563" i="6"/>
  <c r="K569" i="6" s="1"/>
  <c r="J563" i="6"/>
  <c r="I563" i="6"/>
  <c r="H563" i="6"/>
  <c r="H569" i="6" s="1"/>
  <c r="O562" i="6"/>
  <c r="Q562" i="6" s="1"/>
  <c r="N562" i="6"/>
  <c r="P562" i="6" s="1"/>
  <c r="O561" i="6"/>
  <c r="Q561" i="6" s="1"/>
  <c r="N561" i="6"/>
  <c r="P561" i="6" s="1"/>
  <c r="O560" i="6"/>
  <c r="Q560" i="6" s="1"/>
  <c r="N560" i="6"/>
  <c r="P560" i="6" s="1"/>
  <c r="O559" i="6"/>
  <c r="Q559" i="6" s="1"/>
  <c r="N559" i="6"/>
  <c r="P559" i="6" s="1"/>
  <c r="O558" i="6"/>
  <c r="Q558" i="6" s="1"/>
  <c r="N558" i="6"/>
  <c r="P558" i="6" s="1"/>
  <c r="O556" i="6"/>
  <c r="Q556" i="6" s="1"/>
  <c r="N556" i="6"/>
  <c r="P556" i="6" s="1"/>
  <c r="AD551" i="6"/>
  <c r="AC551" i="6"/>
  <c r="AB551" i="6"/>
  <c r="Z551" i="6"/>
  <c r="M551" i="6"/>
  <c r="L551" i="6"/>
  <c r="K551" i="6"/>
  <c r="J551" i="6"/>
  <c r="I551" i="6"/>
  <c r="H551" i="6"/>
  <c r="Q550" i="6"/>
  <c r="O550" i="6"/>
  <c r="N550" i="6"/>
  <c r="P550" i="6" s="1"/>
  <c r="AD547" i="6"/>
  <c r="AC547" i="6"/>
  <c r="AB547" i="6"/>
  <c r="Z547" i="6"/>
  <c r="M547" i="6"/>
  <c r="L547" i="6"/>
  <c r="K547" i="6"/>
  <c r="J547" i="6"/>
  <c r="J548" i="6" s="1"/>
  <c r="I547" i="6"/>
  <c r="O547" i="6" s="1"/>
  <c r="Q547" i="6" s="1"/>
  <c r="H547" i="6"/>
  <c r="N547" i="6" s="1"/>
  <c r="P547" i="6" s="1"/>
  <c r="AJ546" i="6"/>
  <c r="AI546" i="6"/>
  <c r="AH546" i="6"/>
  <c r="O546" i="6"/>
  <c r="Q546" i="6" s="1"/>
  <c r="N546" i="6"/>
  <c r="P546" i="6" s="1"/>
  <c r="AJ545" i="6"/>
  <c r="AI545" i="6"/>
  <c r="AH545" i="6"/>
  <c r="O545" i="6"/>
  <c r="Q545" i="6" s="1"/>
  <c r="N545" i="6"/>
  <c r="P545" i="6" s="1"/>
  <c r="AJ544" i="6"/>
  <c r="AI544" i="6"/>
  <c r="AH544" i="6"/>
  <c r="Q544" i="6"/>
  <c r="P544" i="6"/>
  <c r="O544" i="6"/>
  <c r="N544" i="6"/>
  <c r="AJ543" i="6"/>
  <c r="AI543" i="6"/>
  <c r="AH543" i="6"/>
  <c r="AJ542" i="6"/>
  <c r="AI542" i="6"/>
  <c r="AH542" i="6"/>
  <c r="O542" i="6"/>
  <c r="Q542" i="6" s="1"/>
  <c r="N542" i="6"/>
  <c r="P542" i="6" s="1"/>
  <c r="AJ541" i="6"/>
  <c r="AI541" i="6"/>
  <c r="AH541" i="6"/>
  <c r="Q541" i="6"/>
  <c r="P541" i="6"/>
  <c r="N541" i="6"/>
  <c r="AJ540" i="6"/>
  <c r="AI540" i="6"/>
  <c r="AH540" i="6"/>
  <c r="O540" i="6"/>
  <c r="Q540" i="6" s="1"/>
  <c r="N540" i="6"/>
  <c r="P540" i="6" s="1"/>
  <c r="AJ539" i="6"/>
  <c r="AI539" i="6"/>
  <c r="AH539" i="6"/>
  <c r="O539" i="6"/>
  <c r="Q539" i="6" s="1"/>
  <c r="N539" i="6"/>
  <c r="P539" i="6" s="1"/>
  <c r="AJ538" i="6"/>
  <c r="AI538" i="6"/>
  <c r="AH538" i="6"/>
  <c r="O538" i="6"/>
  <c r="Q538" i="6" s="1"/>
  <c r="N538" i="6"/>
  <c r="P538" i="6" s="1"/>
  <c r="AJ537" i="6"/>
  <c r="AI537" i="6"/>
  <c r="AH537" i="6"/>
  <c r="O537" i="6"/>
  <c r="Q537" i="6" s="1"/>
  <c r="N537" i="6"/>
  <c r="P537" i="6" s="1"/>
  <c r="AJ536" i="6"/>
  <c r="AI536" i="6"/>
  <c r="AH536" i="6"/>
  <c r="O536" i="6"/>
  <c r="Q536" i="6" s="1"/>
  <c r="N536" i="6"/>
  <c r="P536" i="6" s="1"/>
  <c r="AJ535" i="6"/>
  <c r="AI535" i="6"/>
  <c r="AH535" i="6"/>
  <c r="O535" i="6"/>
  <c r="Q535" i="6" s="1"/>
  <c r="N535" i="6"/>
  <c r="P535" i="6" s="1"/>
  <c r="AJ534" i="6"/>
  <c r="AI534" i="6"/>
  <c r="AH534" i="6"/>
  <c r="O534" i="6"/>
  <c r="Q534" i="6" s="1"/>
  <c r="N534" i="6"/>
  <c r="P534" i="6" s="1"/>
  <c r="AJ533" i="6"/>
  <c r="AI533" i="6"/>
  <c r="AH533" i="6"/>
  <c r="O533" i="6"/>
  <c r="Q533" i="6" s="1"/>
  <c r="N533" i="6"/>
  <c r="P533" i="6" s="1"/>
  <c r="AD532" i="6"/>
  <c r="AJ532" i="6" s="1"/>
  <c r="AC532" i="6"/>
  <c r="AI532" i="6" s="1"/>
  <c r="AB532" i="6"/>
  <c r="AH532" i="6" s="1"/>
  <c r="Q532" i="6"/>
  <c r="P532" i="6"/>
  <c r="O532" i="6"/>
  <c r="N532" i="6"/>
  <c r="AJ531" i="6"/>
  <c r="AI531" i="6"/>
  <c r="AH531" i="6"/>
  <c r="O531" i="6"/>
  <c r="Q531" i="6" s="1"/>
  <c r="N531" i="6"/>
  <c r="P531" i="6" s="1"/>
  <c r="AD530" i="6"/>
  <c r="AJ530" i="6" s="1"/>
  <c r="AC530" i="6"/>
  <c r="AB530" i="6"/>
  <c r="AH530" i="6" s="1"/>
  <c r="O530" i="6"/>
  <c r="Q530" i="6" s="1"/>
  <c r="N530" i="6"/>
  <c r="P530" i="6" s="1"/>
  <c r="AJ529" i="6"/>
  <c r="AI529" i="6"/>
  <c r="AH529" i="6"/>
  <c r="O529" i="6"/>
  <c r="Q529" i="6" s="1"/>
  <c r="N529" i="6"/>
  <c r="P529" i="6" s="1"/>
  <c r="AJ528" i="6"/>
  <c r="AI528" i="6"/>
  <c r="AH528" i="6"/>
  <c r="O528" i="6"/>
  <c r="Q528" i="6" s="1"/>
  <c r="N528" i="6"/>
  <c r="P528" i="6" s="1"/>
  <c r="AJ527" i="6"/>
  <c r="AI527" i="6"/>
  <c r="AH527" i="6"/>
  <c r="O527" i="6"/>
  <c r="Q527" i="6" s="1"/>
  <c r="N527" i="6"/>
  <c r="P527" i="6" s="1"/>
  <c r="AJ526" i="6"/>
  <c r="AI526" i="6"/>
  <c r="AH526" i="6"/>
  <c r="O526" i="6"/>
  <c r="Q526" i="6" s="1"/>
  <c r="N526" i="6"/>
  <c r="P526" i="6" s="1"/>
  <c r="AJ525" i="6"/>
  <c r="AI525" i="6"/>
  <c r="AH525" i="6"/>
  <c r="O525" i="6"/>
  <c r="Q525" i="6" s="1"/>
  <c r="N525" i="6"/>
  <c r="P525" i="6" s="1"/>
  <c r="AJ524" i="6"/>
  <c r="AI524" i="6"/>
  <c r="AH524" i="6"/>
  <c r="O524" i="6"/>
  <c r="Q524" i="6" s="1"/>
  <c r="N524" i="6"/>
  <c r="P524" i="6" s="1"/>
  <c r="AJ523" i="6"/>
  <c r="AI523" i="6"/>
  <c r="AH523" i="6"/>
  <c r="Q523" i="6"/>
  <c r="N523" i="6"/>
  <c r="P523" i="6" s="1"/>
  <c r="AJ522" i="6"/>
  <c r="AI522" i="6"/>
  <c r="AH522" i="6"/>
  <c r="O522" i="6"/>
  <c r="Q522" i="6" s="1"/>
  <c r="N522" i="6"/>
  <c r="P522" i="6" s="1"/>
  <c r="AJ521" i="6"/>
  <c r="AI521" i="6"/>
  <c r="AH521" i="6"/>
  <c r="O521" i="6"/>
  <c r="Q521" i="6" s="1"/>
  <c r="N521" i="6"/>
  <c r="P521" i="6" s="1"/>
  <c r="AJ520" i="6"/>
  <c r="AI520" i="6"/>
  <c r="AH520" i="6"/>
  <c r="O520" i="6"/>
  <c r="Q520" i="6" s="1"/>
  <c r="N520" i="6"/>
  <c r="P520" i="6" s="1"/>
  <c r="AJ519" i="6"/>
  <c r="AI519" i="6"/>
  <c r="AH519" i="6"/>
  <c r="O519" i="6"/>
  <c r="Q519" i="6" s="1"/>
  <c r="N519" i="6"/>
  <c r="P519" i="6" s="1"/>
  <c r="AD518" i="6"/>
  <c r="AC518" i="6"/>
  <c r="AB518" i="6"/>
  <c r="Z518" i="6"/>
  <c r="M518" i="6"/>
  <c r="M548" i="6" s="1"/>
  <c r="L518" i="6"/>
  <c r="K518" i="6"/>
  <c r="J518" i="6"/>
  <c r="I518" i="6"/>
  <c r="I548" i="6" s="1"/>
  <c r="H518" i="6"/>
  <c r="AJ517" i="6"/>
  <c r="AI517" i="6"/>
  <c r="AH517" i="6"/>
  <c r="O517" i="6"/>
  <c r="Q517" i="6" s="1"/>
  <c r="N517" i="6"/>
  <c r="P517" i="6" s="1"/>
  <c r="AJ516" i="6"/>
  <c r="AI516" i="6"/>
  <c r="AH516" i="6"/>
  <c r="O516" i="6"/>
  <c r="Q516" i="6" s="1"/>
  <c r="N516" i="6"/>
  <c r="P516" i="6" s="1"/>
  <c r="AJ515" i="6"/>
  <c r="AI515" i="6"/>
  <c r="AH515" i="6"/>
  <c r="O515" i="6"/>
  <c r="Q515" i="6" s="1"/>
  <c r="N515" i="6"/>
  <c r="P515" i="6" s="1"/>
  <c r="AJ514" i="6"/>
  <c r="AI514" i="6"/>
  <c r="AH514" i="6"/>
  <c r="AJ513" i="6"/>
  <c r="AI513" i="6"/>
  <c r="AH513" i="6"/>
  <c r="O513" i="6"/>
  <c r="Q513" i="6" s="1"/>
  <c r="N513" i="6"/>
  <c r="P513" i="6" s="1"/>
  <c r="AJ512" i="6"/>
  <c r="AI512" i="6"/>
  <c r="AH512" i="6"/>
  <c r="O512" i="6"/>
  <c r="Q512" i="6" s="1"/>
  <c r="N512" i="6"/>
  <c r="P512" i="6" s="1"/>
  <c r="AJ511" i="6"/>
  <c r="AI511" i="6"/>
  <c r="AH511" i="6"/>
  <c r="O511" i="6"/>
  <c r="Q511" i="6" s="1"/>
  <c r="N511" i="6"/>
  <c r="P511" i="6" s="1"/>
  <c r="AJ510" i="6"/>
  <c r="AI510" i="6"/>
  <c r="AH510" i="6"/>
  <c r="O510" i="6"/>
  <c r="Q510" i="6" s="1"/>
  <c r="N510" i="6"/>
  <c r="P510" i="6" s="1"/>
  <c r="AJ509" i="6"/>
  <c r="AI509" i="6"/>
  <c r="AH509" i="6"/>
  <c r="O509" i="6"/>
  <c r="Q509" i="6" s="1"/>
  <c r="N509" i="6"/>
  <c r="P509" i="6" s="1"/>
  <c r="AJ508" i="6"/>
  <c r="AI508" i="6"/>
  <c r="AH508" i="6"/>
  <c r="O508" i="6"/>
  <c r="Q508" i="6" s="1"/>
  <c r="N508" i="6"/>
  <c r="P508" i="6" s="1"/>
  <c r="AJ507" i="6"/>
  <c r="AI507" i="6"/>
  <c r="AH507" i="6"/>
  <c r="Q507" i="6"/>
  <c r="O507" i="6"/>
  <c r="N507" i="6"/>
  <c r="P507" i="6" s="1"/>
  <c r="AJ506" i="6"/>
  <c r="AI506" i="6"/>
  <c r="AH506" i="6"/>
  <c r="O506" i="6"/>
  <c r="Q506" i="6" s="1"/>
  <c r="N506" i="6"/>
  <c r="P506" i="6" s="1"/>
  <c r="AJ505" i="6"/>
  <c r="AI505" i="6"/>
  <c r="AH505" i="6"/>
  <c r="O505" i="6"/>
  <c r="Q505" i="6" s="1"/>
  <c r="N505" i="6"/>
  <c r="P505" i="6" s="1"/>
  <c r="AD504" i="6"/>
  <c r="AC504" i="6"/>
  <c r="AB504" i="6"/>
  <c r="AH504" i="6" s="1"/>
  <c r="O504" i="6"/>
  <c r="Q504" i="6" s="1"/>
  <c r="N504" i="6"/>
  <c r="P504" i="6" s="1"/>
  <c r="AJ503" i="6"/>
  <c r="AI503" i="6"/>
  <c r="AH503" i="6"/>
  <c r="O503" i="6"/>
  <c r="Q503" i="6" s="1"/>
  <c r="N503" i="6"/>
  <c r="P503" i="6" s="1"/>
  <c r="AJ502" i="6"/>
  <c r="AI502" i="6"/>
  <c r="AH502" i="6"/>
  <c r="P502" i="6"/>
  <c r="O502" i="6"/>
  <c r="Q502" i="6" s="1"/>
  <c r="N502" i="6"/>
  <c r="AJ501" i="6"/>
  <c r="AI501" i="6"/>
  <c r="AH501" i="6"/>
  <c r="O501" i="6"/>
  <c r="Q501" i="6" s="1"/>
  <c r="N501" i="6"/>
  <c r="P501" i="6" s="1"/>
  <c r="AJ500" i="6"/>
  <c r="AI500" i="6"/>
  <c r="AH500" i="6"/>
  <c r="O500" i="6"/>
  <c r="Q500" i="6" s="1"/>
  <c r="N500" i="6"/>
  <c r="P500" i="6" s="1"/>
  <c r="AJ499" i="6"/>
  <c r="AI499" i="6"/>
  <c r="AH499" i="6"/>
  <c r="O499" i="6"/>
  <c r="Q499" i="6" s="1"/>
  <c r="N499" i="6"/>
  <c r="P499" i="6" s="1"/>
  <c r="AJ498" i="6"/>
  <c r="AI498" i="6"/>
  <c r="AH498" i="6"/>
  <c r="O498" i="6"/>
  <c r="Q498" i="6" s="1"/>
  <c r="N498" i="6"/>
  <c r="P498" i="6" s="1"/>
  <c r="AJ497" i="6"/>
  <c r="AI497" i="6"/>
  <c r="AH497" i="6"/>
  <c r="O497" i="6"/>
  <c r="Q497" i="6" s="1"/>
  <c r="N497" i="6"/>
  <c r="P497" i="6" s="1"/>
  <c r="AJ496" i="6"/>
  <c r="AI496" i="6"/>
  <c r="AH496" i="6"/>
  <c r="O496" i="6"/>
  <c r="Q496" i="6" s="1"/>
  <c r="N496" i="6"/>
  <c r="P496" i="6" s="1"/>
  <c r="O495" i="6"/>
  <c r="Q495" i="6" s="1"/>
  <c r="N495" i="6"/>
  <c r="P495" i="6" s="1"/>
  <c r="AJ494" i="6"/>
  <c r="AI494" i="6"/>
  <c r="AH494" i="6"/>
  <c r="O494" i="6"/>
  <c r="Q494" i="6" s="1"/>
  <c r="N494" i="6"/>
  <c r="P494" i="6" s="1"/>
  <c r="AJ493" i="6"/>
  <c r="AI493" i="6"/>
  <c r="AH493" i="6"/>
  <c r="O493" i="6"/>
  <c r="Q493" i="6" s="1"/>
  <c r="N493" i="6"/>
  <c r="P493" i="6" s="1"/>
  <c r="AJ492" i="6"/>
  <c r="AI492" i="6"/>
  <c r="AH492" i="6"/>
  <c r="O492" i="6"/>
  <c r="Q492" i="6" s="1"/>
  <c r="N492" i="6"/>
  <c r="P492" i="6" s="1"/>
  <c r="AJ491" i="6"/>
  <c r="AI491" i="6"/>
  <c r="AH491" i="6"/>
  <c r="O491" i="6"/>
  <c r="Q491" i="6" s="1"/>
  <c r="N491" i="6"/>
  <c r="P491" i="6" s="1"/>
  <c r="AJ490" i="6"/>
  <c r="AI490" i="6"/>
  <c r="Q490" i="6"/>
  <c r="P490" i="6"/>
  <c r="Z488" i="6"/>
  <c r="M488" i="6"/>
  <c r="L488" i="6"/>
  <c r="K488" i="6"/>
  <c r="J488" i="6"/>
  <c r="I488" i="6"/>
  <c r="O488" i="6" s="1"/>
  <c r="Q488" i="6" s="1"/>
  <c r="H488" i="6"/>
  <c r="N488" i="6" s="1"/>
  <c r="P488" i="6" s="1"/>
  <c r="O487" i="6"/>
  <c r="Q487" i="6" s="1"/>
  <c r="N487" i="6"/>
  <c r="P487" i="6" s="1"/>
  <c r="AJ486" i="6"/>
  <c r="O486" i="6"/>
  <c r="Q486" i="6" s="1"/>
  <c r="N486" i="6"/>
  <c r="P486" i="6" s="1"/>
  <c r="AJ485" i="6"/>
  <c r="O485" i="6"/>
  <c r="Q485" i="6" s="1"/>
  <c r="N485" i="6"/>
  <c r="P485" i="6" s="1"/>
  <c r="O484" i="6"/>
  <c r="Q484" i="6" s="1"/>
  <c r="N484" i="6"/>
  <c r="P484" i="6" s="1"/>
  <c r="AJ483" i="6"/>
  <c r="Q483" i="6"/>
  <c r="P483" i="6"/>
  <c r="O483" i="6"/>
  <c r="N483" i="6"/>
  <c r="AJ482" i="6"/>
  <c r="O482" i="6"/>
  <c r="Q482" i="6" s="1"/>
  <c r="N482" i="6"/>
  <c r="P482" i="6" s="1"/>
  <c r="O481" i="6"/>
  <c r="Q481" i="6" s="1"/>
  <c r="N481" i="6"/>
  <c r="P481" i="6" s="1"/>
  <c r="AJ480" i="6"/>
  <c r="AI480" i="6"/>
  <c r="Z479" i="6"/>
  <c r="M479" i="6"/>
  <c r="L479" i="6"/>
  <c r="K479" i="6"/>
  <c r="O479" i="6" s="1"/>
  <c r="Q479" i="6" s="1"/>
  <c r="J479" i="6"/>
  <c r="I479" i="6"/>
  <c r="H479" i="6"/>
  <c r="O478" i="6"/>
  <c r="Q478" i="6" s="1"/>
  <c r="N478" i="6"/>
  <c r="P478" i="6" s="1"/>
  <c r="O477" i="6"/>
  <c r="Q477" i="6" s="1"/>
  <c r="N477" i="6"/>
  <c r="P477" i="6" s="1"/>
  <c r="AJ476" i="6"/>
  <c r="Q476" i="6"/>
  <c r="P476" i="6"/>
  <c r="O476" i="6"/>
  <c r="N476" i="6"/>
  <c r="O475" i="6"/>
  <c r="Q475" i="6" s="1"/>
  <c r="N475" i="6"/>
  <c r="P475" i="6" s="1"/>
  <c r="O474" i="6"/>
  <c r="Q474" i="6" s="1"/>
  <c r="N474" i="6"/>
  <c r="P474" i="6" s="1"/>
  <c r="AJ473" i="6"/>
  <c r="O473" i="6"/>
  <c r="Q473" i="6" s="1"/>
  <c r="N473" i="6"/>
  <c r="P473" i="6" s="1"/>
  <c r="AJ472" i="6"/>
  <c r="O472" i="6"/>
  <c r="Q472" i="6" s="1"/>
  <c r="N472" i="6"/>
  <c r="P472" i="6" s="1"/>
  <c r="AJ471" i="6"/>
  <c r="O471" i="6"/>
  <c r="Q471" i="6" s="1"/>
  <c r="N471" i="6"/>
  <c r="P471" i="6" s="1"/>
  <c r="AJ470" i="6"/>
  <c r="AI470" i="6"/>
  <c r="Z469" i="6"/>
  <c r="M469" i="6"/>
  <c r="L469" i="6"/>
  <c r="K469" i="6"/>
  <c r="J469" i="6"/>
  <c r="I469" i="6"/>
  <c r="H469" i="6"/>
  <c r="O468" i="6"/>
  <c r="Q468" i="6" s="1"/>
  <c r="N468" i="6"/>
  <c r="P468" i="6" s="1"/>
  <c r="AJ467" i="6"/>
  <c r="O467" i="6"/>
  <c r="Q467" i="6" s="1"/>
  <c r="N467" i="6"/>
  <c r="P467" i="6" s="1"/>
  <c r="O466" i="6"/>
  <c r="Q466" i="6" s="1"/>
  <c r="N466" i="6"/>
  <c r="P466" i="6" s="1"/>
  <c r="AJ465" i="6"/>
  <c r="AI465" i="6"/>
  <c r="Q465" i="6"/>
  <c r="P465" i="6"/>
  <c r="Z464" i="6"/>
  <c r="M464" i="6"/>
  <c r="L464" i="6"/>
  <c r="K464" i="6"/>
  <c r="J464" i="6"/>
  <c r="I464" i="6"/>
  <c r="O464" i="6" s="1"/>
  <c r="Q464" i="6" s="1"/>
  <c r="H464" i="6"/>
  <c r="N464" i="6" s="1"/>
  <c r="P464" i="6" s="1"/>
  <c r="AJ463" i="6"/>
  <c r="AI463" i="6"/>
  <c r="AH463" i="6"/>
  <c r="P463" i="6"/>
  <c r="O463" i="6"/>
  <c r="Q463" i="6" s="1"/>
  <c r="N463" i="6"/>
  <c r="O462" i="6"/>
  <c r="Q462" i="6" s="1"/>
  <c r="N462" i="6"/>
  <c r="P462" i="6" s="1"/>
  <c r="AJ461" i="6"/>
  <c r="O461" i="6"/>
  <c r="Q461" i="6" s="1"/>
  <c r="N461" i="6"/>
  <c r="P461" i="6" s="1"/>
  <c r="AJ460" i="6"/>
  <c r="O460" i="6"/>
  <c r="Q460" i="6" s="1"/>
  <c r="N460" i="6"/>
  <c r="P460" i="6" s="1"/>
  <c r="AJ459" i="6"/>
  <c r="O459" i="6"/>
  <c r="Q459" i="6" s="1"/>
  <c r="N459" i="6"/>
  <c r="P459" i="6" s="1"/>
  <c r="AJ458" i="6"/>
  <c r="Q458" i="6"/>
  <c r="O458" i="6"/>
  <c r="N458" i="6"/>
  <c r="P458" i="6" s="1"/>
  <c r="AJ457" i="6"/>
  <c r="O457" i="6"/>
  <c r="Q457" i="6" s="1"/>
  <c r="N457" i="6"/>
  <c r="P457" i="6" s="1"/>
  <c r="AJ456" i="6"/>
  <c r="AI456" i="6"/>
  <c r="Z454" i="6"/>
  <c r="Z455" i="6" s="1"/>
  <c r="M454" i="6"/>
  <c r="M455" i="6" s="1"/>
  <c r="L454" i="6"/>
  <c r="L455" i="6" s="1"/>
  <c r="K454" i="6"/>
  <c r="K455" i="6" s="1"/>
  <c r="J454" i="6"/>
  <c r="J455" i="6" s="1"/>
  <c r="I454" i="6"/>
  <c r="H454" i="6"/>
  <c r="AJ453" i="6"/>
  <c r="O453" i="6"/>
  <c r="Q453" i="6" s="1"/>
  <c r="N453" i="6"/>
  <c r="P453" i="6" s="1"/>
  <c r="Q452" i="6"/>
  <c r="O452" i="6"/>
  <c r="N452" i="6"/>
  <c r="P452" i="6" s="1"/>
  <c r="O451" i="6"/>
  <c r="Q451" i="6" s="1"/>
  <c r="N451" i="6"/>
  <c r="P451" i="6" s="1"/>
  <c r="O450" i="6"/>
  <c r="Q450" i="6" s="1"/>
  <c r="N450" i="6"/>
  <c r="P450" i="6" s="1"/>
  <c r="O449" i="6"/>
  <c r="Q449" i="6" s="1"/>
  <c r="N449" i="6"/>
  <c r="P449" i="6" s="1"/>
  <c r="O448" i="6"/>
  <c r="Q448" i="6" s="1"/>
  <c r="N448" i="6"/>
  <c r="P448" i="6" s="1"/>
  <c r="P447" i="6"/>
  <c r="O447" i="6"/>
  <c r="Q447" i="6" s="1"/>
  <c r="N447" i="6"/>
  <c r="O446" i="6"/>
  <c r="Q446" i="6" s="1"/>
  <c r="N446" i="6"/>
  <c r="P446" i="6" s="1"/>
  <c r="O445" i="6"/>
  <c r="Q445" i="6" s="1"/>
  <c r="N445" i="6"/>
  <c r="P445" i="6" s="1"/>
  <c r="O444" i="6"/>
  <c r="Q444" i="6" s="1"/>
  <c r="N444" i="6"/>
  <c r="P444" i="6" s="1"/>
  <c r="AJ441" i="6"/>
  <c r="AB441" i="6"/>
  <c r="AH441" i="6" s="1"/>
  <c r="Z441" i="6"/>
  <c r="M441" i="6"/>
  <c r="L441" i="6"/>
  <c r="K441" i="6"/>
  <c r="J441" i="6"/>
  <c r="I441" i="6"/>
  <c r="H441" i="6"/>
  <c r="AH440" i="6"/>
  <c r="O440" i="6"/>
  <c r="Q440" i="6" s="1"/>
  <c r="N440" i="6"/>
  <c r="P440" i="6" s="1"/>
  <c r="AK439" i="6"/>
  <c r="AL439" i="6" s="1"/>
  <c r="AG439" i="6" s="1"/>
  <c r="AH439" i="6"/>
  <c r="O439" i="6"/>
  <c r="Q439" i="6" s="1"/>
  <c r="N439" i="6"/>
  <c r="P439" i="6" s="1"/>
  <c r="AH438" i="6"/>
  <c r="O438" i="6"/>
  <c r="Q438" i="6" s="1"/>
  <c r="N438" i="6"/>
  <c r="P438" i="6" s="1"/>
  <c r="AH437" i="6"/>
  <c r="O437" i="6"/>
  <c r="Q437" i="6" s="1"/>
  <c r="N437" i="6"/>
  <c r="P437" i="6" s="1"/>
  <c r="AH436" i="6"/>
  <c r="O436" i="6"/>
  <c r="Q436" i="6" s="1"/>
  <c r="N436" i="6"/>
  <c r="P436" i="6" s="1"/>
  <c r="AH435" i="6"/>
  <c r="O435" i="6"/>
  <c r="Q435" i="6" s="1"/>
  <c r="N435" i="6"/>
  <c r="P435" i="6" s="1"/>
  <c r="AH434" i="6"/>
  <c r="O434" i="6"/>
  <c r="Q434" i="6" s="1"/>
  <c r="N434" i="6"/>
  <c r="P434" i="6" s="1"/>
  <c r="AH433" i="6"/>
  <c r="O433" i="6"/>
  <c r="Q433" i="6" s="1"/>
  <c r="N433" i="6"/>
  <c r="P433" i="6" s="1"/>
  <c r="AH432" i="6"/>
  <c r="O432" i="6"/>
  <c r="Q432" i="6" s="1"/>
  <c r="N432" i="6"/>
  <c r="P432" i="6" s="1"/>
  <c r="AH431" i="6"/>
  <c r="O431" i="6"/>
  <c r="Q431" i="6" s="1"/>
  <c r="N431" i="6"/>
  <c r="P431" i="6" s="1"/>
  <c r="Q430" i="6"/>
  <c r="P430" i="6"/>
  <c r="Q429" i="6"/>
  <c r="P429" i="6"/>
  <c r="AD427" i="6"/>
  <c r="AC427" i="6"/>
  <c r="AB427" i="6"/>
  <c r="Z427" i="6"/>
  <c r="Q427" i="6"/>
  <c r="L427" i="6"/>
  <c r="L428" i="6" s="1"/>
  <c r="J427" i="6"/>
  <c r="H427" i="6"/>
  <c r="N427" i="6" s="1"/>
  <c r="P427" i="6" s="1"/>
  <c r="Q426" i="6"/>
  <c r="N426" i="6"/>
  <c r="P426" i="6" s="1"/>
  <c r="Q425" i="6"/>
  <c r="N425" i="6"/>
  <c r="P425" i="6" s="1"/>
  <c r="AD423" i="6"/>
  <c r="AC423" i="6"/>
  <c r="Z423" i="6"/>
  <c r="Z428" i="6" s="1"/>
  <c r="L423" i="6"/>
  <c r="O422" i="6"/>
  <c r="Q422" i="6" s="1"/>
  <c r="N422" i="6"/>
  <c r="P422" i="6" s="1"/>
  <c r="P421" i="6"/>
  <c r="O421" i="6"/>
  <c r="Q421" i="6" s="1"/>
  <c r="N421" i="6"/>
  <c r="O420" i="6"/>
  <c r="Q420" i="6" s="1"/>
  <c r="N420" i="6"/>
  <c r="P420" i="6" s="1"/>
  <c r="O419" i="6"/>
  <c r="Q419" i="6" s="1"/>
  <c r="N419" i="6"/>
  <c r="P419" i="6" s="1"/>
  <c r="O418" i="6"/>
  <c r="Q418" i="6" s="1"/>
  <c r="N418" i="6"/>
  <c r="P418" i="6" s="1"/>
  <c r="O417" i="6"/>
  <c r="Q417" i="6" s="1"/>
  <c r="N417" i="6"/>
  <c r="P417" i="6" s="1"/>
  <c r="Q416" i="6"/>
  <c r="O416" i="6"/>
  <c r="N416" i="6"/>
  <c r="P416" i="6" s="1"/>
  <c r="P415" i="6"/>
  <c r="O415" i="6"/>
  <c r="Q415" i="6" s="1"/>
  <c r="N415" i="6"/>
  <c r="O414" i="6"/>
  <c r="Q414" i="6" s="1"/>
  <c r="N414" i="6"/>
  <c r="P414" i="6" s="1"/>
  <c r="Q413" i="6"/>
  <c r="N413" i="6"/>
  <c r="P413" i="6" s="1"/>
  <c r="Q412" i="6"/>
  <c r="O412" i="6"/>
  <c r="N412" i="6"/>
  <c r="P412" i="6" s="1"/>
  <c r="O411" i="6"/>
  <c r="Q411" i="6" s="1"/>
  <c r="N411" i="6"/>
  <c r="P411" i="6" s="1"/>
  <c r="O410" i="6"/>
  <c r="Q410" i="6" s="1"/>
  <c r="N410" i="6"/>
  <c r="P410" i="6" s="1"/>
  <c r="O409" i="6"/>
  <c r="Q409" i="6" s="1"/>
  <c r="N409" i="6"/>
  <c r="P409" i="6" s="1"/>
  <c r="O408" i="6"/>
  <c r="Q408" i="6" s="1"/>
  <c r="N408" i="6"/>
  <c r="P408" i="6" s="1"/>
  <c r="O407" i="6"/>
  <c r="Q407" i="6" s="1"/>
  <c r="N407" i="6"/>
  <c r="P407" i="6" s="1"/>
  <c r="Q406" i="6"/>
  <c r="N406" i="6"/>
  <c r="P406" i="6" s="1"/>
  <c r="M405" i="6"/>
  <c r="M423" i="6" s="1"/>
  <c r="L405" i="6"/>
  <c r="K405" i="6"/>
  <c r="K423" i="6" s="1"/>
  <c r="K428" i="6" s="1"/>
  <c r="J405" i="6"/>
  <c r="J423" i="6" s="1"/>
  <c r="I405" i="6"/>
  <c r="I423" i="6" s="1"/>
  <c r="I428" i="6" s="1"/>
  <c r="H405" i="6"/>
  <c r="H423" i="6" s="1"/>
  <c r="O404" i="6"/>
  <c r="Q404" i="6" s="1"/>
  <c r="N404" i="6"/>
  <c r="P404" i="6" s="1"/>
  <c r="O402" i="6"/>
  <c r="Q402" i="6" s="1"/>
  <c r="N402" i="6"/>
  <c r="P402" i="6" s="1"/>
  <c r="AD401" i="6"/>
  <c r="AC401" i="6"/>
  <c r="AB401" i="6"/>
  <c r="AB423" i="6" s="1"/>
  <c r="AB428" i="6" s="1"/>
  <c r="O401" i="6"/>
  <c r="Q401" i="6" s="1"/>
  <c r="N401" i="6"/>
  <c r="P401" i="6" s="1"/>
  <c r="O400" i="6"/>
  <c r="Q400" i="6" s="1"/>
  <c r="N400" i="6"/>
  <c r="P400" i="6" s="1"/>
  <c r="O399" i="6"/>
  <c r="Q399" i="6" s="1"/>
  <c r="N399" i="6"/>
  <c r="P399" i="6" s="1"/>
  <c r="O398" i="6"/>
  <c r="Q398" i="6" s="1"/>
  <c r="N398" i="6"/>
  <c r="P398" i="6" s="1"/>
  <c r="O397" i="6"/>
  <c r="Q397" i="6" s="1"/>
  <c r="N397" i="6"/>
  <c r="P397" i="6" s="1"/>
  <c r="O396" i="6"/>
  <c r="Q396" i="6" s="1"/>
  <c r="N396" i="6"/>
  <c r="P396" i="6" s="1"/>
  <c r="Q395" i="6"/>
  <c r="O395" i="6"/>
  <c r="N395" i="6"/>
  <c r="P395" i="6" s="1"/>
  <c r="O394" i="6"/>
  <c r="Q394" i="6" s="1"/>
  <c r="N394" i="6"/>
  <c r="P394" i="6" s="1"/>
  <c r="Q393" i="6"/>
  <c r="O393" i="6"/>
  <c r="N393" i="6"/>
  <c r="P393" i="6" s="1"/>
  <c r="O392" i="6"/>
  <c r="Q392" i="6" s="1"/>
  <c r="N392" i="6"/>
  <c r="P392" i="6" s="1"/>
  <c r="O391" i="6"/>
  <c r="Q391" i="6" s="1"/>
  <c r="N391" i="6"/>
  <c r="P391" i="6" s="1"/>
  <c r="O390" i="6"/>
  <c r="Q390" i="6" s="1"/>
  <c r="N390" i="6"/>
  <c r="P390" i="6" s="1"/>
  <c r="O389" i="6"/>
  <c r="Q389" i="6" s="1"/>
  <c r="N389" i="6"/>
  <c r="P389" i="6" s="1"/>
  <c r="O388" i="6"/>
  <c r="Q388" i="6" s="1"/>
  <c r="N388" i="6"/>
  <c r="P388" i="6" s="1"/>
  <c r="O387" i="6"/>
  <c r="Q387" i="6" s="1"/>
  <c r="N387" i="6"/>
  <c r="P387" i="6" s="1"/>
  <c r="O385" i="6"/>
  <c r="Q385" i="6" s="1"/>
  <c r="N385" i="6"/>
  <c r="P385" i="6" s="1"/>
  <c r="O384" i="6"/>
  <c r="Q384" i="6" s="1"/>
  <c r="N384" i="6"/>
  <c r="P384" i="6" s="1"/>
  <c r="Q383" i="6"/>
  <c r="N383" i="6"/>
  <c r="P383" i="6" s="1"/>
  <c r="O382" i="6"/>
  <c r="Q382" i="6" s="1"/>
  <c r="N382" i="6"/>
  <c r="P382" i="6" s="1"/>
  <c r="O381" i="6"/>
  <c r="Q381" i="6" s="1"/>
  <c r="N381" i="6"/>
  <c r="P381" i="6" s="1"/>
  <c r="O380" i="6"/>
  <c r="Q380" i="6" s="1"/>
  <c r="N380" i="6"/>
  <c r="P380" i="6" s="1"/>
  <c r="Q379" i="6"/>
  <c r="O379" i="6"/>
  <c r="N379" i="6"/>
  <c r="P379" i="6" s="1"/>
  <c r="Z376" i="6"/>
  <c r="M376" i="6"/>
  <c r="L376" i="6"/>
  <c r="K376" i="6"/>
  <c r="J376" i="6"/>
  <c r="I376" i="6"/>
  <c r="H376" i="6"/>
  <c r="AD375" i="6"/>
  <c r="AC375" i="6"/>
  <c r="AB375" i="6"/>
  <c r="O375" i="6"/>
  <c r="Q375" i="6" s="1"/>
  <c r="N375" i="6"/>
  <c r="P375" i="6" s="1"/>
  <c r="AD374" i="6"/>
  <c r="AC374" i="6"/>
  <c r="AB374" i="6"/>
  <c r="O374" i="6"/>
  <c r="Q374" i="6" s="1"/>
  <c r="N374" i="6"/>
  <c r="P374" i="6" s="1"/>
  <c r="AD373" i="6"/>
  <c r="AC373" i="6"/>
  <c r="AB373" i="6"/>
  <c r="O373" i="6"/>
  <c r="Q373" i="6" s="1"/>
  <c r="N373" i="6"/>
  <c r="P373" i="6" s="1"/>
  <c r="Q372" i="6"/>
  <c r="P372" i="6"/>
  <c r="AC371" i="6"/>
  <c r="AB371" i="6"/>
  <c r="Z371" i="6"/>
  <c r="M371" i="6"/>
  <c r="L371" i="6"/>
  <c r="K371" i="6"/>
  <c r="J371" i="6"/>
  <c r="I371" i="6"/>
  <c r="H371" i="6"/>
  <c r="N371" i="6" s="1"/>
  <c r="P371" i="6" s="1"/>
  <c r="O370" i="6"/>
  <c r="Q370" i="6" s="1"/>
  <c r="N370" i="6"/>
  <c r="P370" i="6" s="1"/>
  <c r="O369" i="6"/>
  <c r="Q369" i="6" s="1"/>
  <c r="N369" i="6"/>
  <c r="P369" i="6" s="1"/>
  <c r="O368" i="6"/>
  <c r="Q368" i="6" s="1"/>
  <c r="N368" i="6"/>
  <c r="P368" i="6" s="1"/>
  <c r="AD367" i="6"/>
  <c r="AD371" i="6" s="1"/>
  <c r="AC367" i="6"/>
  <c r="AB367" i="6"/>
  <c r="O367" i="6"/>
  <c r="Q367" i="6" s="1"/>
  <c r="N367" i="6"/>
  <c r="P367" i="6" s="1"/>
  <c r="O366" i="6"/>
  <c r="Q366" i="6" s="1"/>
  <c r="N366" i="6"/>
  <c r="P366" i="6" s="1"/>
  <c r="O362" i="6"/>
  <c r="Q362" i="6" s="1"/>
  <c r="N362" i="6"/>
  <c r="P362" i="6" s="1"/>
  <c r="AD361" i="6"/>
  <c r="AC361" i="6"/>
  <c r="AB361" i="6"/>
  <c r="Z361" i="6"/>
  <c r="Z363" i="6" s="1"/>
  <c r="M361" i="6"/>
  <c r="L361" i="6"/>
  <c r="K361" i="6"/>
  <c r="J361" i="6"/>
  <c r="I361" i="6"/>
  <c r="H361" i="6"/>
  <c r="H363" i="6" s="1"/>
  <c r="O360" i="6"/>
  <c r="Q360" i="6" s="1"/>
  <c r="N360" i="6"/>
  <c r="P360" i="6" s="1"/>
  <c r="O359" i="6"/>
  <c r="Q359" i="6" s="1"/>
  <c r="N359" i="6"/>
  <c r="P359" i="6" s="1"/>
  <c r="O357" i="6"/>
  <c r="Q357" i="6" s="1"/>
  <c r="N357" i="6"/>
  <c r="P357" i="6" s="1"/>
  <c r="O356" i="6"/>
  <c r="Q356" i="6" s="1"/>
  <c r="N356" i="6"/>
  <c r="P356" i="6" s="1"/>
  <c r="O355" i="6"/>
  <c r="Q355" i="6" s="1"/>
  <c r="N355" i="6"/>
  <c r="P355" i="6" s="1"/>
  <c r="O354" i="6"/>
  <c r="Q354" i="6" s="1"/>
  <c r="N354" i="6"/>
  <c r="P354" i="6" s="1"/>
  <c r="Q353" i="6"/>
  <c r="O353" i="6"/>
  <c r="N353" i="6"/>
  <c r="P353" i="6" s="1"/>
  <c r="O352" i="6"/>
  <c r="Q352" i="6" s="1"/>
  <c r="N352" i="6"/>
  <c r="P352" i="6" s="1"/>
  <c r="O351" i="6"/>
  <c r="Q351" i="6" s="1"/>
  <c r="N351" i="6"/>
  <c r="P351" i="6" s="1"/>
  <c r="O350" i="6"/>
  <c r="Q350" i="6" s="1"/>
  <c r="N350" i="6"/>
  <c r="P350" i="6" s="1"/>
  <c r="Q349" i="6"/>
  <c r="O349" i="6"/>
  <c r="N349" i="6"/>
  <c r="P349" i="6" s="1"/>
  <c r="O348" i="6"/>
  <c r="Q348" i="6" s="1"/>
  <c r="N348" i="6"/>
  <c r="P348" i="6" s="1"/>
  <c r="Q347" i="6"/>
  <c r="O347" i="6"/>
  <c r="N347" i="6"/>
  <c r="P347" i="6" s="1"/>
  <c r="O346" i="6"/>
  <c r="Q346" i="6" s="1"/>
  <c r="N346" i="6"/>
  <c r="P346" i="6" s="1"/>
  <c r="Q345" i="6"/>
  <c r="N345" i="6"/>
  <c r="P345" i="6" s="1"/>
  <c r="O344" i="6"/>
  <c r="Q344" i="6" s="1"/>
  <c r="N344" i="6"/>
  <c r="P344" i="6" s="1"/>
  <c r="Q343" i="6"/>
  <c r="O343" i="6"/>
  <c r="N343" i="6"/>
  <c r="P343" i="6" s="1"/>
  <c r="AD342" i="6"/>
  <c r="AD363" i="6" s="1"/>
  <c r="AC342" i="6"/>
  <c r="AC363" i="6" s="1"/>
  <c r="AB342" i="6"/>
  <c r="AB363" i="6" s="1"/>
  <c r="Z342" i="6"/>
  <c r="M342" i="6"/>
  <c r="L342" i="6"/>
  <c r="K342" i="6"/>
  <c r="J342" i="6"/>
  <c r="I342" i="6"/>
  <c r="H342" i="6"/>
  <c r="O341" i="6"/>
  <c r="Q341" i="6" s="1"/>
  <c r="N341" i="6"/>
  <c r="P341" i="6" s="1"/>
  <c r="O339" i="6"/>
  <c r="Q339" i="6" s="1"/>
  <c r="N339" i="6"/>
  <c r="P339" i="6" s="1"/>
  <c r="Q338" i="6"/>
  <c r="N338" i="6"/>
  <c r="P338" i="6" s="1"/>
  <c r="O337" i="6"/>
  <c r="Q337" i="6" s="1"/>
  <c r="N337" i="6"/>
  <c r="P337" i="6" s="1"/>
  <c r="Q336" i="6"/>
  <c r="N336" i="6"/>
  <c r="P336" i="6" s="1"/>
  <c r="O332" i="6"/>
  <c r="Q332" i="6" s="1"/>
  <c r="N332" i="6"/>
  <c r="P332" i="6" s="1"/>
  <c r="AD331" i="6"/>
  <c r="AC331" i="6"/>
  <c r="AB331" i="6"/>
  <c r="Z331" i="6"/>
  <c r="M331" i="6"/>
  <c r="L331" i="6"/>
  <c r="K331" i="6"/>
  <c r="J331" i="6"/>
  <c r="I331" i="6"/>
  <c r="H331" i="6"/>
  <c r="O330" i="6"/>
  <c r="Q330" i="6" s="1"/>
  <c r="N330" i="6"/>
  <c r="P330" i="6" s="1"/>
  <c r="AD328" i="6"/>
  <c r="AC328" i="6"/>
  <c r="AB328" i="6"/>
  <c r="Z328" i="6"/>
  <c r="M328" i="6"/>
  <c r="L328" i="6"/>
  <c r="K328" i="6"/>
  <c r="J328" i="6"/>
  <c r="I328" i="6"/>
  <c r="H328" i="6"/>
  <c r="O326" i="6"/>
  <c r="Q326" i="6" s="1"/>
  <c r="N326" i="6"/>
  <c r="P326" i="6" s="1"/>
  <c r="O325" i="6"/>
  <c r="Q325" i="6" s="1"/>
  <c r="N325" i="6"/>
  <c r="P325" i="6" s="1"/>
  <c r="O324" i="6"/>
  <c r="Q324" i="6" s="1"/>
  <c r="N324" i="6"/>
  <c r="P324" i="6" s="1"/>
  <c r="O323" i="6"/>
  <c r="Q323" i="6" s="1"/>
  <c r="N323" i="6"/>
  <c r="P323" i="6" s="1"/>
  <c r="O322" i="6"/>
  <c r="Q322" i="6" s="1"/>
  <c r="N322" i="6"/>
  <c r="P322" i="6" s="1"/>
  <c r="O321" i="6"/>
  <c r="Q321" i="6" s="1"/>
  <c r="N321" i="6"/>
  <c r="P321" i="6" s="1"/>
  <c r="AD319" i="6"/>
  <c r="AC319" i="6"/>
  <c r="AB319" i="6"/>
  <c r="Z319" i="6"/>
  <c r="M319" i="6"/>
  <c r="L319" i="6"/>
  <c r="K319" i="6"/>
  <c r="J319" i="6"/>
  <c r="I319" i="6"/>
  <c r="H319" i="6"/>
  <c r="O318" i="6"/>
  <c r="Q318" i="6" s="1"/>
  <c r="N318" i="6"/>
  <c r="P318" i="6" s="1"/>
  <c r="O317" i="6"/>
  <c r="Q317" i="6" s="1"/>
  <c r="N317" i="6"/>
  <c r="P317" i="6" s="1"/>
  <c r="O316" i="6"/>
  <c r="Q316" i="6" s="1"/>
  <c r="N316" i="6"/>
  <c r="P316" i="6" s="1"/>
  <c r="O315" i="6"/>
  <c r="Q315" i="6" s="1"/>
  <c r="N315" i="6"/>
  <c r="P315" i="6" s="1"/>
  <c r="O314" i="6"/>
  <c r="Q314" i="6" s="1"/>
  <c r="N314" i="6"/>
  <c r="P314" i="6" s="1"/>
  <c r="O313" i="6"/>
  <c r="Q313" i="6" s="1"/>
  <c r="N313" i="6"/>
  <c r="P313" i="6" s="1"/>
  <c r="O312" i="6"/>
  <c r="Q312" i="6" s="1"/>
  <c r="N312" i="6"/>
  <c r="P312" i="6" s="1"/>
  <c r="O311" i="6"/>
  <c r="Q311" i="6" s="1"/>
  <c r="N311" i="6"/>
  <c r="P311" i="6" s="1"/>
  <c r="O310" i="6"/>
  <c r="Q310" i="6" s="1"/>
  <c r="N310" i="6"/>
  <c r="P310" i="6" s="1"/>
  <c r="O309" i="6"/>
  <c r="Q309" i="6" s="1"/>
  <c r="N309" i="6"/>
  <c r="P309" i="6" s="1"/>
  <c r="AD307" i="6"/>
  <c r="AC307" i="6"/>
  <c r="AB307" i="6"/>
  <c r="Z307" i="6"/>
  <c r="M307" i="6"/>
  <c r="L307" i="6"/>
  <c r="K307" i="6"/>
  <c r="J307" i="6"/>
  <c r="I307" i="6"/>
  <c r="H307" i="6"/>
  <c r="O306" i="6"/>
  <c r="Q306" i="6" s="1"/>
  <c r="N306" i="6"/>
  <c r="P306" i="6" s="1"/>
  <c r="O305" i="6"/>
  <c r="Q305" i="6" s="1"/>
  <c r="N305" i="6"/>
  <c r="P305" i="6" s="1"/>
  <c r="O304" i="6"/>
  <c r="Q304" i="6" s="1"/>
  <c r="N304" i="6"/>
  <c r="P304" i="6" s="1"/>
  <c r="O303" i="6"/>
  <c r="Q303" i="6" s="1"/>
  <c r="N303" i="6"/>
  <c r="P303" i="6" s="1"/>
  <c r="AD301" i="6"/>
  <c r="AC301" i="6"/>
  <c r="AB301" i="6"/>
  <c r="Z301" i="6"/>
  <c r="M301" i="6"/>
  <c r="L301" i="6"/>
  <c r="K301" i="6"/>
  <c r="J301" i="6"/>
  <c r="I301" i="6"/>
  <c r="H301" i="6"/>
  <c r="O300" i="6"/>
  <c r="Q300" i="6" s="1"/>
  <c r="N300" i="6"/>
  <c r="P300" i="6" s="1"/>
  <c r="O299" i="6"/>
  <c r="Q299" i="6" s="1"/>
  <c r="N299" i="6"/>
  <c r="P299" i="6" s="1"/>
  <c r="O298" i="6"/>
  <c r="Q298" i="6" s="1"/>
  <c r="N298" i="6"/>
  <c r="P298" i="6" s="1"/>
  <c r="O297" i="6"/>
  <c r="Q297" i="6" s="1"/>
  <c r="N297" i="6"/>
  <c r="P297" i="6" s="1"/>
  <c r="O296" i="6"/>
  <c r="Q296" i="6" s="1"/>
  <c r="N296" i="6"/>
  <c r="P296" i="6" s="1"/>
  <c r="O295" i="6"/>
  <c r="Q295" i="6" s="1"/>
  <c r="N295" i="6"/>
  <c r="P295" i="6" s="1"/>
  <c r="O294" i="6"/>
  <c r="Q294" i="6" s="1"/>
  <c r="N294" i="6"/>
  <c r="P294" i="6" s="1"/>
  <c r="O293" i="6"/>
  <c r="Q293" i="6" s="1"/>
  <c r="N293" i="6"/>
  <c r="P293" i="6" s="1"/>
  <c r="O292" i="6"/>
  <c r="Q292" i="6" s="1"/>
  <c r="N292" i="6"/>
  <c r="P292" i="6" s="1"/>
  <c r="O291" i="6"/>
  <c r="Q291" i="6" s="1"/>
  <c r="N291" i="6"/>
  <c r="P291" i="6" s="1"/>
  <c r="O290" i="6"/>
  <c r="Q290" i="6" s="1"/>
  <c r="N290" i="6"/>
  <c r="P290" i="6" s="1"/>
  <c r="AD288" i="6"/>
  <c r="AC288" i="6"/>
  <c r="AB288" i="6"/>
  <c r="Z288" i="6"/>
  <c r="M288" i="6"/>
  <c r="L288" i="6"/>
  <c r="K288" i="6"/>
  <c r="J288" i="6"/>
  <c r="I288" i="6"/>
  <c r="O288" i="6" s="1"/>
  <c r="Q288" i="6" s="1"/>
  <c r="H288" i="6"/>
  <c r="N288" i="6" s="1"/>
  <c r="P288" i="6" s="1"/>
  <c r="O287" i="6"/>
  <c r="Q287" i="6" s="1"/>
  <c r="N287" i="6"/>
  <c r="P287" i="6" s="1"/>
  <c r="O286" i="6"/>
  <c r="Q286" i="6" s="1"/>
  <c r="N286" i="6"/>
  <c r="P286" i="6" s="1"/>
  <c r="O285" i="6"/>
  <c r="Q285" i="6" s="1"/>
  <c r="N285" i="6"/>
  <c r="P285" i="6" s="1"/>
  <c r="O284" i="6"/>
  <c r="Q284" i="6" s="1"/>
  <c r="N284" i="6"/>
  <c r="P284" i="6" s="1"/>
  <c r="O283" i="6"/>
  <c r="Q283" i="6" s="1"/>
  <c r="N283" i="6"/>
  <c r="P283" i="6" s="1"/>
  <c r="O282" i="6"/>
  <c r="Q282" i="6" s="1"/>
  <c r="N282" i="6"/>
  <c r="P282" i="6" s="1"/>
  <c r="Q281" i="6"/>
  <c r="P281" i="6"/>
  <c r="AD280" i="6"/>
  <c r="AC280" i="6"/>
  <c r="AB280" i="6"/>
  <c r="Z280" i="6"/>
  <c r="M280" i="6"/>
  <c r="L280" i="6"/>
  <c r="K280" i="6"/>
  <c r="J280" i="6"/>
  <c r="I280" i="6"/>
  <c r="O280" i="6" s="1"/>
  <c r="Q280" i="6" s="1"/>
  <c r="H280" i="6"/>
  <c r="O279" i="6"/>
  <c r="Q279" i="6" s="1"/>
  <c r="N279" i="6"/>
  <c r="P279" i="6" s="1"/>
  <c r="O278" i="6"/>
  <c r="Q278" i="6" s="1"/>
  <c r="N278" i="6"/>
  <c r="P278" i="6" s="1"/>
  <c r="O277" i="6"/>
  <c r="Q277" i="6" s="1"/>
  <c r="N277" i="6"/>
  <c r="P277" i="6" s="1"/>
  <c r="O276" i="6"/>
  <c r="Q276" i="6" s="1"/>
  <c r="N276" i="6"/>
  <c r="P276" i="6" s="1"/>
  <c r="O275" i="6"/>
  <c r="Q275" i="6" s="1"/>
  <c r="N275" i="6"/>
  <c r="P275" i="6" s="1"/>
  <c r="O274" i="6"/>
  <c r="Q274" i="6" s="1"/>
  <c r="N274" i="6"/>
  <c r="P274" i="6" s="1"/>
  <c r="O273" i="6"/>
  <c r="Q273" i="6" s="1"/>
  <c r="N273" i="6"/>
  <c r="P273" i="6" s="1"/>
  <c r="O272" i="6"/>
  <c r="Q272" i="6" s="1"/>
  <c r="N272" i="6"/>
  <c r="P272" i="6" s="1"/>
  <c r="O271" i="6"/>
  <c r="Q271" i="6" s="1"/>
  <c r="N271" i="6"/>
  <c r="P271" i="6" s="1"/>
  <c r="O270" i="6"/>
  <c r="Q270" i="6" s="1"/>
  <c r="N270" i="6"/>
  <c r="P270" i="6" s="1"/>
  <c r="O269" i="6"/>
  <c r="Q269" i="6" s="1"/>
  <c r="N269" i="6"/>
  <c r="P269" i="6" s="1"/>
  <c r="O268" i="6"/>
  <c r="Q268" i="6" s="1"/>
  <c r="N268" i="6"/>
  <c r="P268" i="6" s="1"/>
  <c r="O267" i="6"/>
  <c r="Q267" i="6" s="1"/>
  <c r="N267" i="6"/>
  <c r="P267" i="6" s="1"/>
  <c r="O266" i="6"/>
  <c r="Q266" i="6" s="1"/>
  <c r="N266" i="6"/>
  <c r="P266" i="6" s="1"/>
  <c r="O265" i="6"/>
  <c r="Q265" i="6" s="1"/>
  <c r="N265" i="6"/>
  <c r="P265" i="6" s="1"/>
  <c r="AD263" i="6"/>
  <c r="AC263" i="6"/>
  <c r="AB263" i="6"/>
  <c r="Z263" i="6"/>
  <c r="M263" i="6"/>
  <c r="L263" i="6"/>
  <c r="K263" i="6"/>
  <c r="J263" i="6"/>
  <c r="I263" i="6"/>
  <c r="H263" i="6"/>
  <c r="O262" i="6"/>
  <c r="Q262" i="6" s="1"/>
  <c r="N262" i="6"/>
  <c r="P262" i="6" s="1"/>
  <c r="O261" i="6"/>
  <c r="Q261" i="6" s="1"/>
  <c r="N261" i="6"/>
  <c r="P261" i="6" s="1"/>
  <c r="O260" i="6"/>
  <c r="Q260" i="6" s="1"/>
  <c r="N260" i="6"/>
  <c r="P260" i="6" s="1"/>
  <c r="O259" i="6"/>
  <c r="Q259" i="6" s="1"/>
  <c r="N259" i="6"/>
  <c r="P259" i="6" s="1"/>
  <c r="Q258" i="6"/>
  <c r="P258" i="6"/>
  <c r="AD257" i="6"/>
  <c r="AC257" i="6"/>
  <c r="AB257" i="6"/>
  <c r="Z257" i="6"/>
  <c r="M257" i="6"/>
  <c r="L257" i="6"/>
  <c r="K257" i="6"/>
  <c r="J257" i="6"/>
  <c r="I257" i="6"/>
  <c r="H257" i="6"/>
  <c r="O256" i="6"/>
  <c r="Q256" i="6" s="1"/>
  <c r="N256" i="6"/>
  <c r="P256" i="6" s="1"/>
  <c r="O255" i="6"/>
  <c r="Q255" i="6" s="1"/>
  <c r="N255" i="6"/>
  <c r="P255" i="6" s="1"/>
  <c r="Q254" i="6"/>
  <c r="N254" i="6"/>
  <c r="P254" i="6" s="1"/>
  <c r="O253" i="6"/>
  <c r="Q253" i="6" s="1"/>
  <c r="N253" i="6"/>
  <c r="P253" i="6" s="1"/>
  <c r="O252" i="6"/>
  <c r="Q252" i="6" s="1"/>
  <c r="N252" i="6"/>
  <c r="P252" i="6" s="1"/>
  <c r="O251" i="6"/>
  <c r="Q251" i="6" s="1"/>
  <c r="N251" i="6"/>
  <c r="P251" i="6" s="1"/>
  <c r="Q250" i="6"/>
  <c r="N250" i="6"/>
  <c r="P250" i="6" s="1"/>
  <c r="O249" i="6"/>
  <c r="Q249" i="6" s="1"/>
  <c r="N249" i="6"/>
  <c r="P249" i="6" s="1"/>
  <c r="O248" i="6"/>
  <c r="Q248" i="6" s="1"/>
  <c r="N248" i="6"/>
  <c r="P248" i="6" s="1"/>
  <c r="O247" i="6"/>
  <c r="Q247" i="6" s="1"/>
  <c r="N247" i="6"/>
  <c r="P247" i="6" s="1"/>
  <c r="O246" i="6"/>
  <c r="Q246" i="6" s="1"/>
  <c r="N246" i="6"/>
  <c r="P246" i="6" s="1"/>
  <c r="O245" i="6"/>
  <c r="Q245" i="6" s="1"/>
  <c r="N245" i="6"/>
  <c r="P245" i="6" s="1"/>
  <c r="Q244" i="6"/>
  <c r="N244" i="6"/>
  <c r="P244" i="6" s="1"/>
  <c r="O243" i="6"/>
  <c r="Q243" i="6" s="1"/>
  <c r="N243" i="6"/>
  <c r="P243" i="6" s="1"/>
  <c r="O242" i="6"/>
  <c r="Q242" i="6" s="1"/>
  <c r="N242" i="6"/>
  <c r="P242" i="6" s="1"/>
  <c r="O241" i="6"/>
  <c r="Q241" i="6" s="1"/>
  <c r="N241" i="6"/>
  <c r="P241" i="6" s="1"/>
  <c r="O240" i="6"/>
  <c r="Q240" i="6" s="1"/>
  <c r="N240" i="6"/>
  <c r="P240" i="6" s="1"/>
  <c r="O239" i="6"/>
  <c r="Q239" i="6" s="1"/>
  <c r="N239" i="6"/>
  <c r="P239" i="6" s="1"/>
  <c r="O238" i="6"/>
  <c r="Q238" i="6" s="1"/>
  <c r="N238" i="6"/>
  <c r="P238" i="6" s="1"/>
  <c r="O237" i="6"/>
  <c r="Q237" i="6" s="1"/>
  <c r="N237" i="6"/>
  <c r="P237" i="6" s="1"/>
  <c r="O236" i="6"/>
  <c r="Q236" i="6" s="1"/>
  <c r="N236" i="6"/>
  <c r="P236" i="6" s="1"/>
  <c r="AD234" i="6"/>
  <c r="AC234" i="6"/>
  <c r="AB234" i="6"/>
  <c r="Z234" i="6"/>
  <c r="M234" i="6"/>
  <c r="L234" i="6"/>
  <c r="K234" i="6"/>
  <c r="J234" i="6"/>
  <c r="I234" i="6"/>
  <c r="H234" i="6"/>
  <c r="O233" i="6"/>
  <c r="Q233" i="6" s="1"/>
  <c r="N233" i="6"/>
  <c r="P233" i="6" s="1"/>
  <c r="O232" i="6"/>
  <c r="Q232" i="6" s="1"/>
  <c r="N232" i="6"/>
  <c r="P232" i="6" s="1"/>
  <c r="O231" i="6"/>
  <c r="Q231" i="6" s="1"/>
  <c r="N231" i="6"/>
  <c r="P231" i="6" s="1"/>
  <c r="O230" i="6"/>
  <c r="Q230" i="6" s="1"/>
  <c r="N230" i="6"/>
  <c r="P230" i="6" s="1"/>
  <c r="Q229" i="6"/>
  <c r="P229" i="6"/>
  <c r="O228" i="6"/>
  <c r="Q228" i="6" s="1"/>
  <c r="N228" i="6"/>
  <c r="P228" i="6" s="1"/>
  <c r="AD227" i="6"/>
  <c r="AC227" i="6"/>
  <c r="AB227" i="6"/>
  <c r="Z225" i="6"/>
  <c r="M225" i="6"/>
  <c r="L225" i="6"/>
  <c r="K225" i="6"/>
  <c r="J225" i="6"/>
  <c r="I225" i="6"/>
  <c r="O225" i="6" s="1"/>
  <c r="Q225" i="6" s="1"/>
  <c r="H225" i="6"/>
  <c r="O224" i="6"/>
  <c r="Q224" i="6" s="1"/>
  <c r="N224" i="6"/>
  <c r="P224" i="6" s="1"/>
  <c r="AD223" i="6"/>
  <c r="AD225" i="6" s="1"/>
  <c r="AC223" i="6"/>
  <c r="AC225" i="6" s="1"/>
  <c r="AB223" i="6"/>
  <c r="AB225" i="6" s="1"/>
  <c r="O223" i="6"/>
  <c r="Q223" i="6" s="1"/>
  <c r="N223" i="6"/>
  <c r="P223" i="6" s="1"/>
  <c r="AB219" i="6"/>
  <c r="Z219" i="6"/>
  <c r="Q218" i="6"/>
  <c r="L218" i="6"/>
  <c r="J218" i="6"/>
  <c r="H218" i="6"/>
  <c r="N218" i="6" s="1"/>
  <c r="P218" i="6" s="1"/>
  <c r="Q217" i="6"/>
  <c r="N217" i="6"/>
  <c r="P217" i="6" s="1"/>
  <c r="AD215" i="6"/>
  <c r="AD219" i="6" s="1"/>
  <c r="AC215" i="6"/>
  <c r="AC219" i="6" s="1"/>
  <c r="AB215" i="6"/>
  <c r="Z215" i="6"/>
  <c r="M215" i="6"/>
  <c r="M219" i="6" s="1"/>
  <c r="L215" i="6"/>
  <c r="K215" i="6"/>
  <c r="K219" i="6" s="1"/>
  <c r="J215" i="6"/>
  <c r="J219" i="6" s="1"/>
  <c r="I215" i="6"/>
  <c r="O215" i="6" s="1"/>
  <c r="Q215" i="6" s="1"/>
  <c r="H215" i="6"/>
  <c r="N215" i="6" s="1"/>
  <c r="P215" i="6" s="1"/>
  <c r="O214" i="6"/>
  <c r="Q214" i="6" s="1"/>
  <c r="N214" i="6"/>
  <c r="P214" i="6" s="1"/>
  <c r="O213" i="6"/>
  <c r="Q213" i="6" s="1"/>
  <c r="N213" i="6"/>
  <c r="P213" i="6" s="1"/>
  <c r="Q212" i="6"/>
  <c r="N212" i="6"/>
  <c r="P212" i="6" s="1"/>
  <c r="O211" i="6"/>
  <c r="Q211" i="6" s="1"/>
  <c r="N211" i="6"/>
  <c r="P211" i="6" s="1"/>
  <c r="O210" i="6"/>
  <c r="Q210" i="6" s="1"/>
  <c r="N210" i="6"/>
  <c r="P210" i="6" s="1"/>
  <c r="AD207" i="6"/>
  <c r="AC207" i="6"/>
  <c r="AB207" i="6"/>
  <c r="Z207" i="6"/>
  <c r="M207" i="6"/>
  <c r="L207" i="6"/>
  <c r="K207" i="6"/>
  <c r="J207" i="6"/>
  <c r="I207" i="6"/>
  <c r="H207" i="6"/>
  <c r="O206" i="6"/>
  <c r="Q206" i="6" s="1"/>
  <c r="N206" i="6"/>
  <c r="P206" i="6" s="1"/>
  <c r="O205" i="6"/>
  <c r="Q205" i="6" s="1"/>
  <c r="N205" i="6"/>
  <c r="P205" i="6" s="1"/>
  <c r="Q204" i="6"/>
  <c r="N204" i="6"/>
  <c r="P204" i="6" s="1"/>
  <c r="O203" i="6"/>
  <c r="Q203" i="6" s="1"/>
  <c r="N203" i="6"/>
  <c r="P203" i="6" s="1"/>
  <c r="AD201" i="6"/>
  <c r="AC201" i="6"/>
  <c r="AB201" i="6"/>
  <c r="Z201" i="6"/>
  <c r="M201" i="6"/>
  <c r="L201" i="6"/>
  <c r="K201" i="6"/>
  <c r="J201" i="6"/>
  <c r="I201" i="6"/>
  <c r="O201" i="6" s="1"/>
  <c r="Q201" i="6" s="1"/>
  <c r="H201" i="6"/>
  <c r="N201" i="6" s="1"/>
  <c r="P201" i="6" s="1"/>
  <c r="AG200" i="6"/>
  <c r="AG201" i="6" s="1"/>
  <c r="O200" i="6"/>
  <c r="Q200" i="6" s="1"/>
  <c r="N200" i="6"/>
  <c r="P200" i="6" s="1"/>
  <c r="Z198" i="6"/>
  <c r="M198" i="6"/>
  <c r="L198" i="6"/>
  <c r="K198" i="6"/>
  <c r="J198" i="6"/>
  <c r="I198" i="6"/>
  <c r="H198" i="6"/>
  <c r="O197" i="6"/>
  <c r="Q197" i="6" s="1"/>
  <c r="N197" i="6"/>
  <c r="P197" i="6" s="1"/>
  <c r="AD196" i="6"/>
  <c r="AC196" i="6"/>
  <c r="AB196" i="6"/>
  <c r="O196" i="6"/>
  <c r="Q196" i="6" s="1"/>
  <c r="N196" i="6"/>
  <c r="P196" i="6" s="1"/>
  <c r="AD195" i="6"/>
  <c r="AC195" i="6"/>
  <c r="AB195" i="6"/>
  <c r="O195" i="6"/>
  <c r="Q195" i="6" s="1"/>
  <c r="N195" i="6"/>
  <c r="P195" i="6" s="1"/>
  <c r="O194" i="6"/>
  <c r="Q194" i="6" s="1"/>
  <c r="N194" i="6"/>
  <c r="P194" i="6" s="1"/>
  <c r="AD193" i="6"/>
  <c r="AC193" i="6"/>
  <c r="AC198" i="6" s="1"/>
  <c r="AB193" i="6"/>
  <c r="AB198" i="6" s="1"/>
  <c r="O193" i="6"/>
  <c r="Q193" i="6" s="1"/>
  <c r="N193" i="6"/>
  <c r="P193" i="6" s="1"/>
  <c r="AD191" i="6"/>
  <c r="AC191" i="6"/>
  <c r="AB191" i="6"/>
  <c r="Z191" i="6"/>
  <c r="M191" i="6"/>
  <c r="L191" i="6"/>
  <c r="K191" i="6"/>
  <c r="J191" i="6"/>
  <c r="I191" i="6"/>
  <c r="H191" i="6"/>
  <c r="N191" i="6" s="1"/>
  <c r="P191" i="6" s="1"/>
  <c r="O190" i="6"/>
  <c r="Q190" i="6" s="1"/>
  <c r="N190" i="6"/>
  <c r="P190" i="6" s="1"/>
  <c r="Q189" i="6"/>
  <c r="P189" i="6"/>
  <c r="AD188" i="6"/>
  <c r="Z188" i="6"/>
  <c r="M188" i="6"/>
  <c r="L188" i="6"/>
  <c r="K188" i="6"/>
  <c r="J188" i="6"/>
  <c r="I188" i="6"/>
  <c r="H188" i="6"/>
  <c r="O187" i="6"/>
  <c r="Q187" i="6" s="1"/>
  <c r="N187" i="6"/>
  <c r="P187" i="6" s="1"/>
  <c r="O186" i="6"/>
  <c r="Q186" i="6" s="1"/>
  <c r="N186" i="6"/>
  <c r="P186" i="6" s="1"/>
  <c r="AD185" i="6"/>
  <c r="AC185" i="6"/>
  <c r="AC188" i="6" s="1"/>
  <c r="AB185" i="6"/>
  <c r="AB188" i="6" s="1"/>
  <c r="P185" i="6"/>
  <c r="O185" i="6"/>
  <c r="Q185" i="6" s="1"/>
  <c r="N185" i="6"/>
  <c r="Q184" i="6"/>
  <c r="P184" i="6"/>
  <c r="Z182" i="6"/>
  <c r="M182" i="6"/>
  <c r="L182" i="6"/>
  <c r="K182" i="6"/>
  <c r="J182" i="6"/>
  <c r="I182" i="6"/>
  <c r="H182" i="6"/>
  <c r="O181" i="6"/>
  <c r="Q181" i="6" s="1"/>
  <c r="N181" i="6"/>
  <c r="P181" i="6" s="1"/>
  <c r="O180" i="6"/>
  <c r="Q180" i="6" s="1"/>
  <c r="N180" i="6"/>
  <c r="P180" i="6" s="1"/>
  <c r="AH179" i="6"/>
  <c r="O179" i="6"/>
  <c r="Q179" i="6" s="1"/>
  <c r="N179" i="6"/>
  <c r="P179" i="6" s="1"/>
  <c r="O178" i="6"/>
  <c r="Q178" i="6" s="1"/>
  <c r="N178" i="6"/>
  <c r="P178" i="6" s="1"/>
  <c r="O177" i="6"/>
  <c r="Q177" i="6" s="1"/>
  <c r="N177" i="6"/>
  <c r="P177" i="6" s="1"/>
  <c r="O176" i="6"/>
  <c r="Q176" i="6" s="1"/>
  <c r="N176" i="6"/>
  <c r="P176" i="6" s="1"/>
  <c r="O175" i="6"/>
  <c r="Q175" i="6" s="1"/>
  <c r="N175" i="6"/>
  <c r="P175" i="6" s="1"/>
  <c r="O174" i="6"/>
  <c r="Q174" i="6" s="1"/>
  <c r="N174" i="6"/>
  <c r="P174" i="6" s="1"/>
  <c r="AD173" i="6"/>
  <c r="AD182" i="6" s="1"/>
  <c r="AC173" i="6"/>
  <c r="AC182" i="6" s="1"/>
  <c r="AB173" i="6"/>
  <c r="AB182" i="6" s="1"/>
  <c r="O173" i="6"/>
  <c r="Q173" i="6" s="1"/>
  <c r="N173" i="6"/>
  <c r="P173" i="6" s="1"/>
  <c r="P172" i="6"/>
  <c r="O172" i="6"/>
  <c r="Q172" i="6" s="1"/>
  <c r="N172" i="6"/>
  <c r="Q171" i="6"/>
  <c r="P171" i="6"/>
  <c r="Q169" i="6"/>
  <c r="O169" i="6"/>
  <c r="N169" i="6"/>
  <c r="P169" i="6" s="1"/>
  <c r="AD168" i="6"/>
  <c r="AC168" i="6"/>
  <c r="AB168" i="6"/>
  <c r="Z168" i="6"/>
  <c r="M168" i="6"/>
  <c r="L168" i="6"/>
  <c r="K168" i="6"/>
  <c r="J168" i="6"/>
  <c r="I168" i="6"/>
  <c r="O168" i="6" s="1"/>
  <c r="Q168" i="6" s="1"/>
  <c r="H168" i="6"/>
  <c r="O167" i="6"/>
  <c r="Q167" i="6" s="1"/>
  <c r="N167" i="6"/>
  <c r="P167" i="6" s="1"/>
  <c r="P166" i="6"/>
  <c r="O166" i="6"/>
  <c r="Q166" i="6" s="1"/>
  <c r="N166" i="6"/>
  <c r="Q165" i="6"/>
  <c r="P165" i="6"/>
  <c r="AD164" i="6"/>
  <c r="AC164" i="6"/>
  <c r="AB164" i="6"/>
  <c r="Z164" i="6"/>
  <c r="M164" i="6"/>
  <c r="L164" i="6"/>
  <c r="K164" i="6"/>
  <c r="J164" i="6"/>
  <c r="I164" i="6"/>
  <c r="H164" i="6"/>
  <c r="N164" i="6" s="1"/>
  <c r="P164" i="6" s="1"/>
  <c r="O163" i="6"/>
  <c r="Q163" i="6" s="1"/>
  <c r="N163" i="6"/>
  <c r="P163" i="6" s="1"/>
  <c r="O162" i="6"/>
  <c r="Q162" i="6" s="1"/>
  <c r="N162" i="6"/>
  <c r="P162" i="6" s="1"/>
  <c r="O161" i="6"/>
  <c r="Q161" i="6" s="1"/>
  <c r="N161" i="6"/>
  <c r="P161" i="6" s="1"/>
  <c r="Q160" i="6"/>
  <c r="P160" i="6"/>
  <c r="AD159" i="6"/>
  <c r="AC159" i="6"/>
  <c r="AB159" i="6"/>
  <c r="Z159" i="6"/>
  <c r="M159" i="6"/>
  <c r="L159" i="6"/>
  <c r="K159" i="6"/>
  <c r="J159" i="6"/>
  <c r="I159" i="6"/>
  <c r="O159" i="6" s="1"/>
  <c r="Q159" i="6" s="1"/>
  <c r="H159" i="6"/>
  <c r="N159" i="6" s="1"/>
  <c r="P159" i="6" s="1"/>
  <c r="O158" i="6"/>
  <c r="Q158" i="6" s="1"/>
  <c r="N158" i="6"/>
  <c r="P158" i="6" s="1"/>
  <c r="Q157" i="6"/>
  <c r="P157" i="6"/>
  <c r="AD156" i="6"/>
  <c r="AC156" i="6"/>
  <c r="AB156" i="6"/>
  <c r="Z156" i="6"/>
  <c r="M156" i="6"/>
  <c r="L156" i="6"/>
  <c r="K156" i="6"/>
  <c r="J156" i="6"/>
  <c r="N156" i="6" s="1"/>
  <c r="P156" i="6" s="1"/>
  <c r="I156" i="6"/>
  <c r="H156" i="6"/>
  <c r="O155" i="6"/>
  <c r="Q155" i="6" s="1"/>
  <c r="N155" i="6"/>
  <c r="P155" i="6" s="1"/>
  <c r="O154" i="6"/>
  <c r="Q154" i="6" s="1"/>
  <c r="N154" i="6"/>
  <c r="P154" i="6" s="1"/>
  <c r="O153" i="6"/>
  <c r="Q153" i="6" s="1"/>
  <c r="N153" i="6"/>
  <c r="P153" i="6" s="1"/>
  <c r="Q152" i="6"/>
  <c r="P152" i="6"/>
  <c r="AD151" i="6"/>
  <c r="AC151" i="6"/>
  <c r="AB151" i="6"/>
  <c r="Z151" i="6"/>
  <c r="M151" i="6"/>
  <c r="L151" i="6"/>
  <c r="K151" i="6"/>
  <c r="J151" i="6"/>
  <c r="I151" i="6"/>
  <c r="H151" i="6"/>
  <c r="N151" i="6" s="1"/>
  <c r="P151" i="6" s="1"/>
  <c r="O150" i="6"/>
  <c r="Q150" i="6" s="1"/>
  <c r="N150" i="6"/>
  <c r="P150" i="6" s="1"/>
  <c r="P149" i="6"/>
  <c r="O149" i="6"/>
  <c r="Q149" i="6" s="1"/>
  <c r="N149" i="6"/>
  <c r="O148" i="6"/>
  <c r="Q148" i="6" s="1"/>
  <c r="N148" i="6"/>
  <c r="P148" i="6" s="1"/>
  <c r="Q147" i="6"/>
  <c r="P147" i="6"/>
  <c r="O147" i="6"/>
  <c r="N147" i="6"/>
  <c r="O146" i="6"/>
  <c r="Q146" i="6" s="1"/>
  <c r="N146" i="6"/>
  <c r="P146" i="6" s="1"/>
  <c r="Q145" i="6"/>
  <c r="P145" i="6"/>
  <c r="AD144" i="6"/>
  <c r="AC144" i="6"/>
  <c r="AB144" i="6"/>
  <c r="Z144" i="6"/>
  <c r="M144" i="6"/>
  <c r="L144" i="6"/>
  <c r="K144" i="6"/>
  <c r="J144" i="6"/>
  <c r="I144" i="6"/>
  <c r="H144" i="6"/>
  <c r="Q143" i="6"/>
  <c r="O143" i="6"/>
  <c r="N143" i="6"/>
  <c r="P143" i="6" s="1"/>
  <c r="Q142" i="6"/>
  <c r="P142" i="6"/>
  <c r="AD141" i="6"/>
  <c r="AC141" i="6"/>
  <c r="AB141" i="6"/>
  <c r="Z141" i="6"/>
  <c r="M141" i="6"/>
  <c r="L141" i="6"/>
  <c r="K141" i="6"/>
  <c r="J141" i="6"/>
  <c r="I141" i="6"/>
  <c r="O141" i="6" s="1"/>
  <c r="Q141" i="6" s="1"/>
  <c r="H141" i="6"/>
  <c r="O140" i="6"/>
  <c r="Q140" i="6" s="1"/>
  <c r="N140" i="6"/>
  <c r="P140" i="6" s="1"/>
  <c r="Q139" i="6"/>
  <c r="O139" i="6"/>
  <c r="N139" i="6"/>
  <c r="P139" i="6" s="1"/>
  <c r="O138" i="6"/>
  <c r="Q138" i="6" s="1"/>
  <c r="N138" i="6"/>
  <c r="P138" i="6" s="1"/>
  <c r="O137" i="6"/>
  <c r="Q137" i="6" s="1"/>
  <c r="N137" i="6"/>
  <c r="P137" i="6" s="1"/>
  <c r="Q136" i="6"/>
  <c r="P136" i="6"/>
  <c r="AD135" i="6"/>
  <c r="AC135" i="6"/>
  <c r="AB135" i="6"/>
  <c r="Z135" i="6"/>
  <c r="M135" i="6"/>
  <c r="L135" i="6"/>
  <c r="K135" i="6"/>
  <c r="J135" i="6"/>
  <c r="I135" i="6"/>
  <c r="O135" i="6" s="1"/>
  <c r="Q135" i="6" s="1"/>
  <c r="H135" i="6"/>
  <c r="N135" i="6" s="1"/>
  <c r="P135" i="6" s="1"/>
  <c r="O134" i="6"/>
  <c r="Q134" i="6" s="1"/>
  <c r="N134" i="6"/>
  <c r="P134" i="6" s="1"/>
  <c r="P133" i="6"/>
  <c r="O133" i="6"/>
  <c r="Q133" i="6" s="1"/>
  <c r="N133" i="6"/>
  <c r="O132" i="6"/>
  <c r="Q132" i="6" s="1"/>
  <c r="N132" i="6"/>
  <c r="P132" i="6" s="1"/>
  <c r="Q131" i="6"/>
  <c r="P131" i="6"/>
  <c r="AD130" i="6"/>
  <c r="AC130" i="6"/>
  <c r="AB130" i="6"/>
  <c r="Z130" i="6"/>
  <c r="M130" i="6"/>
  <c r="L130" i="6"/>
  <c r="K130" i="6"/>
  <c r="J130" i="6"/>
  <c r="I130" i="6"/>
  <c r="O130" i="6" s="1"/>
  <c r="Q130" i="6" s="1"/>
  <c r="H130" i="6"/>
  <c r="N130" i="6" s="1"/>
  <c r="P130" i="6" s="1"/>
  <c r="O129" i="6"/>
  <c r="Q129" i="6" s="1"/>
  <c r="N129" i="6"/>
  <c r="P129" i="6" s="1"/>
  <c r="P128" i="6"/>
  <c r="O128" i="6"/>
  <c r="Q128" i="6" s="1"/>
  <c r="N128" i="6"/>
  <c r="O127" i="6"/>
  <c r="Q127" i="6" s="1"/>
  <c r="N127" i="6"/>
  <c r="P127" i="6" s="1"/>
  <c r="O126" i="6"/>
  <c r="Q126" i="6" s="1"/>
  <c r="N126" i="6"/>
  <c r="P126" i="6" s="1"/>
  <c r="Q125" i="6"/>
  <c r="P125" i="6"/>
  <c r="AD124" i="6"/>
  <c r="AC124" i="6"/>
  <c r="AB124" i="6"/>
  <c r="Z124" i="6"/>
  <c r="M124" i="6"/>
  <c r="L124" i="6"/>
  <c r="K124" i="6"/>
  <c r="J124" i="6"/>
  <c r="I124" i="6"/>
  <c r="O124" i="6" s="1"/>
  <c r="Q124" i="6" s="1"/>
  <c r="H124" i="6"/>
  <c r="O123" i="6"/>
  <c r="Q123" i="6" s="1"/>
  <c r="N123" i="6"/>
  <c r="P123" i="6" s="1"/>
  <c r="O122" i="6"/>
  <c r="Q122" i="6" s="1"/>
  <c r="N122" i="6"/>
  <c r="P122" i="6" s="1"/>
  <c r="P121" i="6"/>
  <c r="O121" i="6"/>
  <c r="Q121" i="6" s="1"/>
  <c r="N121" i="6"/>
  <c r="O120" i="6"/>
  <c r="Q120" i="6" s="1"/>
  <c r="N120" i="6"/>
  <c r="P120" i="6" s="1"/>
  <c r="O119" i="6"/>
  <c r="Q119" i="6" s="1"/>
  <c r="N119" i="6"/>
  <c r="P119" i="6" s="1"/>
  <c r="Q118" i="6"/>
  <c r="P118" i="6"/>
  <c r="Q117" i="6"/>
  <c r="P117" i="6"/>
  <c r="M115" i="6"/>
  <c r="L115" i="6"/>
  <c r="K115" i="6"/>
  <c r="J115" i="6"/>
  <c r="I115" i="6"/>
  <c r="H115" i="6"/>
  <c r="N115" i="6" s="1"/>
  <c r="P115" i="6" s="1"/>
  <c r="O114" i="6"/>
  <c r="Q114" i="6" s="1"/>
  <c r="N114" i="6"/>
  <c r="P114" i="6" s="1"/>
  <c r="O113" i="6"/>
  <c r="Q113" i="6" s="1"/>
  <c r="N113" i="6"/>
  <c r="P113" i="6" s="1"/>
  <c r="Q112" i="6"/>
  <c r="P112" i="6"/>
  <c r="AD111" i="6"/>
  <c r="AC111" i="6"/>
  <c r="AB111" i="6"/>
  <c r="Z111" i="6"/>
  <c r="M111" i="6"/>
  <c r="L111" i="6"/>
  <c r="K111" i="6"/>
  <c r="O111" i="6" s="1"/>
  <c r="Q111" i="6" s="1"/>
  <c r="J111" i="6"/>
  <c r="I111" i="6"/>
  <c r="H111" i="6"/>
  <c r="O110" i="6"/>
  <c r="Q110" i="6" s="1"/>
  <c r="N110" i="6"/>
  <c r="P110" i="6" s="1"/>
  <c r="O109" i="6"/>
  <c r="Q109" i="6" s="1"/>
  <c r="N109" i="6"/>
  <c r="P109" i="6" s="1"/>
  <c r="O108" i="6"/>
  <c r="Q108" i="6" s="1"/>
  <c r="N108" i="6"/>
  <c r="P108" i="6" s="1"/>
  <c r="O107" i="6"/>
  <c r="Q107" i="6" s="1"/>
  <c r="N107" i="6"/>
  <c r="P107" i="6" s="1"/>
  <c r="O106" i="6"/>
  <c r="Q106" i="6" s="1"/>
  <c r="N106" i="6"/>
  <c r="P106" i="6" s="1"/>
  <c r="O105" i="6"/>
  <c r="Q105" i="6" s="1"/>
  <c r="N105" i="6"/>
  <c r="P105" i="6" s="1"/>
  <c r="O104" i="6"/>
  <c r="Q104" i="6" s="1"/>
  <c r="N104" i="6"/>
  <c r="P104" i="6" s="1"/>
  <c r="Q103" i="6"/>
  <c r="P103" i="6"/>
  <c r="AD102" i="6"/>
  <c r="AC102" i="6"/>
  <c r="AB102" i="6"/>
  <c r="Z102" i="6"/>
  <c r="M102" i="6"/>
  <c r="L102" i="6"/>
  <c r="K102" i="6"/>
  <c r="J102" i="6"/>
  <c r="I102" i="6"/>
  <c r="O102" i="6" s="1"/>
  <c r="Q102" i="6" s="1"/>
  <c r="H102" i="6"/>
  <c r="N102" i="6" s="1"/>
  <c r="P102" i="6" s="1"/>
  <c r="O100" i="6"/>
  <c r="Q100" i="6" s="1"/>
  <c r="N100" i="6"/>
  <c r="P100" i="6" s="1"/>
  <c r="P99" i="6"/>
  <c r="O99" i="6"/>
  <c r="Q99" i="6" s="1"/>
  <c r="N99" i="6"/>
  <c r="O98" i="6"/>
  <c r="Q98" i="6" s="1"/>
  <c r="N98" i="6"/>
  <c r="P98" i="6" s="1"/>
  <c r="O97" i="6"/>
  <c r="Q97" i="6" s="1"/>
  <c r="N97" i="6"/>
  <c r="P97" i="6" s="1"/>
  <c r="O96" i="6"/>
  <c r="Q96" i="6" s="1"/>
  <c r="N96" i="6"/>
  <c r="P96" i="6" s="1"/>
  <c r="O95" i="6"/>
  <c r="Q95" i="6" s="1"/>
  <c r="N95" i="6"/>
  <c r="P95" i="6" s="1"/>
  <c r="O94" i="6"/>
  <c r="Q94" i="6" s="1"/>
  <c r="N94" i="6"/>
  <c r="P94" i="6" s="1"/>
  <c r="O93" i="6"/>
  <c r="Q93" i="6" s="1"/>
  <c r="N93" i="6"/>
  <c r="P93" i="6" s="1"/>
  <c r="O92" i="6"/>
  <c r="Q92" i="6" s="1"/>
  <c r="N92" i="6"/>
  <c r="P92" i="6" s="1"/>
  <c r="AD90" i="6"/>
  <c r="AC90" i="6"/>
  <c r="AB90" i="6"/>
  <c r="Z90" i="6"/>
  <c r="M90" i="6"/>
  <c r="L90" i="6"/>
  <c r="K90" i="6"/>
  <c r="J90" i="6"/>
  <c r="I90" i="6"/>
  <c r="H90" i="6"/>
  <c r="N90" i="6" s="1"/>
  <c r="P90" i="6" s="1"/>
  <c r="Q89" i="6"/>
  <c r="O89" i="6"/>
  <c r="N89" i="6"/>
  <c r="P89" i="6" s="1"/>
  <c r="O88" i="6"/>
  <c r="Q88" i="6" s="1"/>
  <c r="N88" i="6"/>
  <c r="P88" i="6" s="1"/>
  <c r="O87" i="6"/>
  <c r="Q87" i="6" s="1"/>
  <c r="N87" i="6"/>
  <c r="P87" i="6" s="1"/>
  <c r="O86" i="6"/>
  <c r="Q86" i="6" s="1"/>
  <c r="N86" i="6"/>
  <c r="P86" i="6" s="1"/>
  <c r="AD84" i="6"/>
  <c r="AC84" i="6"/>
  <c r="AB84" i="6"/>
  <c r="Z84" i="6"/>
  <c r="N84" i="6"/>
  <c r="P84" i="6" s="1"/>
  <c r="M84" i="6"/>
  <c r="L84" i="6"/>
  <c r="K84" i="6"/>
  <c r="J84" i="6"/>
  <c r="I84" i="6"/>
  <c r="H84" i="6"/>
  <c r="O83" i="6"/>
  <c r="Q83" i="6" s="1"/>
  <c r="N83" i="6"/>
  <c r="P83" i="6" s="1"/>
  <c r="O82" i="6"/>
  <c r="Q82" i="6" s="1"/>
  <c r="N82" i="6"/>
  <c r="P82" i="6" s="1"/>
  <c r="Q81" i="6"/>
  <c r="P81" i="6"/>
  <c r="O80" i="6"/>
  <c r="Q80" i="6" s="1"/>
  <c r="N80" i="6"/>
  <c r="P80" i="6" s="1"/>
  <c r="O79" i="6"/>
  <c r="Q79" i="6" s="1"/>
  <c r="N79" i="6"/>
  <c r="P79" i="6" s="1"/>
  <c r="O78" i="6"/>
  <c r="Q78" i="6" s="1"/>
  <c r="N78" i="6"/>
  <c r="P78" i="6" s="1"/>
  <c r="O77" i="6"/>
  <c r="Q77" i="6" s="1"/>
  <c r="N77" i="6"/>
  <c r="P77" i="6" s="1"/>
  <c r="O76" i="6"/>
  <c r="Q76" i="6" s="1"/>
  <c r="N76" i="6"/>
  <c r="P76" i="6" s="1"/>
  <c r="O75" i="6"/>
  <c r="Q75" i="6" s="1"/>
  <c r="N75" i="6"/>
  <c r="P75" i="6" s="1"/>
  <c r="O74" i="6"/>
  <c r="Q74" i="6" s="1"/>
  <c r="N74" i="6"/>
  <c r="P74" i="6" s="1"/>
  <c r="O73" i="6"/>
  <c r="Q73" i="6" s="1"/>
  <c r="N73" i="6"/>
  <c r="P73" i="6" s="1"/>
  <c r="AD71" i="6"/>
  <c r="AC71" i="6"/>
  <c r="AB71" i="6"/>
  <c r="Z71" i="6"/>
  <c r="M71" i="6"/>
  <c r="L71" i="6"/>
  <c r="K71" i="6"/>
  <c r="J71" i="6"/>
  <c r="I71" i="6"/>
  <c r="O71" i="6" s="1"/>
  <c r="Q71" i="6" s="1"/>
  <c r="H71" i="6"/>
  <c r="N71" i="6" s="1"/>
  <c r="P71" i="6" s="1"/>
  <c r="O70" i="6"/>
  <c r="Q70" i="6" s="1"/>
  <c r="N70" i="6"/>
  <c r="P70" i="6" s="1"/>
  <c r="O69" i="6"/>
  <c r="Q69" i="6" s="1"/>
  <c r="N69" i="6"/>
  <c r="P69" i="6" s="1"/>
  <c r="O68" i="6"/>
  <c r="Q68" i="6" s="1"/>
  <c r="N68" i="6"/>
  <c r="P68" i="6" s="1"/>
  <c r="O67" i="6"/>
  <c r="Q67" i="6" s="1"/>
  <c r="N67" i="6"/>
  <c r="P67" i="6" s="1"/>
  <c r="Q66" i="6"/>
  <c r="O66" i="6"/>
  <c r="N66" i="6"/>
  <c r="P66" i="6" s="1"/>
  <c r="O65" i="6"/>
  <c r="Q65" i="6" s="1"/>
  <c r="N65" i="6"/>
  <c r="P65" i="6" s="1"/>
  <c r="O63" i="6"/>
  <c r="Q63" i="6" s="1"/>
  <c r="N63" i="6"/>
  <c r="P63" i="6" s="1"/>
  <c r="AD62" i="6"/>
  <c r="AC62" i="6"/>
  <c r="AB62" i="6"/>
  <c r="Z62" i="6"/>
  <c r="M62" i="6"/>
  <c r="L62" i="6"/>
  <c r="K62" i="6"/>
  <c r="J62" i="6"/>
  <c r="I62" i="6"/>
  <c r="H62" i="6"/>
  <c r="O61" i="6"/>
  <c r="Q61" i="6" s="1"/>
  <c r="N61" i="6"/>
  <c r="P61" i="6" s="1"/>
  <c r="O60" i="6"/>
  <c r="Q60" i="6" s="1"/>
  <c r="N60" i="6"/>
  <c r="P60" i="6" s="1"/>
  <c r="O59" i="6"/>
  <c r="Q59" i="6" s="1"/>
  <c r="N59" i="6"/>
  <c r="P59" i="6" s="1"/>
  <c r="O58" i="6"/>
  <c r="Q58" i="6" s="1"/>
  <c r="N58" i="6"/>
  <c r="P58" i="6" s="1"/>
  <c r="O57" i="6"/>
  <c r="Q57" i="6" s="1"/>
  <c r="N57" i="6"/>
  <c r="P57" i="6" s="1"/>
  <c r="O56" i="6"/>
  <c r="Q56" i="6" s="1"/>
  <c r="N56" i="6"/>
  <c r="P56" i="6" s="1"/>
  <c r="O55" i="6"/>
  <c r="Q55" i="6" s="1"/>
  <c r="N55" i="6"/>
  <c r="P55" i="6" s="1"/>
  <c r="O54" i="6"/>
  <c r="Q54" i="6" s="1"/>
  <c r="N54" i="6"/>
  <c r="P54" i="6" s="1"/>
  <c r="Q53" i="6"/>
  <c r="O53" i="6"/>
  <c r="N53" i="6"/>
  <c r="P53" i="6" s="1"/>
  <c r="O52" i="6"/>
  <c r="Q52" i="6" s="1"/>
  <c r="N52" i="6"/>
  <c r="P52" i="6" s="1"/>
  <c r="O51" i="6"/>
  <c r="Q51" i="6" s="1"/>
  <c r="N51" i="6"/>
  <c r="P51" i="6" s="1"/>
  <c r="O50" i="6"/>
  <c r="Q50" i="6" s="1"/>
  <c r="N50" i="6"/>
  <c r="P50" i="6" s="1"/>
  <c r="O49" i="6"/>
  <c r="Q49" i="6" s="1"/>
  <c r="N49" i="6"/>
  <c r="P49" i="6" s="1"/>
  <c r="O48" i="6"/>
  <c r="Q48" i="6" s="1"/>
  <c r="N48" i="6"/>
  <c r="P48" i="6" s="1"/>
  <c r="O47" i="6"/>
  <c r="Q47" i="6" s="1"/>
  <c r="N47" i="6"/>
  <c r="P47" i="6" s="1"/>
  <c r="AD45" i="6"/>
  <c r="AC45" i="6"/>
  <c r="AB45" i="6"/>
  <c r="Z45" i="6"/>
  <c r="M45" i="6"/>
  <c r="L45" i="6"/>
  <c r="K45" i="6"/>
  <c r="J45" i="6"/>
  <c r="I45" i="6"/>
  <c r="H45" i="6"/>
  <c r="O44" i="6"/>
  <c r="Q44" i="6" s="1"/>
  <c r="N44" i="6"/>
  <c r="P44" i="6" s="1"/>
  <c r="Q43" i="6"/>
  <c r="O43" i="6"/>
  <c r="N43" i="6"/>
  <c r="P43" i="6" s="1"/>
  <c r="O42" i="6"/>
  <c r="Q42" i="6" s="1"/>
  <c r="N42" i="6"/>
  <c r="P42" i="6" s="1"/>
  <c r="O41" i="6"/>
  <c r="Q41" i="6" s="1"/>
  <c r="N41" i="6"/>
  <c r="P41" i="6" s="1"/>
  <c r="AD39" i="6"/>
  <c r="AC39" i="6"/>
  <c r="AB39" i="6"/>
  <c r="Z39" i="6"/>
  <c r="M39" i="6"/>
  <c r="L39" i="6"/>
  <c r="K39" i="6"/>
  <c r="J39" i="6"/>
  <c r="N39" i="6" s="1"/>
  <c r="P39" i="6" s="1"/>
  <c r="I39" i="6"/>
  <c r="H39" i="6"/>
  <c r="O38" i="6"/>
  <c r="Q38" i="6" s="1"/>
  <c r="N38" i="6"/>
  <c r="P38" i="6" s="1"/>
  <c r="O37" i="6"/>
  <c r="Q37" i="6" s="1"/>
  <c r="N37" i="6"/>
  <c r="P37" i="6" s="1"/>
  <c r="Q36" i="6"/>
  <c r="N36" i="6"/>
  <c r="P36" i="6" s="1"/>
  <c r="O35" i="6"/>
  <c r="Q35" i="6" s="1"/>
  <c r="N35" i="6"/>
  <c r="P35" i="6" s="1"/>
  <c r="O34" i="6"/>
  <c r="Q34" i="6" s="1"/>
  <c r="N34" i="6"/>
  <c r="P34" i="6" s="1"/>
  <c r="O33" i="6"/>
  <c r="Q33" i="6" s="1"/>
  <c r="N33" i="6"/>
  <c r="P33" i="6" s="1"/>
  <c r="O32" i="6"/>
  <c r="Q32" i="6" s="1"/>
  <c r="N32" i="6"/>
  <c r="P32" i="6" s="1"/>
  <c r="O31" i="6"/>
  <c r="Q31" i="6" s="1"/>
  <c r="N31" i="6"/>
  <c r="P31" i="6" s="1"/>
  <c r="O30" i="6"/>
  <c r="Q30" i="6" s="1"/>
  <c r="N30" i="6"/>
  <c r="P30" i="6" s="1"/>
  <c r="Q29" i="6"/>
  <c r="O29" i="6"/>
  <c r="N29" i="6"/>
  <c r="P29" i="6" s="1"/>
  <c r="O28" i="6"/>
  <c r="Q28" i="6" s="1"/>
  <c r="N28" i="6"/>
  <c r="P28" i="6" s="1"/>
  <c r="O27" i="6"/>
  <c r="Q27" i="6" s="1"/>
  <c r="N27" i="6"/>
  <c r="P27" i="6" s="1"/>
  <c r="O26" i="6"/>
  <c r="Q26" i="6" s="1"/>
  <c r="N26" i="6"/>
  <c r="P26" i="6" s="1"/>
  <c r="O25" i="6"/>
  <c r="Q25" i="6" s="1"/>
  <c r="N25" i="6"/>
  <c r="P25" i="6" s="1"/>
  <c r="O24" i="6"/>
  <c r="Q24" i="6" s="1"/>
  <c r="N24" i="6"/>
  <c r="P24" i="6" s="1"/>
  <c r="O23" i="6"/>
  <c r="Q23" i="6" s="1"/>
  <c r="N23" i="6"/>
  <c r="P23" i="6" s="1"/>
  <c r="O22" i="6"/>
  <c r="Q22" i="6" s="1"/>
  <c r="N22" i="6"/>
  <c r="P22" i="6" s="1"/>
  <c r="O21" i="6"/>
  <c r="Q21" i="6" s="1"/>
  <c r="N21" i="6"/>
  <c r="P21" i="6" s="1"/>
  <c r="O20" i="6"/>
  <c r="Q20" i="6" s="1"/>
  <c r="N20" i="6"/>
  <c r="P20" i="6" s="1"/>
  <c r="P19" i="6"/>
  <c r="O19" i="6"/>
  <c r="Q19" i="6" s="1"/>
  <c r="N19" i="6"/>
  <c r="O18" i="6"/>
  <c r="Q18" i="6" s="1"/>
  <c r="N18" i="6"/>
  <c r="P18" i="6" s="1"/>
  <c r="O17" i="6"/>
  <c r="Q17" i="6" s="1"/>
  <c r="N17" i="6"/>
  <c r="P17" i="6" s="1"/>
  <c r="AD15" i="6"/>
  <c r="AC15" i="6"/>
  <c r="AB15" i="6"/>
  <c r="Z15" i="6"/>
  <c r="M15" i="6"/>
  <c r="L15" i="6"/>
  <c r="K15" i="6"/>
  <c r="J15" i="6"/>
  <c r="J116" i="6" s="1"/>
  <c r="I15" i="6"/>
  <c r="H15" i="6"/>
  <c r="Q14" i="6"/>
  <c r="O14" i="6"/>
  <c r="N14" i="6"/>
  <c r="P14" i="6" s="1"/>
  <c r="O13" i="6"/>
  <c r="Q13" i="6" s="1"/>
  <c r="N13" i="6"/>
  <c r="P13" i="6" s="1"/>
  <c r="P12" i="6"/>
  <c r="O12" i="6"/>
  <c r="Q12" i="6" s="1"/>
  <c r="N12" i="6"/>
  <c r="O11" i="6"/>
  <c r="Q11" i="6" s="1"/>
  <c r="N11" i="6"/>
  <c r="P11" i="6" s="1"/>
  <c r="O10" i="6"/>
  <c r="Q10" i="6" s="1"/>
  <c r="N10" i="6"/>
  <c r="P10" i="6" s="1"/>
  <c r="N234" i="6" l="1"/>
  <c r="P234" i="6" s="1"/>
  <c r="N225" i="6"/>
  <c r="P225" i="6" s="1"/>
  <c r="N319" i="6"/>
  <c r="P319" i="6" s="1"/>
  <c r="N307" i="6"/>
  <c r="P307" i="6" s="1"/>
  <c r="N331" i="6"/>
  <c r="P331" i="6" s="1"/>
  <c r="AE333" i="6"/>
  <c r="AE364" i="6" s="1"/>
  <c r="O263" i="6"/>
  <c r="Q263" i="6" s="1"/>
  <c r="AE183" i="6"/>
  <c r="AE220" i="6" s="1"/>
  <c r="N188" i="6"/>
  <c r="P188" i="6" s="1"/>
  <c r="O188" i="6"/>
  <c r="Q188" i="6" s="1"/>
  <c r="K116" i="6"/>
  <c r="K183" i="6" s="1"/>
  <c r="K220" i="6" s="1"/>
  <c r="N479" i="6"/>
  <c r="P479" i="6" s="1"/>
  <c r="K170" i="6"/>
  <c r="O156" i="6"/>
  <c r="Q156" i="6" s="1"/>
  <c r="AI518" i="6"/>
  <c r="H170" i="6"/>
  <c r="O328" i="6"/>
  <c r="Q328" i="6" s="1"/>
  <c r="AB376" i="6"/>
  <c r="N144" i="6"/>
  <c r="P144" i="6" s="1"/>
  <c r="AJ518" i="6"/>
  <c r="O144" i="6"/>
  <c r="Q144" i="6" s="1"/>
  <c r="AC333" i="6"/>
  <c r="AC364" i="6" s="1"/>
  <c r="AI530" i="6"/>
  <c r="AH518" i="6"/>
  <c r="M116" i="6"/>
  <c r="M183" i="6" s="1"/>
  <c r="M220" i="6" s="1"/>
  <c r="N263" i="6"/>
  <c r="P263" i="6" s="1"/>
  <c r="Z489" i="6"/>
  <c r="AD116" i="6"/>
  <c r="N124" i="6"/>
  <c r="P124" i="6" s="1"/>
  <c r="J428" i="6"/>
  <c r="K579" i="6"/>
  <c r="O164" i="6"/>
  <c r="Q164" i="6" s="1"/>
  <c r="N280" i="6"/>
  <c r="P280" i="6" s="1"/>
  <c r="N376" i="6"/>
  <c r="P376" i="6" s="1"/>
  <c r="O469" i="6"/>
  <c r="Q469" i="6" s="1"/>
  <c r="AC116" i="6"/>
  <c r="AC183" i="6" s="1"/>
  <c r="O182" i="6"/>
  <c r="Q182" i="6" s="1"/>
  <c r="O115" i="6"/>
  <c r="Q115" i="6" s="1"/>
  <c r="L170" i="6"/>
  <c r="O207" i="6"/>
  <c r="Q207" i="6" s="1"/>
  <c r="N301" i="6"/>
  <c r="P301" i="6" s="1"/>
  <c r="O371" i="6"/>
  <c r="Q371" i="6" s="1"/>
  <c r="O376" i="6"/>
  <c r="Q376" i="6" s="1"/>
  <c r="O578" i="6"/>
  <c r="Q578" i="6" s="1"/>
  <c r="AB170" i="6"/>
  <c r="O301" i="6"/>
  <c r="Q301" i="6" s="1"/>
  <c r="AC170" i="6"/>
  <c r="O331" i="6"/>
  <c r="Q331" i="6" s="1"/>
  <c r="AJ504" i="6"/>
  <c r="K363" i="6"/>
  <c r="O319" i="6"/>
  <c r="Q319" i="6" s="1"/>
  <c r="N568" i="6"/>
  <c r="P568" i="6" s="1"/>
  <c r="N182" i="6"/>
  <c r="P182" i="6" s="1"/>
  <c r="L489" i="6"/>
  <c r="N62" i="6"/>
  <c r="P62" i="6" s="1"/>
  <c r="O568" i="6"/>
  <c r="Q568" i="6" s="1"/>
  <c r="O361" i="6"/>
  <c r="Q361" i="6" s="1"/>
  <c r="K489" i="6"/>
  <c r="M579" i="6"/>
  <c r="O45" i="6"/>
  <c r="Q45" i="6" s="1"/>
  <c r="O62" i="6"/>
  <c r="Q62" i="6" s="1"/>
  <c r="O84" i="6"/>
  <c r="Q84" i="6" s="1"/>
  <c r="H219" i="6"/>
  <c r="N219" i="6" s="1"/>
  <c r="P219" i="6" s="1"/>
  <c r="K548" i="6"/>
  <c r="M170" i="6"/>
  <c r="N207" i="6"/>
  <c r="P207" i="6" s="1"/>
  <c r="O307" i="6"/>
  <c r="Q307" i="6" s="1"/>
  <c r="I363" i="6"/>
  <c r="Z548" i="6"/>
  <c r="J363" i="6"/>
  <c r="N45" i="6"/>
  <c r="P45" i="6" s="1"/>
  <c r="N198" i="6"/>
  <c r="P198" i="6" s="1"/>
  <c r="I219" i="6"/>
  <c r="O219" i="6" s="1"/>
  <c r="Q219" i="6" s="1"/>
  <c r="N328" i="6"/>
  <c r="P328" i="6" s="1"/>
  <c r="AD333" i="6"/>
  <c r="AD364" i="6" s="1"/>
  <c r="N405" i="6"/>
  <c r="P405" i="6" s="1"/>
  <c r="L548" i="6"/>
  <c r="AC220" i="6"/>
  <c r="AC439" i="6"/>
  <c r="AI439" i="6" s="1"/>
  <c r="AD439" i="6"/>
  <c r="M428" i="6"/>
  <c r="O428" i="6" s="1"/>
  <c r="Q428" i="6" s="1"/>
  <c r="O423" i="6"/>
  <c r="Q423" i="6" s="1"/>
  <c r="I116" i="6"/>
  <c r="O15" i="6"/>
  <c r="Q15" i="6" s="1"/>
  <c r="AH547" i="6"/>
  <c r="AI547" i="6"/>
  <c r="N563" i="6"/>
  <c r="P563" i="6" s="1"/>
  <c r="J569" i="6"/>
  <c r="J579" i="6" s="1"/>
  <c r="L333" i="6"/>
  <c r="I333" i="6"/>
  <c r="O257" i="6"/>
  <c r="Q257" i="6" s="1"/>
  <c r="N342" i="6"/>
  <c r="P342" i="6" s="1"/>
  <c r="Z333" i="6"/>
  <c r="Z364" i="6" s="1"/>
  <c r="Z552" i="6" s="1"/>
  <c r="H116" i="6"/>
  <c r="N15" i="6"/>
  <c r="P15" i="6" s="1"/>
  <c r="AC376" i="6"/>
  <c r="H428" i="6"/>
  <c r="N428" i="6" s="1"/>
  <c r="P428" i="6" s="1"/>
  <c r="N423" i="6"/>
  <c r="P423" i="6" s="1"/>
  <c r="AD376" i="6"/>
  <c r="N518" i="6"/>
  <c r="P518" i="6" s="1"/>
  <c r="AK434" i="6"/>
  <c r="AL434" i="6" s="1"/>
  <c r="AG434" i="6" s="1"/>
  <c r="AK440" i="6"/>
  <c r="AL440" i="6" s="1"/>
  <c r="AG440" i="6" s="1"/>
  <c r="AK433" i="6"/>
  <c r="AL433" i="6" s="1"/>
  <c r="AG433" i="6" s="1"/>
  <c r="AK435" i="6"/>
  <c r="AL435" i="6" s="1"/>
  <c r="AG435" i="6" s="1"/>
  <c r="AK438" i="6"/>
  <c r="AL438" i="6" s="1"/>
  <c r="AG438" i="6" s="1"/>
  <c r="AK431" i="6"/>
  <c r="AL431" i="6" s="1"/>
  <c r="AK437" i="6"/>
  <c r="AL437" i="6" s="1"/>
  <c r="AG437" i="6" s="1"/>
  <c r="O518" i="6"/>
  <c r="Q518" i="6" s="1"/>
  <c r="M333" i="6"/>
  <c r="N257" i="6"/>
  <c r="P257" i="6" s="1"/>
  <c r="H333" i="6"/>
  <c r="L116" i="6"/>
  <c r="L183" i="6" s="1"/>
  <c r="L220" i="6" s="1"/>
  <c r="O548" i="6"/>
  <c r="Q548" i="6" s="1"/>
  <c r="O234" i="6"/>
  <c r="Q234" i="6" s="1"/>
  <c r="O342" i="6"/>
  <c r="Q342" i="6" s="1"/>
  <c r="AB116" i="6"/>
  <c r="H578" i="6"/>
  <c r="N576" i="6"/>
  <c r="P576" i="6" s="1"/>
  <c r="O198" i="6"/>
  <c r="Q198" i="6" s="1"/>
  <c r="AB333" i="6"/>
  <c r="AB364" i="6" s="1"/>
  <c r="I170" i="6"/>
  <c r="O90" i="6"/>
  <c r="Q90" i="6" s="1"/>
  <c r="N111" i="6"/>
  <c r="P111" i="6" s="1"/>
  <c r="AG215" i="6"/>
  <c r="AI504" i="6"/>
  <c r="AG198" i="6"/>
  <c r="N141" i="6"/>
  <c r="P141" i="6" s="1"/>
  <c r="J170" i="6"/>
  <c r="N441" i="6"/>
  <c r="P441" i="6" s="1"/>
  <c r="I489" i="6"/>
  <c r="O489" i="6" s="1"/>
  <c r="Q489" i="6" s="1"/>
  <c r="O441" i="6"/>
  <c r="Q441" i="6" s="1"/>
  <c r="J489" i="6"/>
  <c r="N361" i="6"/>
  <c r="P361" i="6" s="1"/>
  <c r="AK432" i="6"/>
  <c r="AL432" i="6" s="1"/>
  <c r="AG432" i="6" s="1"/>
  <c r="AD170" i="6"/>
  <c r="AD183" i="6" s="1"/>
  <c r="AD220" i="6" s="1"/>
  <c r="Z170" i="6"/>
  <c r="AK436" i="6"/>
  <c r="AL436" i="6" s="1"/>
  <c r="AG436" i="6" s="1"/>
  <c r="AD198" i="6"/>
  <c r="AJ547" i="6"/>
  <c r="K333" i="6"/>
  <c r="K364" i="6" s="1"/>
  <c r="L363" i="6"/>
  <c r="N363" i="6" s="1"/>
  <c r="P363" i="6" s="1"/>
  <c r="AG423" i="6"/>
  <c r="M363" i="6"/>
  <c r="O363" i="6" s="1"/>
  <c r="Q363" i="6" s="1"/>
  <c r="J333" i="6"/>
  <c r="J364" i="6" s="1"/>
  <c r="M489" i="6"/>
  <c r="H455" i="6"/>
  <c r="N455" i="6" s="1"/>
  <c r="P455" i="6" s="1"/>
  <c r="N454" i="6"/>
  <c r="P454" i="6" s="1"/>
  <c r="Z116" i="6"/>
  <c r="Z183" i="6" s="1"/>
  <c r="Z220" i="6" s="1"/>
  <c r="O39" i="6"/>
  <c r="Q39" i="6" s="1"/>
  <c r="O454" i="6"/>
  <c r="Q454" i="6" s="1"/>
  <c r="I455" i="6"/>
  <c r="O455" i="6" s="1"/>
  <c r="Q455" i="6" s="1"/>
  <c r="N469" i="6"/>
  <c r="P469" i="6" s="1"/>
  <c r="N168" i="6"/>
  <c r="P168" i="6" s="1"/>
  <c r="O191" i="6"/>
  <c r="Q191" i="6" s="1"/>
  <c r="H548" i="6"/>
  <c r="N551" i="6"/>
  <c r="P551" i="6" s="1"/>
  <c r="AC428" i="6"/>
  <c r="O551" i="6"/>
  <c r="Q551" i="6" s="1"/>
  <c r="N569" i="6"/>
  <c r="P569" i="6" s="1"/>
  <c r="O151" i="6"/>
  <c r="Q151" i="6" s="1"/>
  <c r="O405" i="6"/>
  <c r="Q405" i="6" s="1"/>
  <c r="AD428" i="6"/>
  <c r="I569" i="6"/>
  <c r="O563" i="6"/>
  <c r="Q563" i="6" s="1"/>
  <c r="O576" i="6"/>
  <c r="Q576" i="6" s="1"/>
  <c r="L219" i="6"/>
  <c r="Z553" i="6" l="1"/>
  <c r="Z580" i="6" s="1"/>
  <c r="Z1" i="6" s="1"/>
  <c r="AE495" i="6"/>
  <c r="AE548" i="6" s="1"/>
  <c r="N548" i="6"/>
  <c r="P548" i="6" s="1"/>
  <c r="N170" i="6"/>
  <c r="P170" i="6" s="1"/>
  <c r="AB183" i="6"/>
  <c r="AB220" i="6" s="1"/>
  <c r="O170" i="6"/>
  <c r="Q170" i="6" s="1"/>
  <c r="J183" i="6"/>
  <c r="J220" i="6" s="1"/>
  <c r="K552" i="6"/>
  <c r="K553" i="6" s="1"/>
  <c r="K580" i="6" s="1"/>
  <c r="K1" i="6" s="1"/>
  <c r="AD495" i="6"/>
  <c r="AD435" i="6"/>
  <c r="AC435" i="6"/>
  <c r="AI435" i="6" s="1"/>
  <c r="L364" i="6"/>
  <c r="L552" i="6" s="1"/>
  <c r="L553" i="6" s="1"/>
  <c r="L580" i="6" s="1"/>
  <c r="L1" i="6" s="1"/>
  <c r="AG334" i="6"/>
  <c r="AD433" i="6"/>
  <c r="AC433" i="6"/>
  <c r="AI433" i="6" s="1"/>
  <c r="AD434" i="6"/>
  <c r="AC434" i="6"/>
  <c r="AI434" i="6" s="1"/>
  <c r="J552" i="6"/>
  <c r="J553" i="6" s="1"/>
  <c r="J580" i="6" s="1"/>
  <c r="J1" i="6" s="1"/>
  <c r="O116" i="6"/>
  <c r="Q116" i="6" s="1"/>
  <c r="I183" i="6"/>
  <c r="AC437" i="6"/>
  <c r="AI437" i="6" s="1"/>
  <c r="AD437" i="6"/>
  <c r="O333" i="6"/>
  <c r="Q333" i="6" s="1"/>
  <c r="I364" i="6"/>
  <c r="AD432" i="6"/>
  <c r="AC432" i="6"/>
  <c r="AI432" i="6" s="1"/>
  <c r="AG220" i="6"/>
  <c r="AB495" i="6"/>
  <c r="AF496" i="6"/>
  <c r="I579" i="6"/>
  <c r="O579" i="6" s="1"/>
  <c r="Q579" i="6" s="1"/>
  <c r="O569" i="6"/>
  <c r="Q569" i="6" s="1"/>
  <c r="AG431" i="6"/>
  <c r="AL441" i="6"/>
  <c r="AC436" i="6"/>
  <c r="AI436" i="6" s="1"/>
  <c r="AD436" i="6"/>
  <c r="AD440" i="6"/>
  <c r="AC440" i="6"/>
  <c r="AI440" i="6" s="1"/>
  <c r="H579" i="6"/>
  <c r="N579" i="6" s="1"/>
  <c r="P579" i="6" s="1"/>
  <c r="N578" i="6"/>
  <c r="P578" i="6" s="1"/>
  <c r="H489" i="6"/>
  <c r="N489" i="6" s="1"/>
  <c r="P489" i="6" s="1"/>
  <c r="H183" i="6"/>
  <c r="N116" i="6"/>
  <c r="P116" i="6" s="1"/>
  <c r="N333" i="6"/>
  <c r="P333" i="6" s="1"/>
  <c r="H364" i="6"/>
  <c r="M364" i="6"/>
  <c r="M552" i="6" s="1"/>
  <c r="M553" i="6" s="1"/>
  <c r="M580" i="6" s="1"/>
  <c r="M1" i="6" s="1"/>
  <c r="AC495" i="6"/>
  <c r="AD438" i="6"/>
  <c r="AC438" i="6"/>
  <c r="AI438" i="6" s="1"/>
  <c r="AH495" i="6" l="1"/>
  <c r="AB548" i="6"/>
  <c r="AH548" i="6" s="1"/>
  <c r="N364" i="6"/>
  <c r="P364" i="6" s="1"/>
  <c r="H552" i="6"/>
  <c r="N552" i="6" s="1"/>
  <c r="P552" i="6" s="1"/>
  <c r="N183" i="6"/>
  <c r="P183" i="6" s="1"/>
  <c r="H220" i="6"/>
  <c r="O183" i="6"/>
  <c r="Q183" i="6" s="1"/>
  <c r="I220" i="6"/>
  <c r="O364" i="6"/>
  <c r="Q364" i="6" s="1"/>
  <c r="I552" i="6"/>
  <c r="O552" i="6" s="1"/>
  <c r="Q552" i="6" s="1"/>
  <c r="AG441" i="6"/>
  <c r="AD431" i="6"/>
  <c r="AD441" i="6" s="1"/>
  <c r="AC431" i="6"/>
  <c r="AI495" i="6"/>
  <c r="AC548" i="6"/>
  <c r="AI548" i="6" s="1"/>
  <c r="AJ495" i="6"/>
  <c r="AD548" i="6"/>
  <c r="AJ548" i="6" s="1"/>
  <c r="AC441" i="6" l="1"/>
  <c r="AI431" i="6"/>
  <c r="I553" i="6"/>
  <c r="O220" i="6"/>
  <c r="Q220" i="6" s="1"/>
  <c r="N220" i="6"/>
  <c r="P220" i="6" s="1"/>
  <c r="AF495" i="6" s="1"/>
  <c r="H553" i="6"/>
  <c r="N553" i="6" l="1"/>
  <c r="P553" i="6" s="1"/>
  <c r="H580" i="6"/>
  <c r="O553" i="6"/>
  <c r="Q553" i="6" s="1"/>
  <c r="I580" i="6"/>
  <c r="AI441" i="6"/>
  <c r="N580" i="6" l="1"/>
  <c r="H1" i="6"/>
  <c r="O580" i="6"/>
  <c r="I1" i="6"/>
  <c r="O1" i="6" l="1"/>
  <c r="Q580" i="6"/>
  <c r="Q1" i="6" s="1"/>
  <c r="N1" i="6"/>
  <c r="P580" i="6"/>
  <c r="P1" i="6" s="1"/>
  <c r="AE496" i="5" l="1"/>
  <c r="AE495" i="5"/>
  <c r="AH431" i="5" l="1"/>
  <c r="AI453" i="5"/>
  <c r="AI456" i="5"/>
  <c r="AI457" i="5"/>
  <c r="AI458" i="5"/>
  <c r="AI459" i="5"/>
  <c r="AI460" i="5"/>
  <c r="AI461" i="5"/>
  <c r="AI463" i="5"/>
  <c r="AI465" i="5"/>
  <c r="AI467" i="5"/>
  <c r="AI470" i="5"/>
  <c r="AI471" i="5"/>
  <c r="AI472" i="5"/>
  <c r="AI473" i="5"/>
  <c r="AI476" i="5"/>
  <c r="AI480" i="5"/>
  <c r="AI482" i="5"/>
  <c r="AI483" i="5"/>
  <c r="AI485" i="5"/>
  <c r="AI486" i="5"/>
  <c r="AI490" i="5"/>
  <c r="AI491" i="5"/>
  <c r="AI492" i="5"/>
  <c r="AI493" i="5"/>
  <c r="AI494" i="5"/>
  <c r="AI495" i="5"/>
  <c r="AI496" i="5"/>
  <c r="AI497" i="5"/>
  <c r="AI498" i="5"/>
  <c r="AI499" i="5"/>
  <c r="AI500" i="5"/>
  <c r="AI501" i="5"/>
  <c r="AI502" i="5"/>
  <c r="AI503" i="5"/>
  <c r="AI504" i="5"/>
  <c r="AI505" i="5"/>
  <c r="AI506" i="5"/>
  <c r="AI507" i="5"/>
  <c r="AI508" i="5"/>
  <c r="AI509" i="5"/>
  <c r="AI510" i="5"/>
  <c r="AI511" i="5"/>
  <c r="AI512" i="5"/>
  <c r="AI513" i="5"/>
  <c r="AI514" i="5"/>
  <c r="AI515" i="5"/>
  <c r="AI516" i="5"/>
  <c r="AI517" i="5"/>
  <c r="AI518" i="5"/>
  <c r="AI519" i="5"/>
  <c r="AI520" i="5"/>
  <c r="AI521" i="5"/>
  <c r="AI522" i="5"/>
  <c r="AI523" i="5"/>
  <c r="AI524" i="5"/>
  <c r="AI525" i="5"/>
  <c r="AI526" i="5"/>
  <c r="AI527" i="5"/>
  <c r="AI528" i="5"/>
  <c r="AI529" i="5"/>
  <c r="AI530" i="5"/>
  <c r="AI531" i="5"/>
  <c r="AI532" i="5"/>
  <c r="AI533" i="5"/>
  <c r="AI534" i="5"/>
  <c r="AI535" i="5"/>
  <c r="AI536" i="5"/>
  <c r="AI537" i="5"/>
  <c r="AI538" i="5"/>
  <c r="AI539" i="5"/>
  <c r="AI540" i="5"/>
  <c r="AI541" i="5"/>
  <c r="AI542" i="5"/>
  <c r="AI543" i="5"/>
  <c r="AI544" i="5"/>
  <c r="AI545" i="5"/>
  <c r="AI546" i="5"/>
  <c r="AI547" i="5"/>
  <c r="AI548" i="5"/>
  <c r="AF335" i="5" l="1"/>
  <c r="E242" i="3"/>
  <c r="AF441" i="5"/>
  <c r="AD551" i="5"/>
  <c r="AD547" i="5"/>
  <c r="AD532" i="5"/>
  <c r="AD530" i="5"/>
  <c r="AD518" i="5"/>
  <c r="AD504" i="5"/>
  <c r="AD427" i="5"/>
  <c r="AD401" i="5"/>
  <c r="AD423" i="5" s="1"/>
  <c r="AD428" i="5" s="1"/>
  <c r="AD375" i="5"/>
  <c r="AD374" i="5"/>
  <c r="AD373" i="5"/>
  <c r="AD376" i="5" s="1"/>
  <c r="AD367" i="5"/>
  <c r="AD371" i="5" s="1"/>
  <c r="AD361" i="5"/>
  <c r="AD342" i="5"/>
  <c r="AD363" i="5" s="1"/>
  <c r="AD331" i="5"/>
  <c r="AD328" i="5"/>
  <c r="AD319" i="5"/>
  <c r="AD307" i="5"/>
  <c r="AD301" i="5"/>
  <c r="AD288" i="5"/>
  <c r="AD280" i="5"/>
  <c r="AD263" i="5"/>
  <c r="AD257" i="5"/>
  <c r="AD234" i="5"/>
  <c r="AD227" i="5"/>
  <c r="AD223" i="5"/>
  <c r="AD225" i="5" s="1"/>
  <c r="AD215" i="5"/>
  <c r="AD219" i="5" s="1"/>
  <c r="AD207" i="5"/>
  <c r="AD201" i="5"/>
  <c r="AD196" i="5"/>
  <c r="AD195" i="5"/>
  <c r="AD193" i="5"/>
  <c r="AD191" i="5"/>
  <c r="AD185" i="5"/>
  <c r="AD188" i="5" s="1"/>
  <c r="AD173" i="5"/>
  <c r="AD182" i="5" s="1"/>
  <c r="AD168" i="5"/>
  <c r="AD164" i="5"/>
  <c r="AD159" i="5"/>
  <c r="AD156" i="5"/>
  <c r="AD151" i="5"/>
  <c r="AD144" i="5"/>
  <c r="AD141" i="5"/>
  <c r="AD135" i="5"/>
  <c r="AD130" i="5"/>
  <c r="AD124" i="5"/>
  <c r="AD111" i="5"/>
  <c r="AD102" i="5"/>
  <c r="AD90" i="5"/>
  <c r="AD84" i="5"/>
  <c r="AD71" i="5"/>
  <c r="AD62" i="5"/>
  <c r="AD45" i="5"/>
  <c r="AD39" i="5"/>
  <c r="AD15" i="5"/>
  <c r="O577" i="5"/>
  <c r="Q577" i="5" s="1"/>
  <c r="N577" i="5"/>
  <c r="P577" i="5" s="1"/>
  <c r="M576" i="5"/>
  <c r="M578" i="5" s="1"/>
  <c r="L576" i="5"/>
  <c r="L578" i="5" s="1"/>
  <c r="K576" i="5"/>
  <c r="K578" i="5" s="1"/>
  <c r="J576" i="5"/>
  <c r="J578" i="5" s="1"/>
  <c r="I576" i="5"/>
  <c r="H576" i="5"/>
  <c r="O575" i="5"/>
  <c r="Q575" i="5" s="1"/>
  <c r="N575" i="5"/>
  <c r="P575" i="5" s="1"/>
  <c r="O574" i="5"/>
  <c r="Q574" i="5" s="1"/>
  <c r="N574" i="5"/>
  <c r="P574" i="5" s="1"/>
  <c r="O573" i="5"/>
  <c r="Q573" i="5" s="1"/>
  <c r="N573" i="5"/>
  <c r="P573" i="5" s="1"/>
  <c r="O572" i="5"/>
  <c r="Q572" i="5" s="1"/>
  <c r="N572" i="5"/>
  <c r="P572" i="5" s="1"/>
  <c r="M568" i="5"/>
  <c r="L568" i="5"/>
  <c r="K568" i="5"/>
  <c r="J568" i="5"/>
  <c r="I568" i="5"/>
  <c r="O568" i="5" s="1"/>
  <c r="Q568" i="5" s="1"/>
  <c r="H568" i="5"/>
  <c r="O567" i="5"/>
  <c r="Q567" i="5" s="1"/>
  <c r="N567" i="5"/>
  <c r="P567" i="5" s="1"/>
  <c r="O566" i="5"/>
  <c r="Q566" i="5" s="1"/>
  <c r="N566" i="5"/>
  <c r="P566" i="5" s="1"/>
  <c r="O565" i="5"/>
  <c r="Q565" i="5" s="1"/>
  <c r="N565" i="5"/>
  <c r="P565" i="5" s="1"/>
  <c r="M563" i="5"/>
  <c r="M569" i="5" s="1"/>
  <c r="M579" i="5" s="1"/>
  <c r="L563" i="5"/>
  <c r="K563" i="5"/>
  <c r="K569" i="5" s="1"/>
  <c r="J563" i="5"/>
  <c r="I563" i="5"/>
  <c r="H563" i="5"/>
  <c r="O562" i="5"/>
  <c r="Q562" i="5" s="1"/>
  <c r="N562" i="5"/>
  <c r="P562" i="5" s="1"/>
  <c r="O561" i="5"/>
  <c r="Q561" i="5" s="1"/>
  <c r="N561" i="5"/>
  <c r="P561" i="5" s="1"/>
  <c r="O560" i="5"/>
  <c r="Q560" i="5" s="1"/>
  <c r="N560" i="5"/>
  <c r="P560" i="5" s="1"/>
  <c r="O559" i="5"/>
  <c r="Q559" i="5" s="1"/>
  <c r="N559" i="5"/>
  <c r="P559" i="5" s="1"/>
  <c r="O558" i="5"/>
  <c r="Q558" i="5" s="1"/>
  <c r="N558" i="5"/>
  <c r="P558" i="5" s="1"/>
  <c r="O556" i="5"/>
  <c r="Q556" i="5" s="1"/>
  <c r="N556" i="5"/>
  <c r="P556" i="5" s="1"/>
  <c r="AC551" i="5"/>
  <c r="AB551" i="5"/>
  <c r="Z551" i="5"/>
  <c r="M551" i="5"/>
  <c r="L551" i="5"/>
  <c r="K551" i="5"/>
  <c r="J551" i="5"/>
  <c r="I551" i="5"/>
  <c r="H551" i="5"/>
  <c r="O550" i="5"/>
  <c r="Q550" i="5" s="1"/>
  <c r="N550" i="5"/>
  <c r="P550" i="5" s="1"/>
  <c r="AC547" i="5"/>
  <c r="AB547" i="5"/>
  <c r="Z547" i="5"/>
  <c r="M547" i="5"/>
  <c r="L547" i="5"/>
  <c r="K547" i="5"/>
  <c r="J547" i="5"/>
  <c r="I547" i="5"/>
  <c r="O547" i="5" s="1"/>
  <c r="Q547" i="5" s="1"/>
  <c r="H547" i="5"/>
  <c r="N547" i="5" s="1"/>
  <c r="P547" i="5" s="1"/>
  <c r="AH546" i="5"/>
  <c r="AG546" i="5"/>
  <c r="O546" i="5"/>
  <c r="Q546" i="5" s="1"/>
  <c r="N546" i="5"/>
  <c r="P546" i="5" s="1"/>
  <c r="AH545" i="5"/>
  <c r="AG545" i="5"/>
  <c r="O545" i="5"/>
  <c r="Q545" i="5" s="1"/>
  <c r="N545" i="5"/>
  <c r="P545" i="5" s="1"/>
  <c r="AH544" i="5"/>
  <c r="AG544" i="5"/>
  <c r="O544" i="5"/>
  <c r="Q544" i="5" s="1"/>
  <c r="N544" i="5"/>
  <c r="P544" i="5" s="1"/>
  <c r="AH543" i="5"/>
  <c r="AG543" i="5"/>
  <c r="AH542" i="5"/>
  <c r="AG542" i="5"/>
  <c r="O542" i="5"/>
  <c r="Q542" i="5" s="1"/>
  <c r="N542" i="5"/>
  <c r="P542" i="5" s="1"/>
  <c r="AH541" i="5"/>
  <c r="AG541" i="5"/>
  <c r="Q541" i="5"/>
  <c r="N541" i="5"/>
  <c r="P541" i="5" s="1"/>
  <c r="AH540" i="5"/>
  <c r="AG540" i="5"/>
  <c r="O540" i="5"/>
  <c r="Q540" i="5" s="1"/>
  <c r="N540" i="5"/>
  <c r="P540" i="5" s="1"/>
  <c r="AH539" i="5"/>
  <c r="AG539" i="5"/>
  <c r="O539" i="5"/>
  <c r="Q539" i="5" s="1"/>
  <c r="N539" i="5"/>
  <c r="P539" i="5" s="1"/>
  <c r="AH538" i="5"/>
  <c r="AG538" i="5"/>
  <c r="O538" i="5"/>
  <c r="Q538" i="5" s="1"/>
  <c r="N538" i="5"/>
  <c r="P538" i="5" s="1"/>
  <c r="AH537" i="5"/>
  <c r="AG537" i="5"/>
  <c r="O537" i="5"/>
  <c r="Q537" i="5" s="1"/>
  <c r="N537" i="5"/>
  <c r="P537" i="5" s="1"/>
  <c r="AH536" i="5"/>
  <c r="AG536" i="5"/>
  <c r="O536" i="5"/>
  <c r="Q536" i="5" s="1"/>
  <c r="N536" i="5"/>
  <c r="P536" i="5" s="1"/>
  <c r="AH535" i="5"/>
  <c r="AG535" i="5"/>
  <c r="O535" i="5"/>
  <c r="Q535" i="5" s="1"/>
  <c r="N535" i="5"/>
  <c r="P535" i="5" s="1"/>
  <c r="AH534" i="5"/>
  <c r="AG534" i="5"/>
  <c r="O534" i="5"/>
  <c r="Q534" i="5" s="1"/>
  <c r="N534" i="5"/>
  <c r="P534" i="5" s="1"/>
  <c r="AH533" i="5"/>
  <c r="AG533" i="5"/>
  <c r="O533" i="5"/>
  <c r="Q533" i="5" s="1"/>
  <c r="N533" i="5"/>
  <c r="P533" i="5" s="1"/>
  <c r="AC532" i="5"/>
  <c r="AB532" i="5"/>
  <c r="AG532" i="5" s="1"/>
  <c r="O532" i="5"/>
  <c r="Q532" i="5" s="1"/>
  <c r="N532" i="5"/>
  <c r="P532" i="5" s="1"/>
  <c r="AH531" i="5"/>
  <c r="AG531" i="5"/>
  <c r="O531" i="5"/>
  <c r="Q531" i="5" s="1"/>
  <c r="N531" i="5"/>
  <c r="P531" i="5" s="1"/>
  <c r="AC530" i="5"/>
  <c r="AB530" i="5"/>
  <c r="AG530" i="5" s="1"/>
  <c r="O530" i="5"/>
  <c r="Q530" i="5" s="1"/>
  <c r="N530" i="5"/>
  <c r="P530" i="5" s="1"/>
  <c r="AH529" i="5"/>
  <c r="AG529" i="5"/>
  <c r="O529" i="5"/>
  <c r="Q529" i="5" s="1"/>
  <c r="N529" i="5"/>
  <c r="P529" i="5" s="1"/>
  <c r="AH528" i="5"/>
  <c r="AG528" i="5"/>
  <c r="O528" i="5"/>
  <c r="Q528" i="5" s="1"/>
  <c r="N528" i="5"/>
  <c r="P528" i="5" s="1"/>
  <c r="AH527" i="5"/>
  <c r="AG527" i="5"/>
  <c r="O527" i="5"/>
  <c r="Q527" i="5" s="1"/>
  <c r="N527" i="5"/>
  <c r="P527" i="5" s="1"/>
  <c r="AH526" i="5"/>
  <c r="AG526" i="5"/>
  <c r="O526" i="5"/>
  <c r="Q526" i="5" s="1"/>
  <c r="N526" i="5"/>
  <c r="P526" i="5" s="1"/>
  <c r="AH525" i="5"/>
  <c r="AG525" i="5"/>
  <c r="O525" i="5"/>
  <c r="Q525" i="5" s="1"/>
  <c r="N525" i="5"/>
  <c r="P525" i="5" s="1"/>
  <c r="AH524" i="5"/>
  <c r="AG524" i="5"/>
  <c r="O524" i="5"/>
  <c r="Q524" i="5" s="1"/>
  <c r="N524" i="5"/>
  <c r="P524" i="5" s="1"/>
  <c r="AH523" i="5"/>
  <c r="AG523" i="5"/>
  <c r="Q523" i="5"/>
  <c r="N523" i="5"/>
  <c r="P523" i="5" s="1"/>
  <c r="AH522" i="5"/>
  <c r="AG522" i="5"/>
  <c r="O522" i="5"/>
  <c r="Q522" i="5" s="1"/>
  <c r="N522" i="5"/>
  <c r="P522" i="5" s="1"/>
  <c r="AH521" i="5"/>
  <c r="AG521" i="5"/>
  <c r="O521" i="5"/>
  <c r="Q521" i="5" s="1"/>
  <c r="N521" i="5"/>
  <c r="P521" i="5" s="1"/>
  <c r="AH520" i="5"/>
  <c r="AG520" i="5"/>
  <c r="O520" i="5"/>
  <c r="Q520" i="5" s="1"/>
  <c r="N520" i="5"/>
  <c r="P520" i="5" s="1"/>
  <c r="AH519" i="5"/>
  <c r="AG519" i="5"/>
  <c r="O519" i="5"/>
  <c r="Q519" i="5" s="1"/>
  <c r="N519" i="5"/>
  <c r="P519" i="5" s="1"/>
  <c r="AC518" i="5"/>
  <c r="AH518" i="5" s="1"/>
  <c r="AB518" i="5"/>
  <c r="AG518" i="5" s="1"/>
  <c r="Z518" i="5"/>
  <c r="Z548" i="5" s="1"/>
  <c r="M518" i="5"/>
  <c r="M548" i="5" s="1"/>
  <c r="L518" i="5"/>
  <c r="L548" i="5" s="1"/>
  <c r="K518" i="5"/>
  <c r="K548" i="5" s="1"/>
  <c r="J518" i="5"/>
  <c r="I518" i="5"/>
  <c r="H518" i="5"/>
  <c r="AH517" i="5"/>
  <c r="AG517" i="5"/>
  <c r="O517" i="5"/>
  <c r="Q517" i="5" s="1"/>
  <c r="N517" i="5"/>
  <c r="P517" i="5" s="1"/>
  <c r="AH516" i="5"/>
  <c r="AG516" i="5"/>
  <c r="O516" i="5"/>
  <c r="Q516" i="5" s="1"/>
  <c r="N516" i="5"/>
  <c r="P516" i="5" s="1"/>
  <c r="AH515" i="5"/>
  <c r="AG515" i="5"/>
  <c r="O515" i="5"/>
  <c r="Q515" i="5" s="1"/>
  <c r="N515" i="5"/>
  <c r="P515" i="5" s="1"/>
  <c r="AH514" i="5"/>
  <c r="AG514" i="5"/>
  <c r="AH513" i="5"/>
  <c r="AG513" i="5"/>
  <c r="O513" i="5"/>
  <c r="Q513" i="5" s="1"/>
  <c r="N513" i="5"/>
  <c r="P513" i="5" s="1"/>
  <c r="AH512" i="5"/>
  <c r="AG512" i="5"/>
  <c r="O512" i="5"/>
  <c r="Q512" i="5" s="1"/>
  <c r="N512" i="5"/>
  <c r="P512" i="5" s="1"/>
  <c r="AH511" i="5"/>
  <c r="AG511" i="5"/>
  <c r="O511" i="5"/>
  <c r="Q511" i="5" s="1"/>
  <c r="N511" i="5"/>
  <c r="P511" i="5" s="1"/>
  <c r="AH510" i="5"/>
  <c r="AG510" i="5"/>
  <c r="O510" i="5"/>
  <c r="Q510" i="5" s="1"/>
  <c r="N510" i="5"/>
  <c r="P510" i="5" s="1"/>
  <c r="AH509" i="5"/>
  <c r="AG509" i="5"/>
  <c r="O509" i="5"/>
  <c r="Q509" i="5" s="1"/>
  <c r="N509" i="5"/>
  <c r="P509" i="5" s="1"/>
  <c r="AH508" i="5"/>
  <c r="AG508" i="5"/>
  <c r="O508" i="5"/>
  <c r="Q508" i="5" s="1"/>
  <c r="N508" i="5"/>
  <c r="P508" i="5" s="1"/>
  <c r="AH507" i="5"/>
  <c r="AG507" i="5"/>
  <c r="O507" i="5"/>
  <c r="Q507" i="5" s="1"/>
  <c r="N507" i="5"/>
  <c r="P507" i="5" s="1"/>
  <c r="AH506" i="5"/>
  <c r="AG506" i="5"/>
  <c r="O506" i="5"/>
  <c r="Q506" i="5" s="1"/>
  <c r="N506" i="5"/>
  <c r="P506" i="5" s="1"/>
  <c r="AH505" i="5"/>
  <c r="AG505" i="5"/>
  <c r="O505" i="5"/>
  <c r="Q505" i="5" s="1"/>
  <c r="N505" i="5"/>
  <c r="P505" i="5" s="1"/>
  <c r="AC504" i="5"/>
  <c r="AB504" i="5"/>
  <c r="AG504" i="5" s="1"/>
  <c r="O504" i="5"/>
  <c r="Q504" i="5" s="1"/>
  <c r="N504" i="5"/>
  <c r="P504" i="5" s="1"/>
  <c r="AH503" i="5"/>
  <c r="AG503" i="5"/>
  <c r="O503" i="5"/>
  <c r="Q503" i="5" s="1"/>
  <c r="N503" i="5"/>
  <c r="P503" i="5" s="1"/>
  <c r="AH502" i="5"/>
  <c r="AG502" i="5"/>
  <c r="O502" i="5"/>
  <c r="Q502" i="5" s="1"/>
  <c r="N502" i="5"/>
  <c r="P502" i="5" s="1"/>
  <c r="AH501" i="5"/>
  <c r="AG501" i="5"/>
  <c r="O501" i="5"/>
  <c r="Q501" i="5" s="1"/>
  <c r="N501" i="5"/>
  <c r="P501" i="5" s="1"/>
  <c r="AH500" i="5"/>
  <c r="AG500" i="5"/>
  <c r="O500" i="5"/>
  <c r="Q500" i="5" s="1"/>
  <c r="N500" i="5"/>
  <c r="P500" i="5" s="1"/>
  <c r="AH499" i="5"/>
  <c r="AG499" i="5"/>
  <c r="O499" i="5"/>
  <c r="Q499" i="5" s="1"/>
  <c r="N499" i="5"/>
  <c r="P499" i="5" s="1"/>
  <c r="AH498" i="5"/>
  <c r="AG498" i="5"/>
  <c r="O498" i="5"/>
  <c r="Q498" i="5" s="1"/>
  <c r="N498" i="5"/>
  <c r="P498" i="5" s="1"/>
  <c r="AH497" i="5"/>
  <c r="AG497" i="5"/>
  <c r="O497" i="5"/>
  <c r="Q497" i="5" s="1"/>
  <c r="N497" i="5"/>
  <c r="P497" i="5" s="1"/>
  <c r="AH496" i="5"/>
  <c r="AG496" i="5"/>
  <c r="O496" i="5"/>
  <c r="Q496" i="5" s="1"/>
  <c r="N496" i="5"/>
  <c r="P496" i="5" s="1"/>
  <c r="O495" i="5"/>
  <c r="Q495" i="5" s="1"/>
  <c r="N495" i="5"/>
  <c r="P495" i="5" s="1"/>
  <c r="AH494" i="5"/>
  <c r="AG494" i="5"/>
  <c r="O494" i="5"/>
  <c r="Q494" i="5" s="1"/>
  <c r="N494" i="5"/>
  <c r="P494" i="5" s="1"/>
  <c r="AH493" i="5"/>
  <c r="AG493" i="5"/>
  <c r="O493" i="5"/>
  <c r="Q493" i="5" s="1"/>
  <c r="N493" i="5"/>
  <c r="P493" i="5" s="1"/>
  <c r="AH492" i="5"/>
  <c r="AG492" i="5"/>
  <c r="O492" i="5"/>
  <c r="Q492" i="5" s="1"/>
  <c r="N492" i="5"/>
  <c r="P492" i="5" s="1"/>
  <c r="AH491" i="5"/>
  <c r="AG491" i="5"/>
  <c r="O491" i="5"/>
  <c r="Q491" i="5" s="1"/>
  <c r="N491" i="5"/>
  <c r="P491" i="5" s="1"/>
  <c r="AH490" i="5"/>
  <c r="Q490" i="5"/>
  <c r="P490" i="5"/>
  <c r="Z488" i="5"/>
  <c r="M488" i="5"/>
  <c r="L488" i="5"/>
  <c r="K488" i="5"/>
  <c r="J488" i="5"/>
  <c r="I488" i="5"/>
  <c r="H488" i="5"/>
  <c r="O487" i="5"/>
  <c r="Q487" i="5" s="1"/>
  <c r="N487" i="5"/>
  <c r="P487" i="5" s="1"/>
  <c r="O486" i="5"/>
  <c r="Q486" i="5" s="1"/>
  <c r="N486" i="5"/>
  <c r="P486" i="5" s="1"/>
  <c r="O485" i="5"/>
  <c r="Q485" i="5" s="1"/>
  <c r="N485" i="5"/>
  <c r="P485" i="5" s="1"/>
  <c r="O484" i="5"/>
  <c r="Q484" i="5" s="1"/>
  <c r="N484" i="5"/>
  <c r="P484" i="5" s="1"/>
  <c r="O483" i="5"/>
  <c r="Q483" i="5" s="1"/>
  <c r="N483" i="5"/>
  <c r="P483" i="5" s="1"/>
  <c r="O482" i="5"/>
  <c r="Q482" i="5" s="1"/>
  <c r="N482" i="5"/>
  <c r="P482" i="5" s="1"/>
  <c r="O481" i="5"/>
  <c r="Q481" i="5" s="1"/>
  <c r="N481" i="5"/>
  <c r="P481" i="5" s="1"/>
  <c r="AH480" i="5"/>
  <c r="Z479" i="5"/>
  <c r="M479" i="5"/>
  <c r="L479" i="5"/>
  <c r="K479" i="5"/>
  <c r="J479" i="5"/>
  <c r="I479" i="5"/>
  <c r="H479" i="5"/>
  <c r="N479" i="5" s="1"/>
  <c r="P479" i="5" s="1"/>
  <c r="O478" i="5"/>
  <c r="Q478" i="5" s="1"/>
  <c r="N478" i="5"/>
  <c r="P478" i="5" s="1"/>
  <c r="O477" i="5"/>
  <c r="Q477" i="5" s="1"/>
  <c r="N477" i="5"/>
  <c r="P477" i="5" s="1"/>
  <c r="P476" i="5"/>
  <c r="O476" i="5"/>
  <c r="Q476" i="5" s="1"/>
  <c r="N476" i="5"/>
  <c r="O475" i="5"/>
  <c r="Q475" i="5" s="1"/>
  <c r="N475" i="5"/>
  <c r="P475" i="5" s="1"/>
  <c r="O474" i="5"/>
  <c r="Q474" i="5" s="1"/>
  <c r="N474" i="5"/>
  <c r="P474" i="5" s="1"/>
  <c r="O473" i="5"/>
  <c r="Q473" i="5" s="1"/>
  <c r="N473" i="5"/>
  <c r="P473" i="5" s="1"/>
  <c r="O472" i="5"/>
  <c r="Q472" i="5" s="1"/>
  <c r="N472" i="5"/>
  <c r="P472" i="5" s="1"/>
  <c r="O471" i="5"/>
  <c r="Q471" i="5" s="1"/>
  <c r="N471" i="5"/>
  <c r="P471" i="5" s="1"/>
  <c r="AH470" i="5"/>
  <c r="Z469" i="5"/>
  <c r="M469" i="5"/>
  <c r="L469" i="5"/>
  <c r="K469" i="5"/>
  <c r="J469" i="5"/>
  <c r="I469" i="5"/>
  <c r="H469" i="5"/>
  <c r="O468" i="5"/>
  <c r="Q468" i="5" s="1"/>
  <c r="N468" i="5"/>
  <c r="P468" i="5" s="1"/>
  <c r="O467" i="5"/>
  <c r="Q467" i="5" s="1"/>
  <c r="N467" i="5"/>
  <c r="P467" i="5" s="1"/>
  <c r="O466" i="5"/>
  <c r="Q466" i="5" s="1"/>
  <c r="N466" i="5"/>
  <c r="P466" i="5" s="1"/>
  <c r="AH465" i="5"/>
  <c r="Q465" i="5"/>
  <c r="P465" i="5"/>
  <c r="Z464" i="5"/>
  <c r="M464" i="5"/>
  <c r="L464" i="5"/>
  <c r="K464" i="5"/>
  <c r="J464" i="5"/>
  <c r="I464" i="5"/>
  <c r="H464" i="5"/>
  <c r="AH463" i="5"/>
  <c r="AG463" i="5"/>
  <c r="O463" i="5"/>
  <c r="Q463" i="5" s="1"/>
  <c r="N463" i="5"/>
  <c r="P463" i="5" s="1"/>
  <c r="O462" i="5"/>
  <c r="Q462" i="5" s="1"/>
  <c r="N462" i="5"/>
  <c r="P462" i="5" s="1"/>
  <c r="O461" i="5"/>
  <c r="Q461" i="5" s="1"/>
  <c r="N461" i="5"/>
  <c r="P461" i="5" s="1"/>
  <c r="O460" i="5"/>
  <c r="Q460" i="5" s="1"/>
  <c r="N460" i="5"/>
  <c r="P460" i="5" s="1"/>
  <c r="O459" i="5"/>
  <c r="Q459" i="5" s="1"/>
  <c r="N459" i="5"/>
  <c r="P459" i="5" s="1"/>
  <c r="O458" i="5"/>
  <c r="Q458" i="5" s="1"/>
  <c r="N458" i="5"/>
  <c r="P458" i="5" s="1"/>
  <c r="O457" i="5"/>
  <c r="Q457" i="5" s="1"/>
  <c r="N457" i="5"/>
  <c r="P457" i="5" s="1"/>
  <c r="AH456" i="5"/>
  <c r="Z454" i="5"/>
  <c r="Z455" i="5" s="1"/>
  <c r="M454" i="5"/>
  <c r="M455" i="5" s="1"/>
  <c r="L454" i="5"/>
  <c r="L455" i="5" s="1"/>
  <c r="K454" i="5"/>
  <c r="K455" i="5" s="1"/>
  <c r="J454" i="5"/>
  <c r="J455" i="5" s="1"/>
  <c r="I454" i="5"/>
  <c r="I455" i="5" s="1"/>
  <c r="H454" i="5"/>
  <c r="H455" i="5" s="1"/>
  <c r="O453" i="5"/>
  <c r="Q453" i="5" s="1"/>
  <c r="N453" i="5"/>
  <c r="P453" i="5" s="1"/>
  <c r="O452" i="5"/>
  <c r="Q452" i="5" s="1"/>
  <c r="N452" i="5"/>
  <c r="P452" i="5" s="1"/>
  <c r="O451" i="5"/>
  <c r="Q451" i="5" s="1"/>
  <c r="N451" i="5"/>
  <c r="P451" i="5" s="1"/>
  <c r="O450" i="5"/>
  <c r="Q450" i="5" s="1"/>
  <c r="N450" i="5"/>
  <c r="P450" i="5" s="1"/>
  <c r="O449" i="5"/>
  <c r="Q449" i="5" s="1"/>
  <c r="N449" i="5"/>
  <c r="P449" i="5" s="1"/>
  <c r="O448" i="5"/>
  <c r="Q448" i="5" s="1"/>
  <c r="N448" i="5"/>
  <c r="P448" i="5" s="1"/>
  <c r="O447" i="5"/>
  <c r="Q447" i="5" s="1"/>
  <c r="N447" i="5"/>
  <c r="P447" i="5" s="1"/>
  <c r="O446" i="5"/>
  <c r="Q446" i="5" s="1"/>
  <c r="N446" i="5"/>
  <c r="P446" i="5" s="1"/>
  <c r="O445" i="5"/>
  <c r="Q445" i="5" s="1"/>
  <c r="N445" i="5"/>
  <c r="P445" i="5" s="1"/>
  <c r="O444" i="5"/>
  <c r="Q444" i="5" s="1"/>
  <c r="N444" i="5"/>
  <c r="P444" i="5" s="1"/>
  <c r="AI441" i="5"/>
  <c r="AJ431" i="5" s="1"/>
  <c r="AK431" i="5" s="1"/>
  <c r="AB441" i="5"/>
  <c r="Z441" i="5"/>
  <c r="M441" i="5"/>
  <c r="L441" i="5"/>
  <c r="K441" i="5"/>
  <c r="J441" i="5"/>
  <c r="I441" i="5"/>
  <c r="H441" i="5"/>
  <c r="AG440" i="5"/>
  <c r="O440" i="5"/>
  <c r="Q440" i="5" s="1"/>
  <c r="N440" i="5"/>
  <c r="P440" i="5" s="1"/>
  <c r="AG439" i="5"/>
  <c r="O439" i="5"/>
  <c r="Q439" i="5" s="1"/>
  <c r="N439" i="5"/>
  <c r="P439" i="5" s="1"/>
  <c r="AG438" i="5"/>
  <c r="O438" i="5"/>
  <c r="Q438" i="5" s="1"/>
  <c r="N438" i="5"/>
  <c r="P438" i="5" s="1"/>
  <c r="AG437" i="5"/>
  <c r="O437" i="5"/>
  <c r="Q437" i="5" s="1"/>
  <c r="N437" i="5"/>
  <c r="P437" i="5" s="1"/>
  <c r="AG436" i="5"/>
  <c r="O436" i="5"/>
  <c r="Q436" i="5" s="1"/>
  <c r="N436" i="5"/>
  <c r="P436" i="5" s="1"/>
  <c r="AG435" i="5"/>
  <c r="O435" i="5"/>
  <c r="Q435" i="5" s="1"/>
  <c r="N435" i="5"/>
  <c r="P435" i="5" s="1"/>
  <c r="AG434" i="5"/>
  <c r="O434" i="5"/>
  <c r="Q434" i="5" s="1"/>
  <c r="N434" i="5"/>
  <c r="P434" i="5" s="1"/>
  <c r="AG433" i="5"/>
  <c r="O433" i="5"/>
  <c r="Q433" i="5" s="1"/>
  <c r="N433" i="5"/>
  <c r="P433" i="5" s="1"/>
  <c r="AG432" i="5"/>
  <c r="O432" i="5"/>
  <c r="Q432" i="5" s="1"/>
  <c r="N432" i="5"/>
  <c r="P432" i="5" s="1"/>
  <c r="AG431" i="5"/>
  <c r="O431" i="5"/>
  <c r="Q431" i="5" s="1"/>
  <c r="N431" i="5"/>
  <c r="P431" i="5" s="1"/>
  <c r="Q430" i="5"/>
  <c r="P430" i="5"/>
  <c r="Q429" i="5"/>
  <c r="P429" i="5"/>
  <c r="AC427" i="5"/>
  <c r="AB427" i="5"/>
  <c r="Z427" i="5"/>
  <c r="Q427" i="5"/>
  <c r="L427" i="5"/>
  <c r="J427" i="5"/>
  <c r="H427" i="5"/>
  <c r="Q426" i="5"/>
  <c r="N426" i="5"/>
  <c r="P426" i="5" s="1"/>
  <c r="Q425" i="5"/>
  <c r="N425" i="5"/>
  <c r="P425" i="5" s="1"/>
  <c r="Z423" i="5"/>
  <c r="O422" i="5"/>
  <c r="Q422" i="5" s="1"/>
  <c r="N422" i="5"/>
  <c r="P422" i="5" s="1"/>
  <c r="O421" i="5"/>
  <c r="Q421" i="5" s="1"/>
  <c r="N421" i="5"/>
  <c r="P421" i="5" s="1"/>
  <c r="O420" i="5"/>
  <c r="Q420" i="5" s="1"/>
  <c r="N420" i="5"/>
  <c r="P420" i="5" s="1"/>
  <c r="O419" i="5"/>
  <c r="Q419" i="5" s="1"/>
  <c r="N419" i="5"/>
  <c r="P419" i="5" s="1"/>
  <c r="O418" i="5"/>
  <c r="Q418" i="5" s="1"/>
  <c r="N418" i="5"/>
  <c r="P418" i="5" s="1"/>
  <c r="O417" i="5"/>
  <c r="Q417" i="5" s="1"/>
  <c r="N417" i="5"/>
  <c r="P417" i="5" s="1"/>
  <c r="O416" i="5"/>
  <c r="Q416" i="5" s="1"/>
  <c r="N416" i="5"/>
  <c r="P416" i="5" s="1"/>
  <c r="O415" i="5"/>
  <c r="Q415" i="5" s="1"/>
  <c r="N415" i="5"/>
  <c r="P415" i="5" s="1"/>
  <c r="O414" i="5"/>
  <c r="Q414" i="5" s="1"/>
  <c r="N414" i="5"/>
  <c r="P414" i="5" s="1"/>
  <c r="Q413" i="5"/>
  <c r="N413" i="5"/>
  <c r="P413" i="5" s="1"/>
  <c r="O412" i="5"/>
  <c r="Q412" i="5" s="1"/>
  <c r="N412" i="5"/>
  <c r="P412" i="5" s="1"/>
  <c r="O411" i="5"/>
  <c r="Q411" i="5" s="1"/>
  <c r="N411" i="5"/>
  <c r="P411" i="5" s="1"/>
  <c r="O410" i="5"/>
  <c r="Q410" i="5" s="1"/>
  <c r="N410" i="5"/>
  <c r="P410" i="5" s="1"/>
  <c r="O409" i="5"/>
  <c r="Q409" i="5" s="1"/>
  <c r="N409" i="5"/>
  <c r="P409" i="5" s="1"/>
  <c r="O408" i="5"/>
  <c r="Q408" i="5" s="1"/>
  <c r="N408" i="5"/>
  <c r="P408" i="5" s="1"/>
  <c r="O407" i="5"/>
  <c r="Q407" i="5" s="1"/>
  <c r="N407" i="5"/>
  <c r="P407" i="5" s="1"/>
  <c r="Q406" i="5"/>
  <c r="N406" i="5"/>
  <c r="P406" i="5" s="1"/>
  <c r="M405" i="5"/>
  <c r="M423" i="5" s="1"/>
  <c r="M428" i="5" s="1"/>
  <c r="L405" i="5"/>
  <c r="L423" i="5" s="1"/>
  <c r="K405" i="5"/>
  <c r="K423" i="5" s="1"/>
  <c r="K428" i="5" s="1"/>
  <c r="J405" i="5"/>
  <c r="J423" i="5" s="1"/>
  <c r="I405" i="5"/>
  <c r="H405" i="5"/>
  <c r="H423" i="5" s="1"/>
  <c r="O404" i="5"/>
  <c r="Q404" i="5" s="1"/>
  <c r="N404" i="5"/>
  <c r="P404" i="5" s="1"/>
  <c r="O402" i="5"/>
  <c r="Q402" i="5" s="1"/>
  <c r="N402" i="5"/>
  <c r="P402" i="5" s="1"/>
  <c r="AC401" i="5"/>
  <c r="AC423" i="5" s="1"/>
  <c r="AB401" i="5"/>
  <c r="AB423" i="5" s="1"/>
  <c r="O401" i="5"/>
  <c r="Q401" i="5" s="1"/>
  <c r="N401" i="5"/>
  <c r="P401" i="5" s="1"/>
  <c r="O400" i="5"/>
  <c r="Q400" i="5" s="1"/>
  <c r="N400" i="5"/>
  <c r="P400" i="5" s="1"/>
  <c r="O399" i="5"/>
  <c r="Q399" i="5" s="1"/>
  <c r="N399" i="5"/>
  <c r="P399" i="5" s="1"/>
  <c r="O398" i="5"/>
  <c r="Q398" i="5" s="1"/>
  <c r="N398" i="5"/>
  <c r="P398" i="5" s="1"/>
  <c r="O397" i="5"/>
  <c r="Q397" i="5" s="1"/>
  <c r="N397" i="5"/>
  <c r="P397" i="5" s="1"/>
  <c r="O396" i="5"/>
  <c r="Q396" i="5" s="1"/>
  <c r="N396" i="5"/>
  <c r="P396" i="5" s="1"/>
  <c r="Q395" i="5"/>
  <c r="O395" i="5"/>
  <c r="N395" i="5"/>
  <c r="P395" i="5" s="1"/>
  <c r="O394" i="5"/>
  <c r="Q394" i="5" s="1"/>
  <c r="N394" i="5"/>
  <c r="P394" i="5" s="1"/>
  <c r="O393" i="5"/>
  <c r="Q393" i="5" s="1"/>
  <c r="N393" i="5"/>
  <c r="P393" i="5" s="1"/>
  <c r="O392" i="5"/>
  <c r="Q392" i="5" s="1"/>
  <c r="N392" i="5"/>
  <c r="P392" i="5" s="1"/>
  <c r="P391" i="5"/>
  <c r="O391" i="5"/>
  <c r="Q391" i="5" s="1"/>
  <c r="N391" i="5"/>
  <c r="O390" i="5"/>
  <c r="Q390" i="5" s="1"/>
  <c r="N390" i="5"/>
  <c r="P390" i="5" s="1"/>
  <c r="O389" i="5"/>
  <c r="Q389" i="5" s="1"/>
  <c r="N389" i="5"/>
  <c r="P389" i="5" s="1"/>
  <c r="O388" i="5"/>
  <c r="Q388" i="5" s="1"/>
  <c r="N388" i="5"/>
  <c r="P388" i="5" s="1"/>
  <c r="O387" i="5"/>
  <c r="Q387" i="5" s="1"/>
  <c r="N387" i="5"/>
  <c r="P387" i="5" s="1"/>
  <c r="O385" i="5"/>
  <c r="Q385" i="5" s="1"/>
  <c r="N385" i="5"/>
  <c r="P385" i="5" s="1"/>
  <c r="O384" i="5"/>
  <c r="Q384" i="5" s="1"/>
  <c r="N384" i="5"/>
  <c r="P384" i="5" s="1"/>
  <c r="Q383" i="5"/>
  <c r="N383" i="5"/>
  <c r="P383" i="5" s="1"/>
  <c r="O382" i="5"/>
  <c r="Q382" i="5" s="1"/>
  <c r="N382" i="5"/>
  <c r="P382" i="5" s="1"/>
  <c r="O381" i="5"/>
  <c r="Q381" i="5" s="1"/>
  <c r="N381" i="5"/>
  <c r="P381" i="5" s="1"/>
  <c r="O380" i="5"/>
  <c r="Q380" i="5" s="1"/>
  <c r="N380" i="5"/>
  <c r="P380" i="5" s="1"/>
  <c r="O379" i="5"/>
  <c r="Q379" i="5" s="1"/>
  <c r="N379" i="5"/>
  <c r="P379" i="5" s="1"/>
  <c r="AB376" i="5"/>
  <c r="Z376" i="5"/>
  <c r="M376" i="5"/>
  <c r="L376" i="5"/>
  <c r="K376" i="5"/>
  <c r="J376" i="5"/>
  <c r="I376" i="5"/>
  <c r="H376" i="5"/>
  <c r="AC375" i="5"/>
  <c r="AB375" i="5"/>
  <c r="O375" i="5"/>
  <c r="Q375" i="5" s="1"/>
  <c r="N375" i="5"/>
  <c r="P375" i="5" s="1"/>
  <c r="AC374" i="5"/>
  <c r="AB374" i="5"/>
  <c r="O374" i="5"/>
  <c r="Q374" i="5" s="1"/>
  <c r="N374" i="5"/>
  <c r="P374" i="5" s="1"/>
  <c r="AC373" i="5"/>
  <c r="AB373" i="5"/>
  <c r="O373" i="5"/>
  <c r="Q373" i="5" s="1"/>
  <c r="N373" i="5"/>
  <c r="P373" i="5" s="1"/>
  <c r="Q372" i="5"/>
  <c r="P372" i="5"/>
  <c r="AC371" i="5"/>
  <c r="AB371" i="5"/>
  <c r="Z371" i="5"/>
  <c r="M371" i="5"/>
  <c r="L371" i="5"/>
  <c r="K371" i="5"/>
  <c r="J371" i="5"/>
  <c r="I371" i="5"/>
  <c r="H371" i="5"/>
  <c r="O370" i="5"/>
  <c r="Q370" i="5" s="1"/>
  <c r="N370" i="5"/>
  <c r="P370" i="5" s="1"/>
  <c r="O369" i="5"/>
  <c r="Q369" i="5" s="1"/>
  <c r="N369" i="5"/>
  <c r="P369" i="5" s="1"/>
  <c r="O368" i="5"/>
  <c r="Q368" i="5" s="1"/>
  <c r="N368" i="5"/>
  <c r="P368" i="5" s="1"/>
  <c r="AC367" i="5"/>
  <c r="AB367" i="5"/>
  <c r="O367" i="5"/>
  <c r="Q367" i="5" s="1"/>
  <c r="N367" i="5"/>
  <c r="P367" i="5" s="1"/>
  <c r="O366" i="5"/>
  <c r="Q366" i="5" s="1"/>
  <c r="N366" i="5"/>
  <c r="P366" i="5" s="1"/>
  <c r="O362" i="5"/>
  <c r="Q362" i="5" s="1"/>
  <c r="N362" i="5"/>
  <c r="P362" i="5" s="1"/>
  <c r="AC361" i="5"/>
  <c r="AB361" i="5"/>
  <c r="AB363" i="5" s="1"/>
  <c r="Z361" i="5"/>
  <c r="M361" i="5"/>
  <c r="L361" i="5"/>
  <c r="K361" i="5"/>
  <c r="J361" i="5"/>
  <c r="I361" i="5"/>
  <c r="O361" i="5" s="1"/>
  <c r="Q361" i="5" s="1"/>
  <c r="H361" i="5"/>
  <c r="O360" i="5"/>
  <c r="Q360" i="5" s="1"/>
  <c r="N360" i="5"/>
  <c r="P360" i="5" s="1"/>
  <c r="O359" i="5"/>
  <c r="Q359" i="5" s="1"/>
  <c r="N359" i="5"/>
  <c r="P359" i="5" s="1"/>
  <c r="O357" i="5"/>
  <c r="Q357" i="5" s="1"/>
  <c r="N357" i="5"/>
  <c r="P357" i="5" s="1"/>
  <c r="O356" i="5"/>
  <c r="Q356" i="5" s="1"/>
  <c r="N356" i="5"/>
  <c r="P356" i="5" s="1"/>
  <c r="Q355" i="5"/>
  <c r="P355" i="5"/>
  <c r="O355" i="5"/>
  <c r="N355" i="5"/>
  <c r="O354" i="5"/>
  <c r="Q354" i="5" s="1"/>
  <c r="N354" i="5"/>
  <c r="P354" i="5" s="1"/>
  <c r="O353" i="5"/>
  <c r="Q353" i="5" s="1"/>
  <c r="N353" i="5"/>
  <c r="P353" i="5" s="1"/>
  <c r="O352" i="5"/>
  <c r="Q352" i="5" s="1"/>
  <c r="N352" i="5"/>
  <c r="P352" i="5" s="1"/>
  <c r="O351" i="5"/>
  <c r="Q351" i="5" s="1"/>
  <c r="N351" i="5"/>
  <c r="P351" i="5" s="1"/>
  <c r="O350" i="5"/>
  <c r="Q350" i="5" s="1"/>
  <c r="N350" i="5"/>
  <c r="P350" i="5" s="1"/>
  <c r="O349" i="5"/>
  <c r="Q349" i="5" s="1"/>
  <c r="N349" i="5"/>
  <c r="P349" i="5" s="1"/>
  <c r="O348" i="5"/>
  <c r="Q348" i="5" s="1"/>
  <c r="N348" i="5"/>
  <c r="P348" i="5" s="1"/>
  <c r="O347" i="5"/>
  <c r="Q347" i="5" s="1"/>
  <c r="N347" i="5"/>
  <c r="P347" i="5" s="1"/>
  <c r="O346" i="5"/>
  <c r="Q346" i="5" s="1"/>
  <c r="N346" i="5"/>
  <c r="P346" i="5" s="1"/>
  <c r="Q345" i="5"/>
  <c r="N345" i="5"/>
  <c r="P345" i="5" s="1"/>
  <c r="O344" i="5"/>
  <c r="Q344" i="5" s="1"/>
  <c r="N344" i="5"/>
  <c r="P344" i="5" s="1"/>
  <c r="O343" i="5"/>
  <c r="Q343" i="5" s="1"/>
  <c r="N343" i="5"/>
  <c r="P343" i="5" s="1"/>
  <c r="AC342" i="5"/>
  <c r="AB342" i="5"/>
  <c r="Z342" i="5"/>
  <c r="M342" i="5"/>
  <c r="L342" i="5"/>
  <c r="K342" i="5"/>
  <c r="J342" i="5"/>
  <c r="I342" i="5"/>
  <c r="I363" i="5" s="1"/>
  <c r="H342" i="5"/>
  <c r="N342" i="5" s="1"/>
  <c r="P342" i="5" s="1"/>
  <c r="O341" i="5"/>
  <c r="Q341" i="5" s="1"/>
  <c r="N341" i="5"/>
  <c r="P341" i="5" s="1"/>
  <c r="O339" i="5"/>
  <c r="Q339" i="5" s="1"/>
  <c r="N339" i="5"/>
  <c r="P339" i="5" s="1"/>
  <c r="Q338" i="5"/>
  <c r="N338" i="5"/>
  <c r="P338" i="5" s="1"/>
  <c r="O337" i="5"/>
  <c r="Q337" i="5" s="1"/>
  <c r="N337" i="5"/>
  <c r="P337" i="5" s="1"/>
  <c r="Q336" i="5"/>
  <c r="N336" i="5"/>
  <c r="P336" i="5" s="1"/>
  <c r="O332" i="5"/>
  <c r="Q332" i="5" s="1"/>
  <c r="N332" i="5"/>
  <c r="P332" i="5" s="1"/>
  <c r="AC331" i="5"/>
  <c r="AB331" i="5"/>
  <c r="Z331" i="5"/>
  <c r="M331" i="5"/>
  <c r="L331" i="5"/>
  <c r="K331" i="5"/>
  <c r="J331" i="5"/>
  <c r="I331" i="5"/>
  <c r="H331" i="5"/>
  <c r="O330" i="5"/>
  <c r="Q330" i="5" s="1"/>
  <c r="N330" i="5"/>
  <c r="P330" i="5" s="1"/>
  <c r="AC328" i="5"/>
  <c r="AB328" i="5"/>
  <c r="Z328" i="5"/>
  <c r="M328" i="5"/>
  <c r="L328" i="5"/>
  <c r="K328" i="5"/>
  <c r="J328" i="5"/>
  <c r="I328" i="5"/>
  <c r="H328" i="5"/>
  <c r="O326" i="5"/>
  <c r="Q326" i="5" s="1"/>
  <c r="N326" i="5"/>
  <c r="P326" i="5" s="1"/>
  <c r="O325" i="5"/>
  <c r="Q325" i="5" s="1"/>
  <c r="N325" i="5"/>
  <c r="P325" i="5" s="1"/>
  <c r="O324" i="5"/>
  <c r="Q324" i="5" s="1"/>
  <c r="N324" i="5"/>
  <c r="P324" i="5" s="1"/>
  <c r="O323" i="5"/>
  <c r="Q323" i="5" s="1"/>
  <c r="N323" i="5"/>
  <c r="P323" i="5" s="1"/>
  <c r="O322" i="5"/>
  <c r="Q322" i="5" s="1"/>
  <c r="N322" i="5"/>
  <c r="P322" i="5" s="1"/>
  <c r="O321" i="5"/>
  <c r="Q321" i="5" s="1"/>
  <c r="N321" i="5"/>
  <c r="P321" i="5" s="1"/>
  <c r="AC319" i="5"/>
  <c r="AB319" i="5"/>
  <c r="Z319" i="5"/>
  <c r="M319" i="5"/>
  <c r="L319" i="5"/>
  <c r="K319" i="5"/>
  <c r="J319" i="5"/>
  <c r="I319" i="5"/>
  <c r="O319" i="5" s="1"/>
  <c r="Q319" i="5" s="1"/>
  <c r="H319" i="5"/>
  <c r="O318" i="5"/>
  <c r="Q318" i="5" s="1"/>
  <c r="N318" i="5"/>
  <c r="P318" i="5" s="1"/>
  <c r="O317" i="5"/>
  <c r="Q317" i="5" s="1"/>
  <c r="N317" i="5"/>
  <c r="P317" i="5" s="1"/>
  <c r="O316" i="5"/>
  <c r="Q316" i="5" s="1"/>
  <c r="N316" i="5"/>
  <c r="P316" i="5" s="1"/>
  <c r="O315" i="5"/>
  <c r="Q315" i="5" s="1"/>
  <c r="N315" i="5"/>
  <c r="P315" i="5" s="1"/>
  <c r="O314" i="5"/>
  <c r="Q314" i="5" s="1"/>
  <c r="N314" i="5"/>
  <c r="P314" i="5" s="1"/>
  <c r="O313" i="5"/>
  <c r="Q313" i="5" s="1"/>
  <c r="N313" i="5"/>
  <c r="P313" i="5" s="1"/>
  <c r="O312" i="5"/>
  <c r="Q312" i="5" s="1"/>
  <c r="N312" i="5"/>
  <c r="P312" i="5" s="1"/>
  <c r="O311" i="5"/>
  <c r="Q311" i="5" s="1"/>
  <c r="N311" i="5"/>
  <c r="P311" i="5" s="1"/>
  <c r="O310" i="5"/>
  <c r="Q310" i="5" s="1"/>
  <c r="N310" i="5"/>
  <c r="P310" i="5" s="1"/>
  <c r="O309" i="5"/>
  <c r="Q309" i="5" s="1"/>
  <c r="N309" i="5"/>
  <c r="P309" i="5" s="1"/>
  <c r="AC307" i="5"/>
  <c r="AB307" i="5"/>
  <c r="Z307" i="5"/>
  <c r="M307" i="5"/>
  <c r="L307" i="5"/>
  <c r="K307" i="5"/>
  <c r="J307" i="5"/>
  <c r="I307" i="5"/>
  <c r="H307" i="5"/>
  <c r="O306" i="5"/>
  <c r="Q306" i="5" s="1"/>
  <c r="N306" i="5"/>
  <c r="P306" i="5" s="1"/>
  <c r="O305" i="5"/>
  <c r="Q305" i="5" s="1"/>
  <c r="N305" i="5"/>
  <c r="P305" i="5" s="1"/>
  <c r="O304" i="5"/>
  <c r="Q304" i="5" s="1"/>
  <c r="N304" i="5"/>
  <c r="P304" i="5" s="1"/>
  <c r="O303" i="5"/>
  <c r="Q303" i="5" s="1"/>
  <c r="N303" i="5"/>
  <c r="P303" i="5" s="1"/>
  <c r="AC301" i="5"/>
  <c r="AB301" i="5"/>
  <c r="Z301" i="5"/>
  <c r="M301" i="5"/>
  <c r="L301" i="5"/>
  <c r="K301" i="5"/>
  <c r="J301" i="5"/>
  <c r="I301" i="5"/>
  <c r="H301" i="5"/>
  <c r="O300" i="5"/>
  <c r="Q300" i="5" s="1"/>
  <c r="N300" i="5"/>
  <c r="P300" i="5" s="1"/>
  <c r="O299" i="5"/>
  <c r="Q299" i="5" s="1"/>
  <c r="N299" i="5"/>
  <c r="P299" i="5" s="1"/>
  <c r="O298" i="5"/>
  <c r="Q298" i="5" s="1"/>
  <c r="N298" i="5"/>
  <c r="P298" i="5" s="1"/>
  <c r="O297" i="5"/>
  <c r="Q297" i="5" s="1"/>
  <c r="N297" i="5"/>
  <c r="P297" i="5" s="1"/>
  <c r="O296" i="5"/>
  <c r="Q296" i="5" s="1"/>
  <c r="N296" i="5"/>
  <c r="P296" i="5" s="1"/>
  <c r="O295" i="5"/>
  <c r="Q295" i="5" s="1"/>
  <c r="N295" i="5"/>
  <c r="P295" i="5" s="1"/>
  <c r="O294" i="5"/>
  <c r="Q294" i="5" s="1"/>
  <c r="N294" i="5"/>
  <c r="P294" i="5" s="1"/>
  <c r="O293" i="5"/>
  <c r="Q293" i="5" s="1"/>
  <c r="N293" i="5"/>
  <c r="P293" i="5" s="1"/>
  <c r="O292" i="5"/>
  <c r="Q292" i="5" s="1"/>
  <c r="N292" i="5"/>
  <c r="P292" i="5" s="1"/>
  <c r="O291" i="5"/>
  <c r="Q291" i="5" s="1"/>
  <c r="N291" i="5"/>
  <c r="P291" i="5" s="1"/>
  <c r="O290" i="5"/>
  <c r="Q290" i="5" s="1"/>
  <c r="N290" i="5"/>
  <c r="P290" i="5" s="1"/>
  <c r="AC288" i="5"/>
  <c r="AB288" i="5"/>
  <c r="Z288" i="5"/>
  <c r="M288" i="5"/>
  <c r="L288" i="5"/>
  <c r="K288" i="5"/>
  <c r="J288" i="5"/>
  <c r="I288" i="5"/>
  <c r="H288" i="5"/>
  <c r="O287" i="5"/>
  <c r="Q287" i="5" s="1"/>
  <c r="N287" i="5"/>
  <c r="P287" i="5" s="1"/>
  <c r="O286" i="5"/>
  <c r="Q286" i="5" s="1"/>
  <c r="N286" i="5"/>
  <c r="P286" i="5" s="1"/>
  <c r="O285" i="5"/>
  <c r="Q285" i="5" s="1"/>
  <c r="N285" i="5"/>
  <c r="P285" i="5" s="1"/>
  <c r="O284" i="5"/>
  <c r="Q284" i="5" s="1"/>
  <c r="N284" i="5"/>
  <c r="P284" i="5" s="1"/>
  <c r="O283" i="5"/>
  <c r="Q283" i="5" s="1"/>
  <c r="N283" i="5"/>
  <c r="P283" i="5" s="1"/>
  <c r="O282" i="5"/>
  <c r="Q282" i="5" s="1"/>
  <c r="N282" i="5"/>
  <c r="P282" i="5" s="1"/>
  <c r="Q281" i="5"/>
  <c r="P281" i="5"/>
  <c r="AC280" i="5"/>
  <c r="AB280" i="5"/>
  <c r="Z280" i="5"/>
  <c r="M280" i="5"/>
  <c r="L280" i="5"/>
  <c r="K280" i="5"/>
  <c r="J280" i="5"/>
  <c r="I280" i="5"/>
  <c r="H280" i="5"/>
  <c r="O279" i="5"/>
  <c r="Q279" i="5" s="1"/>
  <c r="N279" i="5"/>
  <c r="P279" i="5" s="1"/>
  <c r="O278" i="5"/>
  <c r="Q278" i="5" s="1"/>
  <c r="N278" i="5"/>
  <c r="P278" i="5" s="1"/>
  <c r="O277" i="5"/>
  <c r="Q277" i="5" s="1"/>
  <c r="N277" i="5"/>
  <c r="P277" i="5" s="1"/>
  <c r="O276" i="5"/>
  <c r="Q276" i="5" s="1"/>
  <c r="N276" i="5"/>
  <c r="P276" i="5" s="1"/>
  <c r="O275" i="5"/>
  <c r="Q275" i="5" s="1"/>
  <c r="N275" i="5"/>
  <c r="P275" i="5" s="1"/>
  <c r="O274" i="5"/>
  <c r="Q274" i="5" s="1"/>
  <c r="N274" i="5"/>
  <c r="P274" i="5" s="1"/>
  <c r="O273" i="5"/>
  <c r="Q273" i="5" s="1"/>
  <c r="N273" i="5"/>
  <c r="P273" i="5" s="1"/>
  <c r="O272" i="5"/>
  <c r="Q272" i="5" s="1"/>
  <c r="N272" i="5"/>
  <c r="P272" i="5" s="1"/>
  <c r="O271" i="5"/>
  <c r="Q271" i="5" s="1"/>
  <c r="N271" i="5"/>
  <c r="P271" i="5" s="1"/>
  <c r="O270" i="5"/>
  <c r="Q270" i="5" s="1"/>
  <c r="N270" i="5"/>
  <c r="P270" i="5" s="1"/>
  <c r="O269" i="5"/>
  <c r="Q269" i="5" s="1"/>
  <c r="N269" i="5"/>
  <c r="P269" i="5" s="1"/>
  <c r="O268" i="5"/>
  <c r="Q268" i="5" s="1"/>
  <c r="N268" i="5"/>
  <c r="P268" i="5" s="1"/>
  <c r="O267" i="5"/>
  <c r="Q267" i="5" s="1"/>
  <c r="N267" i="5"/>
  <c r="P267" i="5" s="1"/>
  <c r="O266" i="5"/>
  <c r="Q266" i="5" s="1"/>
  <c r="N266" i="5"/>
  <c r="P266" i="5" s="1"/>
  <c r="O265" i="5"/>
  <c r="Q265" i="5" s="1"/>
  <c r="N265" i="5"/>
  <c r="P265" i="5" s="1"/>
  <c r="AC263" i="5"/>
  <c r="AB263" i="5"/>
  <c r="Z263" i="5"/>
  <c r="M263" i="5"/>
  <c r="L263" i="5"/>
  <c r="K263" i="5"/>
  <c r="J263" i="5"/>
  <c r="I263" i="5"/>
  <c r="H263" i="5"/>
  <c r="O262" i="5"/>
  <c r="Q262" i="5" s="1"/>
  <c r="N262" i="5"/>
  <c r="P262" i="5" s="1"/>
  <c r="O261" i="5"/>
  <c r="Q261" i="5" s="1"/>
  <c r="N261" i="5"/>
  <c r="P261" i="5" s="1"/>
  <c r="O260" i="5"/>
  <c r="Q260" i="5" s="1"/>
  <c r="N260" i="5"/>
  <c r="P260" i="5" s="1"/>
  <c r="O259" i="5"/>
  <c r="Q259" i="5" s="1"/>
  <c r="N259" i="5"/>
  <c r="P259" i="5" s="1"/>
  <c r="Q258" i="5"/>
  <c r="P258" i="5"/>
  <c r="AC257" i="5"/>
  <c r="AB257" i="5"/>
  <c r="Z257" i="5"/>
  <c r="M257" i="5"/>
  <c r="L257" i="5"/>
  <c r="K257" i="5"/>
  <c r="J257" i="5"/>
  <c r="I257" i="5"/>
  <c r="H257" i="5"/>
  <c r="O256" i="5"/>
  <c r="Q256" i="5" s="1"/>
  <c r="N256" i="5"/>
  <c r="P256" i="5" s="1"/>
  <c r="O255" i="5"/>
  <c r="Q255" i="5" s="1"/>
  <c r="N255" i="5"/>
  <c r="P255" i="5" s="1"/>
  <c r="Q254" i="5"/>
  <c r="N254" i="5"/>
  <c r="P254" i="5" s="1"/>
  <c r="O253" i="5"/>
  <c r="Q253" i="5" s="1"/>
  <c r="N253" i="5"/>
  <c r="P253" i="5" s="1"/>
  <c r="O252" i="5"/>
  <c r="Q252" i="5" s="1"/>
  <c r="N252" i="5"/>
  <c r="P252" i="5" s="1"/>
  <c r="O251" i="5"/>
  <c r="Q251" i="5" s="1"/>
  <c r="N251" i="5"/>
  <c r="P251" i="5" s="1"/>
  <c r="Q250" i="5"/>
  <c r="N250" i="5"/>
  <c r="P250" i="5" s="1"/>
  <c r="O249" i="5"/>
  <c r="Q249" i="5" s="1"/>
  <c r="N249" i="5"/>
  <c r="P249" i="5" s="1"/>
  <c r="O248" i="5"/>
  <c r="Q248" i="5" s="1"/>
  <c r="N248" i="5"/>
  <c r="P248" i="5" s="1"/>
  <c r="O247" i="5"/>
  <c r="Q247" i="5" s="1"/>
  <c r="N247" i="5"/>
  <c r="P247" i="5" s="1"/>
  <c r="O246" i="5"/>
  <c r="Q246" i="5" s="1"/>
  <c r="N246" i="5"/>
  <c r="P246" i="5" s="1"/>
  <c r="O245" i="5"/>
  <c r="Q245" i="5" s="1"/>
  <c r="N245" i="5"/>
  <c r="P245" i="5" s="1"/>
  <c r="Q244" i="5"/>
  <c r="N244" i="5"/>
  <c r="P244" i="5" s="1"/>
  <c r="O243" i="5"/>
  <c r="Q243" i="5" s="1"/>
  <c r="N243" i="5"/>
  <c r="P243" i="5" s="1"/>
  <c r="O242" i="5"/>
  <c r="Q242" i="5" s="1"/>
  <c r="N242" i="5"/>
  <c r="P242" i="5" s="1"/>
  <c r="O241" i="5"/>
  <c r="Q241" i="5" s="1"/>
  <c r="N241" i="5"/>
  <c r="P241" i="5" s="1"/>
  <c r="O240" i="5"/>
  <c r="Q240" i="5" s="1"/>
  <c r="N240" i="5"/>
  <c r="P240" i="5" s="1"/>
  <c r="O239" i="5"/>
  <c r="Q239" i="5" s="1"/>
  <c r="N239" i="5"/>
  <c r="P239" i="5" s="1"/>
  <c r="O238" i="5"/>
  <c r="Q238" i="5" s="1"/>
  <c r="N238" i="5"/>
  <c r="P238" i="5" s="1"/>
  <c r="O237" i="5"/>
  <c r="Q237" i="5" s="1"/>
  <c r="N237" i="5"/>
  <c r="P237" i="5" s="1"/>
  <c r="O236" i="5"/>
  <c r="Q236" i="5" s="1"/>
  <c r="N236" i="5"/>
  <c r="P236" i="5" s="1"/>
  <c r="AC234" i="5"/>
  <c r="AB234" i="5"/>
  <c r="Z234" i="5"/>
  <c r="M234" i="5"/>
  <c r="L234" i="5"/>
  <c r="K234" i="5"/>
  <c r="J234" i="5"/>
  <c r="I234" i="5"/>
  <c r="H234" i="5"/>
  <c r="O233" i="5"/>
  <c r="Q233" i="5" s="1"/>
  <c r="N233" i="5"/>
  <c r="P233" i="5" s="1"/>
  <c r="O232" i="5"/>
  <c r="Q232" i="5" s="1"/>
  <c r="N232" i="5"/>
  <c r="P232" i="5" s="1"/>
  <c r="O231" i="5"/>
  <c r="Q231" i="5" s="1"/>
  <c r="N231" i="5"/>
  <c r="P231" i="5" s="1"/>
  <c r="O230" i="5"/>
  <c r="Q230" i="5" s="1"/>
  <c r="N230" i="5"/>
  <c r="P230" i="5" s="1"/>
  <c r="Q229" i="5"/>
  <c r="P229" i="5"/>
  <c r="O228" i="5"/>
  <c r="Q228" i="5" s="1"/>
  <c r="N228" i="5"/>
  <c r="P228" i="5" s="1"/>
  <c r="AC227" i="5"/>
  <c r="AB227" i="5"/>
  <c r="Z225" i="5"/>
  <c r="M225" i="5"/>
  <c r="L225" i="5"/>
  <c r="K225" i="5"/>
  <c r="J225" i="5"/>
  <c r="I225" i="5"/>
  <c r="H225" i="5"/>
  <c r="O224" i="5"/>
  <c r="Q224" i="5" s="1"/>
  <c r="N224" i="5"/>
  <c r="P224" i="5" s="1"/>
  <c r="AC223" i="5"/>
  <c r="AC225" i="5" s="1"/>
  <c r="AB223" i="5"/>
  <c r="AB225" i="5" s="1"/>
  <c r="O223" i="5"/>
  <c r="Q223" i="5" s="1"/>
  <c r="N223" i="5"/>
  <c r="P223" i="5" s="1"/>
  <c r="Q218" i="5"/>
  <c r="L218" i="5"/>
  <c r="J218" i="5"/>
  <c r="H218" i="5"/>
  <c r="Q217" i="5"/>
  <c r="N217" i="5"/>
  <c r="P217" i="5" s="1"/>
  <c r="AC215" i="5"/>
  <c r="AC219" i="5" s="1"/>
  <c r="AB215" i="5"/>
  <c r="Z215" i="5"/>
  <c r="Z219" i="5" s="1"/>
  <c r="M215" i="5"/>
  <c r="M219" i="5" s="1"/>
  <c r="L215" i="5"/>
  <c r="K215" i="5"/>
  <c r="K219" i="5" s="1"/>
  <c r="J215" i="5"/>
  <c r="I215" i="5"/>
  <c r="I219" i="5" s="1"/>
  <c r="H215" i="5"/>
  <c r="O214" i="5"/>
  <c r="Q214" i="5" s="1"/>
  <c r="N214" i="5"/>
  <c r="P214" i="5" s="1"/>
  <c r="O213" i="5"/>
  <c r="Q213" i="5" s="1"/>
  <c r="N213" i="5"/>
  <c r="P213" i="5" s="1"/>
  <c r="Q212" i="5"/>
  <c r="N212" i="5"/>
  <c r="P212" i="5" s="1"/>
  <c r="O211" i="5"/>
  <c r="Q211" i="5" s="1"/>
  <c r="N211" i="5"/>
  <c r="P211" i="5" s="1"/>
  <c r="O210" i="5"/>
  <c r="Q210" i="5" s="1"/>
  <c r="N210" i="5"/>
  <c r="P210" i="5" s="1"/>
  <c r="AC207" i="5"/>
  <c r="AB207" i="5"/>
  <c r="Z207" i="5"/>
  <c r="M207" i="5"/>
  <c r="L207" i="5"/>
  <c r="K207" i="5"/>
  <c r="J207" i="5"/>
  <c r="I207" i="5"/>
  <c r="H207" i="5"/>
  <c r="O206" i="5"/>
  <c r="Q206" i="5" s="1"/>
  <c r="N206" i="5"/>
  <c r="P206" i="5" s="1"/>
  <c r="O205" i="5"/>
  <c r="Q205" i="5" s="1"/>
  <c r="N205" i="5"/>
  <c r="P205" i="5" s="1"/>
  <c r="Q204" i="5"/>
  <c r="N204" i="5"/>
  <c r="P204" i="5" s="1"/>
  <c r="O203" i="5"/>
  <c r="Q203" i="5" s="1"/>
  <c r="N203" i="5"/>
  <c r="P203" i="5" s="1"/>
  <c r="AC201" i="5"/>
  <c r="AB201" i="5"/>
  <c r="Z201" i="5"/>
  <c r="M201" i="5"/>
  <c r="L201" i="5"/>
  <c r="K201" i="5"/>
  <c r="J201" i="5"/>
  <c r="I201" i="5"/>
  <c r="H201" i="5"/>
  <c r="O200" i="5"/>
  <c r="Q200" i="5" s="1"/>
  <c r="N200" i="5"/>
  <c r="P200" i="5" s="1"/>
  <c r="Z198" i="5"/>
  <c r="M198" i="5"/>
  <c r="L198" i="5"/>
  <c r="K198" i="5"/>
  <c r="J198" i="5"/>
  <c r="I198" i="5"/>
  <c r="O198" i="5" s="1"/>
  <c r="Q198" i="5" s="1"/>
  <c r="H198" i="5"/>
  <c r="P197" i="5"/>
  <c r="O197" i="5"/>
  <c r="Q197" i="5" s="1"/>
  <c r="N197" i="5"/>
  <c r="AC196" i="5"/>
  <c r="AB196" i="5"/>
  <c r="AF200" i="5" s="1"/>
  <c r="AF201" i="5" s="1"/>
  <c r="O196" i="5"/>
  <c r="Q196" i="5" s="1"/>
  <c r="N196" i="5"/>
  <c r="P196" i="5" s="1"/>
  <c r="AC195" i="5"/>
  <c r="AB195" i="5"/>
  <c r="O195" i="5"/>
  <c r="Q195" i="5" s="1"/>
  <c r="N195" i="5"/>
  <c r="P195" i="5" s="1"/>
  <c r="O194" i="5"/>
  <c r="Q194" i="5" s="1"/>
  <c r="N194" i="5"/>
  <c r="P194" i="5" s="1"/>
  <c r="AC193" i="5"/>
  <c r="AB193" i="5"/>
  <c r="O193" i="5"/>
  <c r="Q193" i="5" s="1"/>
  <c r="N193" i="5"/>
  <c r="P193" i="5" s="1"/>
  <c r="AC191" i="5"/>
  <c r="AB191" i="5"/>
  <c r="Z191" i="5"/>
  <c r="M191" i="5"/>
  <c r="L191" i="5"/>
  <c r="K191" i="5"/>
  <c r="J191" i="5"/>
  <c r="I191" i="5"/>
  <c r="H191" i="5"/>
  <c r="O190" i="5"/>
  <c r="Q190" i="5" s="1"/>
  <c r="N190" i="5"/>
  <c r="P190" i="5" s="1"/>
  <c r="Q189" i="5"/>
  <c r="P189" i="5"/>
  <c r="AC188" i="5"/>
  <c r="Z188" i="5"/>
  <c r="M188" i="5"/>
  <c r="L188" i="5"/>
  <c r="K188" i="5"/>
  <c r="J188" i="5"/>
  <c r="I188" i="5"/>
  <c r="H188" i="5"/>
  <c r="O187" i="5"/>
  <c r="Q187" i="5" s="1"/>
  <c r="N187" i="5"/>
  <c r="P187" i="5" s="1"/>
  <c r="O186" i="5"/>
  <c r="Q186" i="5" s="1"/>
  <c r="N186" i="5"/>
  <c r="P186" i="5" s="1"/>
  <c r="AC185" i="5"/>
  <c r="AB185" i="5"/>
  <c r="AB188" i="5" s="1"/>
  <c r="O185" i="5"/>
  <c r="Q185" i="5" s="1"/>
  <c r="N185" i="5"/>
  <c r="P185" i="5" s="1"/>
  <c r="Q184" i="5"/>
  <c r="P184" i="5"/>
  <c r="Z182" i="5"/>
  <c r="M182" i="5"/>
  <c r="L182" i="5"/>
  <c r="K182" i="5"/>
  <c r="J182" i="5"/>
  <c r="I182" i="5"/>
  <c r="O182" i="5" s="1"/>
  <c r="Q182" i="5" s="1"/>
  <c r="H182" i="5"/>
  <c r="N182" i="5" s="1"/>
  <c r="P182" i="5" s="1"/>
  <c r="O181" i="5"/>
  <c r="Q181" i="5" s="1"/>
  <c r="N181" i="5"/>
  <c r="P181" i="5" s="1"/>
  <c r="O180" i="5"/>
  <c r="Q180" i="5" s="1"/>
  <c r="N180" i="5"/>
  <c r="P180" i="5" s="1"/>
  <c r="AG179" i="5"/>
  <c r="O179" i="5"/>
  <c r="Q179" i="5" s="1"/>
  <c r="N179" i="5"/>
  <c r="P179" i="5" s="1"/>
  <c r="O178" i="5"/>
  <c r="Q178" i="5" s="1"/>
  <c r="N178" i="5"/>
  <c r="P178" i="5" s="1"/>
  <c r="O177" i="5"/>
  <c r="Q177" i="5" s="1"/>
  <c r="N177" i="5"/>
  <c r="P177" i="5" s="1"/>
  <c r="O176" i="5"/>
  <c r="Q176" i="5" s="1"/>
  <c r="N176" i="5"/>
  <c r="P176" i="5" s="1"/>
  <c r="O175" i="5"/>
  <c r="Q175" i="5" s="1"/>
  <c r="N175" i="5"/>
  <c r="P175" i="5" s="1"/>
  <c r="O174" i="5"/>
  <c r="Q174" i="5" s="1"/>
  <c r="N174" i="5"/>
  <c r="P174" i="5" s="1"/>
  <c r="AC173" i="5"/>
  <c r="AC182" i="5" s="1"/>
  <c r="AB173" i="5"/>
  <c r="AB182" i="5" s="1"/>
  <c r="O173" i="5"/>
  <c r="Q173" i="5" s="1"/>
  <c r="N173" i="5"/>
  <c r="P173" i="5" s="1"/>
  <c r="O172" i="5"/>
  <c r="Q172" i="5" s="1"/>
  <c r="N172" i="5"/>
  <c r="P172" i="5" s="1"/>
  <c r="Q171" i="5"/>
  <c r="P171" i="5"/>
  <c r="O169" i="5"/>
  <c r="Q169" i="5" s="1"/>
  <c r="N169" i="5"/>
  <c r="P169" i="5" s="1"/>
  <c r="AC168" i="5"/>
  <c r="AB168" i="5"/>
  <c r="Z168" i="5"/>
  <c r="M168" i="5"/>
  <c r="L168" i="5"/>
  <c r="K168" i="5"/>
  <c r="J168" i="5"/>
  <c r="I168" i="5"/>
  <c r="H168" i="5"/>
  <c r="O167" i="5"/>
  <c r="Q167" i="5" s="1"/>
  <c r="N167" i="5"/>
  <c r="P167" i="5" s="1"/>
  <c r="O166" i="5"/>
  <c r="Q166" i="5" s="1"/>
  <c r="N166" i="5"/>
  <c r="P166" i="5" s="1"/>
  <c r="Q165" i="5"/>
  <c r="P165" i="5"/>
  <c r="AC164" i="5"/>
  <c r="AB164" i="5"/>
  <c r="Z164" i="5"/>
  <c r="M164" i="5"/>
  <c r="L164" i="5"/>
  <c r="K164" i="5"/>
  <c r="J164" i="5"/>
  <c r="I164" i="5"/>
  <c r="H164" i="5"/>
  <c r="O163" i="5"/>
  <c r="Q163" i="5" s="1"/>
  <c r="N163" i="5"/>
  <c r="P163" i="5" s="1"/>
  <c r="O162" i="5"/>
  <c r="Q162" i="5" s="1"/>
  <c r="N162" i="5"/>
  <c r="P162" i="5" s="1"/>
  <c r="O161" i="5"/>
  <c r="Q161" i="5" s="1"/>
  <c r="N161" i="5"/>
  <c r="P161" i="5" s="1"/>
  <c r="Q160" i="5"/>
  <c r="P160" i="5"/>
  <c r="AC159" i="5"/>
  <c r="AB159" i="5"/>
  <c r="Z159" i="5"/>
  <c r="M159" i="5"/>
  <c r="L159" i="5"/>
  <c r="K159" i="5"/>
  <c r="J159" i="5"/>
  <c r="I159" i="5"/>
  <c r="H159" i="5"/>
  <c r="O158" i="5"/>
  <c r="Q158" i="5" s="1"/>
  <c r="N158" i="5"/>
  <c r="P158" i="5" s="1"/>
  <c r="Q157" i="5"/>
  <c r="P157" i="5"/>
  <c r="AC156" i="5"/>
  <c r="AB156" i="5"/>
  <c r="Z156" i="5"/>
  <c r="M156" i="5"/>
  <c r="L156" i="5"/>
  <c r="K156" i="5"/>
  <c r="J156" i="5"/>
  <c r="I156" i="5"/>
  <c r="H156" i="5"/>
  <c r="N156" i="5" s="1"/>
  <c r="P156" i="5" s="1"/>
  <c r="O155" i="5"/>
  <c r="Q155" i="5" s="1"/>
  <c r="N155" i="5"/>
  <c r="P155" i="5" s="1"/>
  <c r="O154" i="5"/>
  <c r="Q154" i="5" s="1"/>
  <c r="N154" i="5"/>
  <c r="P154" i="5" s="1"/>
  <c r="O153" i="5"/>
  <c r="Q153" i="5" s="1"/>
  <c r="N153" i="5"/>
  <c r="P153" i="5" s="1"/>
  <c r="Q152" i="5"/>
  <c r="P152" i="5"/>
  <c r="AC151" i="5"/>
  <c r="AB151" i="5"/>
  <c r="Z151" i="5"/>
  <c r="M151" i="5"/>
  <c r="L151" i="5"/>
  <c r="K151" i="5"/>
  <c r="J151" i="5"/>
  <c r="I151" i="5"/>
  <c r="H151" i="5"/>
  <c r="O150" i="5"/>
  <c r="Q150" i="5" s="1"/>
  <c r="N150" i="5"/>
  <c r="P150" i="5" s="1"/>
  <c r="O149" i="5"/>
  <c r="Q149" i="5" s="1"/>
  <c r="N149" i="5"/>
  <c r="P149" i="5" s="1"/>
  <c r="O148" i="5"/>
  <c r="Q148" i="5" s="1"/>
  <c r="N148" i="5"/>
  <c r="P148" i="5" s="1"/>
  <c r="O147" i="5"/>
  <c r="Q147" i="5" s="1"/>
  <c r="N147" i="5"/>
  <c r="P147" i="5" s="1"/>
  <c r="O146" i="5"/>
  <c r="Q146" i="5" s="1"/>
  <c r="N146" i="5"/>
  <c r="P146" i="5" s="1"/>
  <c r="Q145" i="5"/>
  <c r="P145" i="5"/>
  <c r="AC144" i="5"/>
  <c r="AB144" i="5"/>
  <c r="Z144" i="5"/>
  <c r="M144" i="5"/>
  <c r="L144" i="5"/>
  <c r="K144" i="5"/>
  <c r="J144" i="5"/>
  <c r="I144" i="5"/>
  <c r="H144" i="5"/>
  <c r="O143" i="5"/>
  <c r="Q143" i="5" s="1"/>
  <c r="N143" i="5"/>
  <c r="P143" i="5" s="1"/>
  <c r="Q142" i="5"/>
  <c r="P142" i="5"/>
  <c r="AC141" i="5"/>
  <c r="AB141" i="5"/>
  <c r="Z141" i="5"/>
  <c r="M141" i="5"/>
  <c r="L141" i="5"/>
  <c r="K141" i="5"/>
  <c r="J141" i="5"/>
  <c r="I141" i="5"/>
  <c r="O141" i="5" s="1"/>
  <c r="Q141" i="5" s="1"/>
  <c r="H141" i="5"/>
  <c r="O140" i="5"/>
  <c r="Q140" i="5" s="1"/>
  <c r="N140" i="5"/>
  <c r="P140" i="5" s="1"/>
  <c r="O139" i="5"/>
  <c r="Q139" i="5" s="1"/>
  <c r="N139" i="5"/>
  <c r="P139" i="5" s="1"/>
  <c r="O138" i="5"/>
  <c r="Q138" i="5" s="1"/>
  <c r="N138" i="5"/>
  <c r="P138" i="5" s="1"/>
  <c r="O137" i="5"/>
  <c r="Q137" i="5" s="1"/>
  <c r="N137" i="5"/>
  <c r="P137" i="5" s="1"/>
  <c r="Q136" i="5"/>
  <c r="P136" i="5"/>
  <c r="AC135" i="5"/>
  <c r="AB135" i="5"/>
  <c r="Z135" i="5"/>
  <c r="M135" i="5"/>
  <c r="L135" i="5"/>
  <c r="K135" i="5"/>
  <c r="J135" i="5"/>
  <c r="I135" i="5"/>
  <c r="H135" i="5"/>
  <c r="O134" i="5"/>
  <c r="Q134" i="5" s="1"/>
  <c r="N134" i="5"/>
  <c r="P134" i="5" s="1"/>
  <c r="O133" i="5"/>
  <c r="Q133" i="5" s="1"/>
  <c r="N133" i="5"/>
  <c r="P133" i="5" s="1"/>
  <c r="O132" i="5"/>
  <c r="Q132" i="5" s="1"/>
  <c r="N132" i="5"/>
  <c r="P132" i="5" s="1"/>
  <c r="Q131" i="5"/>
  <c r="P131" i="5"/>
  <c r="AC130" i="5"/>
  <c r="AB130" i="5"/>
  <c r="Z130" i="5"/>
  <c r="M130" i="5"/>
  <c r="L130" i="5"/>
  <c r="K130" i="5"/>
  <c r="J130" i="5"/>
  <c r="I130" i="5"/>
  <c r="H130" i="5"/>
  <c r="O129" i="5"/>
  <c r="Q129" i="5" s="1"/>
  <c r="N129" i="5"/>
  <c r="P129" i="5" s="1"/>
  <c r="O128" i="5"/>
  <c r="Q128" i="5" s="1"/>
  <c r="N128" i="5"/>
  <c r="P128" i="5" s="1"/>
  <c r="O127" i="5"/>
  <c r="Q127" i="5" s="1"/>
  <c r="N127" i="5"/>
  <c r="P127" i="5" s="1"/>
  <c r="O126" i="5"/>
  <c r="Q126" i="5" s="1"/>
  <c r="N126" i="5"/>
  <c r="P126" i="5" s="1"/>
  <c r="Q125" i="5"/>
  <c r="P125" i="5"/>
  <c r="AC124" i="5"/>
  <c r="AC170" i="5" s="1"/>
  <c r="AB124" i="5"/>
  <c r="Z124" i="5"/>
  <c r="M124" i="5"/>
  <c r="L124" i="5"/>
  <c r="K124" i="5"/>
  <c r="J124" i="5"/>
  <c r="I124" i="5"/>
  <c r="H124" i="5"/>
  <c r="O123" i="5"/>
  <c r="Q123" i="5" s="1"/>
  <c r="N123" i="5"/>
  <c r="P123" i="5" s="1"/>
  <c r="O122" i="5"/>
  <c r="Q122" i="5" s="1"/>
  <c r="N122" i="5"/>
  <c r="P122" i="5" s="1"/>
  <c r="O121" i="5"/>
  <c r="Q121" i="5" s="1"/>
  <c r="N121" i="5"/>
  <c r="P121" i="5" s="1"/>
  <c r="O120" i="5"/>
  <c r="Q120" i="5" s="1"/>
  <c r="N120" i="5"/>
  <c r="P120" i="5" s="1"/>
  <c r="O119" i="5"/>
  <c r="Q119" i="5" s="1"/>
  <c r="N119" i="5"/>
  <c r="P119" i="5" s="1"/>
  <c r="Q118" i="5"/>
  <c r="P118" i="5"/>
  <c r="Q117" i="5"/>
  <c r="P117" i="5"/>
  <c r="M115" i="5"/>
  <c r="L115" i="5"/>
  <c r="K115" i="5"/>
  <c r="J115" i="5"/>
  <c r="I115" i="5"/>
  <c r="H115" i="5"/>
  <c r="O114" i="5"/>
  <c r="Q114" i="5" s="1"/>
  <c r="N114" i="5"/>
  <c r="P114" i="5" s="1"/>
  <c r="O113" i="5"/>
  <c r="Q113" i="5" s="1"/>
  <c r="N113" i="5"/>
  <c r="P113" i="5" s="1"/>
  <c r="Q112" i="5"/>
  <c r="P112" i="5"/>
  <c r="AC111" i="5"/>
  <c r="AB111" i="5"/>
  <c r="Z111" i="5"/>
  <c r="M111" i="5"/>
  <c r="L111" i="5"/>
  <c r="K111" i="5"/>
  <c r="J111" i="5"/>
  <c r="I111" i="5"/>
  <c r="H111" i="5"/>
  <c r="O110" i="5"/>
  <c r="Q110" i="5" s="1"/>
  <c r="N110" i="5"/>
  <c r="P110" i="5" s="1"/>
  <c r="O109" i="5"/>
  <c r="Q109" i="5" s="1"/>
  <c r="N109" i="5"/>
  <c r="P109" i="5" s="1"/>
  <c r="O108" i="5"/>
  <c r="Q108" i="5" s="1"/>
  <c r="N108" i="5"/>
  <c r="P108" i="5" s="1"/>
  <c r="O107" i="5"/>
  <c r="Q107" i="5" s="1"/>
  <c r="N107" i="5"/>
  <c r="P107" i="5" s="1"/>
  <c r="O106" i="5"/>
  <c r="Q106" i="5" s="1"/>
  <c r="N106" i="5"/>
  <c r="P106" i="5" s="1"/>
  <c r="O105" i="5"/>
  <c r="Q105" i="5" s="1"/>
  <c r="N105" i="5"/>
  <c r="P105" i="5" s="1"/>
  <c r="O104" i="5"/>
  <c r="Q104" i="5" s="1"/>
  <c r="N104" i="5"/>
  <c r="P104" i="5" s="1"/>
  <c r="Q103" i="5"/>
  <c r="P103" i="5"/>
  <c r="AC102" i="5"/>
  <c r="AB102" i="5"/>
  <c r="Z102" i="5"/>
  <c r="M102" i="5"/>
  <c r="L102" i="5"/>
  <c r="K102" i="5"/>
  <c r="J102" i="5"/>
  <c r="I102" i="5"/>
  <c r="H102" i="5"/>
  <c r="O100" i="5"/>
  <c r="Q100" i="5" s="1"/>
  <c r="N100" i="5"/>
  <c r="P100" i="5" s="1"/>
  <c r="O99" i="5"/>
  <c r="Q99" i="5" s="1"/>
  <c r="N99" i="5"/>
  <c r="P99" i="5" s="1"/>
  <c r="O98" i="5"/>
  <c r="Q98" i="5" s="1"/>
  <c r="N98" i="5"/>
  <c r="P98" i="5" s="1"/>
  <c r="O97" i="5"/>
  <c r="Q97" i="5" s="1"/>
  <c r="N97" i="5"/>
  <c r="P97" i="5" s="1"/>
  <c r="O96" i="5"/>
  <c r="Q96" i="5" s="1"/>
  <c r="N96" i="5"/>
  <c r="P96" i="5" s="1"/>
  <c r="O95" i="5"/>
  <c r="Q95" i="5" s="1"/>
  <c r="N95" i="5"/>
  <c r="P95" i="5" s="1"/>
  <c r="O94" i="5"/>
  <c r="Q94" i="5" s="1"/>
  <c r="N94" i="5"/>
  <c r="P94" i="5" s="1"/>
  <c r="O93" i="5"/>
  <c r="Q93" i="5" s="1"/>
  <c r="N93" i="5"/>
  <c r="P93" i="5" s="1"/>
  <c r="O92" i="5"/>
  <c r="Q92" i="5" s="1"/>
  <c r="N92" i="5"/>
  <c r="P92" i="5" s="1"/>
  <c r="AC90" i="5"/>
  <c r="AB90" i="5"/>
  <c r="Z90" i="5"/>
  <c r="M90" i="5"/>
  <c r="L90" i="5"/>
  <c r="K90" i="5"/>
  <c r="J90" i="5"/>
  <c r="I90" i="5"/>
  <c r="H90" i="5"/>
  <c r="O89" i="5"/>
  <c r="Q89" i="5" s="1"/>
  <c r="N89" i="5"/>
  <c r="P89" i="5" s="1"/>
  <c r="O88" i="5"/>
  <c r="Q88" i="5" s="1"/>
  <c r="N88" i="5"/>
  <c r="P88" i="5" s="1"/>
  <c r="O87" i="5"/>
  <c r="Q87" i="5" s="1"/>
  <c r="N87" i="5"/>
  <c r="P87" i="5" s="1"/>
  <c r="O86" i="5"/>
  <c r="Q86" i="5" s="1"/>
  <c r="N86" i="5"/>
  <c r="P86" i="5" s="1"/>
  <c r="AC84" i="5"/>
  <c r="AB84" i="5"/>
  <c r="Z84" i="5"/>
  <c r="M84" i="5"/>
  <c r="L84" i="5"/>
  <c r="K84" i="5"/>
  <c r="J84" i="5"/>
  <c r="I84" i="5"/>
  <c r="O84" i="5" s="1"/>
  <c r="Q84" i="5" s="1"/>
  <c r="H84" i="5"/>
  <c r="O83" i="5"/>
  <c r="Q83" i="5" s="1"/>
  <c r="N83" i="5"/>
  <c r="P83" i="5" s="1"/>
  <c r="O82" i="5"/>
  <c r="Q82" i="5" s="1"/>
  <c r="N82" i="5"/>
  <c r="P82" i="5" s="1"/>
  <c r="Q81" i="5"/>
  <c r="P81" i="5"/>
  <c r="O80" i="5"/>
  <c r="Q80" i="5" s="1"/>
  <c r="N80" i="5"/>
  <c r="P80" i="5" s="1"/>
  <c r="O79" i="5"/>
  <c r="Q79" i="5" s="1"/>
  <c r="N79" i="5"/>
  <c r="P79" i="5" s="1"/>
  <c r="O78" i="5"/>
  <c r="Q78" i="5" s="1"/>
  <c r="N78" i="5"/>
  <c r="P78" i="5" s="1"/>
  <c r="O77" i="5"/>
  <c r="Q77" i="5" s="1"/>
  <c r="N77" i="5"/>
  <c r="P77" i="5" s="1"/>
  <c r="O76" i="5"/>
  <c r="Q76" i="5" s="1"/>
  <c r="N76" i="5"/>
  <c r="P76" i="5" s="1"/>
  <c r="O75" i="5"/>
  <c r="Q75" i="5" s="1"/>
  <c r="N75" i="5"/>
  <c r="P75" i="5" s="1"/>
  <c r="O74" i="5"/>
  <c r="Q74" i="5" s="1"/>
  <c r="N74" i="5"/>
  <c r="P74" i="5" s="1"/>
  <c r="O73" i="5"/>
  <c r="Q73" i="5" s="1"/>
  <c r="N73" i="5"/>
  <c r="P73" i="5" s="1"/>
  <c r="AC71" i="5"/>
  <c r="AB71" i="5"/>
  <c r="Z71" i="5"/>
  <c r="M71" i="5"/>
  <c r="L71" i="5"/>
  <c r="K71" i="5"/>
  <c r="J71" i="5"/>
  <c r="I71" i="5"/>
  <c r="H71" i="5"/>
  <c r="O70" i="5"/>
  <c r="Q70" i="5" s="1"/>
  <c r="N70" i="5"/>
  <c r="P70" i="5" s="1"/>
  <c r="O69" i="5"/>
  <c r="Q69" i="5" s="1"/>
  <c r="N69" i="5"/>
  <c r="P69" i="5" s="1"/>
  <c r="O68" i="5"/>
  <c r="Q68" i="5" s="1"/>
  <c r="N68" i="5"/>
  <c r="P68" i="5" s="1"/>
  <c r="O67" i="5"/>
  <c r="Q67" i="5" s="1"/>
  <c r="N67" i="5"/>
  <c r="P67" i="5" s="1"/>
  <c r="O66" i="5"/>
  <c r="Q66" i="5" s="1"/>
  <c r="N66" i="5"/>
  <c r="P66" i="5" s="1"/>
  <c r="O65" i="5"/>
  <c r="Q65" i="5" s="1"/>
  <c r="N65" i="5"/>
  <c r="P65" i="5" s="1"/>
  <c r="O63" i="5"/>
  <c r="Q63" i="5" s="1"/>
  <c r="N63" i="5"/>
  <c r="P63" i="5" s="1"/>
  <c r="AC62" i="5"/>
  <c r="AB62" i="5"/>
  <c r="Z62" i="5"/>
  <c r="M62" i="5"/>
  <c r="L62" i="5"/>
  <c r="K62" i="5"/>
  <c r="J62" i="5"/>
  <c r="I62" i="5"/>
  <c r="H62" i="5"/>
  <c r="O61" i="5"/>
  <c r="Q61" i="5" s="1"/>
  <c r="N61" i="5"/>
  <c r="P61" i="5" s="1"/>
  <c r="O60" i="5"/>
  <c r="Q60" i="5" s="1"/>
  <c r="N60" i="5"/>
  <c r="P60" i="5" s="1"/>
  <c r="O59" i="5"/>
  <c r="Q59" i="5" s="1"/>
  <c r="N59" i="5"/>
  <c r="P59" i="5" s="1"/>
  <c r="O58" i="5"/>
  <c r="Q58" i="5" s="1"/>
  <c r="N58" i="5"/>
  <c r="P58" i="5" s="1"/>
  <c r="O57" i="5"/>
  <c r="Q57" i="5" s="1"/>
  <c r="N57" i="5"/>
  <c r="P57" i="5" s="1"/>
  <c r="O56" i="5"/>
  <c r="Q56" i="5" s="1"/>
  <c r="N56" i="5"/>
  <c r="P56" i="5" s="1"/>
  <c r="O55" i="5"/>
  <c r="Q55" i="5" s="1"/>
  <c r="N55" i="5"/>
  <c r="P55" i="5" s="1"/>
  <c r="O54" i="5"/>
  <c r="Q54" i="5" s="1"/>
  <c r="N54" i="5"/>
  <c r="P54" i="5" s="1"/>
  <c r="O53" i="5"/>
  <c r="Q53" i="5" s="1"/>
  <c r="N53" i="5"/>
  <c r="P53" i="5" s="1"/>
  <c r="O52" i="5"/>
  <c r="Q52" i="5" s="1"/>
  <c r="N52" i="5"/>
  <c r="P52" i="5" s="1"/>
  <c r="O51" i="5"/>
  <c r="Q51" i="5" s="1"/>
  <c r="N51" i="5"/>
  <c r="P51" i="5" s="1"/>
  <c r="O50" i="5"/>
  <c r="Q50" i="5" s="1"/>
  <c r="N50" i="5"/>
  <c r="P50" i="5" s="1"/>
  <c r="O49" i="5"/>
  <c r="Q49" i="5" s="1"/>
  <c r="N49" i="5"/>
  <c r="P49" i="5" s="1"/>
  <c r="O48" i="5"/>
  <c r="Q48" i="5" s="1"/>
  <c r="N48" i="5"/>
  <c r="P48" i="5" s="1"/>
  <c r="O47" i="5"/>
  <c r="Q47" i="5" s="1"/>
  <c r="N47" i="5"/>
  <c r="P47" i="5" s="1"/>
  <c r="AC45" i="5"/>
  <c r="AB45" i="5"/>
  <c r="Z45" i="5"/>
  <c r="M45" i="5"/>
  <c r="L45" i="5"/>
  <c r="K45" i="5"/>
  <c r="J45" i="5"/>
  <c r="I45" i="5"/>
  <c r="O45" i="5" s="1"/>
  <c r="Q45" i="5" s="1"/>
  <c r="H45" i="5"/>
  <c r="N45" i="5" s="1"/>
  <c r="P45" i="5" s="1"/>
  <c r="O44" i="5"/>
  <c r="Q44" i="5" s="1"/>
  <c r="N44" i="5"/>
  <c r="P44" i="5" s="1"/>
  <c r="O43" i="5"/>
  <c r="Q43" i="5" s="1"/>
  <c r="N43" i="5"/>
  <c r="P43" i="5" s="1"/>
  <c r="O42" i="5"/>
  <c r="Q42" i="5" s="1"/>
  <c r="N42" i="5"/>
  <c r="P42" i="5" s="1"/>
  <c r="O41" i="5"/>
  <c r="Q41" i="5" s="1"/>
  <c r="N41" i="5"/>
  <c r="P41" i="5" s="1"/>
  <c r="AC39" i="5"/>
  <c r="AB39" i="5"/>
  <c r="Z39" i="5"/>
  <c r="M39" i="5"/>
  <c r="L39" i="5"/>
  <c r="K39" i="5"/>
  <c r="J39" i="5"/>
  <c r="I39" i="5"/>
  <c r="H39" i="5"/>
  <c r="O38" i="5"/>
  <c r="Q38" i="5" s="1"/>
  <c r="N38" i="5"/>
  <c r="P38" i="5" s="1"/>
  <c r="O37" i="5"/>
  <c r="Q37" i="5" s="1"/>
  <c r="N37" i="5"/>
  <c r="P37" i="5" s="1"/>
  <c r="Q36" i="5"/>
  <c r="N36" i="5"/>
  <c r="P36" i="5" s="1"/>
  <c r="O35" i="5"/>
  <c r="Q35" i="5" s="1"/>
  <c r="N35" i="5"/>
  <c r="P35" i="5" s="1"/>
  <c r="O34" i="5"/>
  <c r="Q34" i="5" s="1"/>
  <c r="N34" i="5"/>
  <c r="P34" i="5" s="1"/>
  <c r="O33" i="5"/>
  <c r="Q33" i="5" s="1"/>
  <c r="N33" i="5"/>
  <c r="P33" i="5" s="1"/>
  <c r="O32" i="5"/>
  <c r="Q32" i="5" s="1"/>
  <c r="N32" i="5"/>
  <c r="P32" i="5" s="1"/>
  <c r="O31" i="5"/>
  <c r="Q31" i="5" s="1"/>
  <c r="N31" i="5"/>
  <c r="P31" i="5" s="1"/>
  <c r="O30" i="5"/>
  <c r="Q30" i="5" s="1"/>
  <c r="N30" i="5"/>
  <c r="P30" i="5" s="1"/>
  <c r="O29" i="5"/>
  <c r="Q29" i="5" s="1"/>
  <c r="N29" i="5"/>
  <c r="P29" i="5" s="1"/>
  <c r="O28" i="5"/>
  <c r="Q28" i="5" s="1"/>
  <c r="N28" i="5"/>
  <c r="P28" i="5" s="1"/>
  <c r="O27" i="5"/>
  <c r="Q27" i="5" s="1"/>
  <c r="N27" i="5"/>
  <c r="P27" i="5" s="1"/>
  <c r="O26" i="5"/>
  <c r="Q26" i="5" s="1"/>
  <c r="N26" i="5"/>
  <c r="P26" i="5" s="1"/>
  <c r="O25" i="5"/>
  <c r="Q25" i="5" s="1"/>
  <c r="N25" i="5"/>
  <c r="P25" i="5" s="1"/>
  <c r="O24" i="5"/>
  <c r="Q24" i="5" s="1"/>
  <c r="N24" i="5"/>
  <c r="P24" i="5" s="1"/>
  <c r="O23" i="5"/>
  <c r="Q23" i="5" s="1"/>
  <c r="N23" i="5"/>
  <c r="P23" i="5" s="1"/>
  <c r="O22" i="5"/>
  <c r="Q22" i="5" s="1"/>
  <c r="N22" i="5"/>
  <c r="P22" i="5" s="1"/>
  <c r="O21" i="5"/>
  <c r="Q21" i="5" s="1"/>
  <c r="N21" i="5"/>
  <c r="P21" i="5" s="1"/>
  <c r="O20" i="5"/>
  <c r="Q20" i="5" s="1"/>
  <c r="N20" i="5"/>
  <c r="P20" i="5" s="1"/>
  <c r="O19" i="5"/>
  <c r="Q19" i="5" s="1"/>
  <c r="N19" i="5"/>
  <c r="P19" i="5" s="1"/>
  <c r="O18" i="5"/>
  <c r="Q18" i="5" s="1"/>
  <c r="N18" i="5"/>
  <c r="P18" i="5" s="1"/>
  <c r="O17" i="5"/>
  <c r="Q17" i="5" s="1"/>
  <c r="N17" i="5"/>
  <c r="P17" i="5" s="1"/>
  <c r="AC15" i="5"/>
  <c r="AB15" i="5"/>
  <c r="Z15" i="5"/>
  <c r="M15" i="5"/>
  <c r="L15" i="5"/>
  <c r="K15" i="5"/>
  <c r="J15" i="5"/>
  <c r="I15" i="5"/>
  <c r="H15" i="5"/>
  <c r="O14" i="5"/>
  <c r="Q14" i="5" s="1"/>
  <c r="N14" i="5"/>
  <c r="P14" i="5" s="1"/>
  <c r="O13" i="5"/>
  <c r="Q13" i="5" s="1"/>
  <c r="N13" i="5"/>
  <c r="P13" i="5" s="1"/>
  <c r="O12" i="5"/>
  <c r="Q12" i="5" s="1"/>
  <c r="N12" i="5"/>
  <c r="P12" i="5" s="1"/>
  <c r="O11" i="5"/>
  <c r="Q11" i="5" s="1"/>
  <c r="N11" i="5"/>
  <c r="P11" i="5" s="1"/>
  <c r="O10" i="5"/>
  <c r="Q10" i="5" s="1"/>
  <c r="N10" i="5"/>
  <c r="P10" i="5" s="1"/>
  <c r="AC375" i="2"/>
  <c r="AC374" i="2"/>
  <c r="AC373" i="2"/>
  <c r="K333" i="5" l="1"/>
  <c r="N263" i="5"/>
  <c r="P263" i="5" s="1"/>
  <c r="O159" i="5"/>
  <c r="Q159" i="5" s="1"/>
  <c r="N288" i="5"/>
  <c r="P288" i="5" s="1"/>
  <c r="N225" i="5"/>
  <c r="P225" i="5" s="1"/>
  <c r="H548" i="5"/>
  <c r="AD198" i="5"/>
  <c r="H363" i="5"/>
  <c r="O518" i="5"/>
  <c r="Q518" i="5" s="1"/>
  <c r="J548" i="5"/>
  <c r="N548" i="5" s="1"/>
  <c r="P548" i="5" s="1"/>
  <c r="N568" i="5"/>
  <c r="P568" i="5" s="1"/>
  <c r="O551" i="5"/>
  <c r="Q551" i="5" s="1"/>
  <c r="O201" i="5"/>
  <c r="Q201" i="5" s="1"/>
  <c r="J363" i="5"/>
  <c r="AD170" i="5"/>
  <c r="AD183" i="5" s="1"/>
  <c r="AD220" i="5" s="1"/>
  <c r="J219" i="5"/>
  <c r="M363" i="5"/>
  <c r="AJ432" i="5"/>
  <c r="AK432" i="5" s="1"/>
  <c r="AF432" i="5" s="1"/>
  <c r="O168" i="5"/>
  <c r="Q168" i="5" s="1"/>
  <c r="L219" i="5"/>
  <c r="N328" i="5"/>
  <c r="P328" i="5" s="1"/>
  <c r="AH530" i="5"/>
  <c r="AH504" i="5"/>
  <c r="AB333" i="5"/>
  <c r="N257" i="5"/>
  <c r="P257" i="5" s="1"/>
  <c r="O441" i="5"/>
  <c r="Q441" i="5" s="1"/>
  <c r="O130" i="5"/>
  <c r="Q130" i="5" s="1"/>
  <c r="AB198" i="5"/>
  <c r="AF198" i="5" s="1"/>
  <c r="I489" i="5"/>
  <c r="K363" i="5"/>
  <c r="L363" i="5"/>
  <c r="O263" i="5"/>
  <c r="Q263" i="5" s="1"/>
  <c r="L333" i="5"/>
  <c r="AG547" i="5"/>
  <c r="N39" i="5"/>
  <c r="P39" i="5" s="1"/>
  <c r="N188" i="5"/>
  <c r="P188" i="5" s="1"/>
  <c r="N218" i="5"/>
  <c r="P218" i="5" s="1"/>
  <c r="AG441" i="5"/>
  <c r="N90" i="5"/>
  <c r="P90" i="5" s="1"/>
  <c r="N111" i="5"/>
  <c r="P111" i="5" s="1"/>
  <c r="AD116" i="5"/>
  <c r="N84" i="5"/>
  <c r="P84" i="5" s="1"/>
  <c r="O62" i="5"/>
  <c r="Q62" i="5" s="1"/>
  <c r="AD333" i="5"/>
  <c r="AD364" i="5" s="1"/>
  <c r="O39" i="5"/>
  <c r="Q39" i="5" s="1"/>
  <c r="O102" i="5"/>
  <c r="Q102" i="5" s="1"/>
  <c r="O111" i="5"/>
  <c r="Q111" i="5" s="1"/>
  <c r="N62" i="5"/>
  <c r="P62" i="5" s="1"/>
  <c r="O71" i="5"/>
  <c r="Q71" i="5" s="1"/>
  <c r="AB364" i="5"/>
  <c r="N551" i="5"/>
  <c r="P551" i="5" s="1"/>
  <c r="N141" i="5"/>
  <c r="P141" i="5" s="1"/>
  <c r="N319" i="5"/>
  <c r="P319" i="5" s="1"/>
  <c r="O135" i="5"/>
  <c r="Q135" i="5" s="1"/>
  <c r="AJ437" i="5"/>
  <c r="AK437" i="5" s="1"/>
  <c r="AF437" i="5" s="1"/>
  <c r="O288" i="5"/>
  <c r="Q288" i="5" s="1"/>
  <c r="AC333" i="5"/>
  <c r="N280" i="5"/>
  <c r="P280" i="5" s="1"/>
  <c r="N488" i="5"/>
  <c r="P488" i="5" s="1"/>
  <c r="O488" i="5"/>
  <c r="Q488" i="5" s="1"/>
  <c r="O115" i="5"/>
  <c r="Q115" i="5" s="1"/>
  <c r="N124" i="5"/>
  <c r="P124" i="5" s="1"/>
  <c r="N201" i="5"/>
  <c r="P201" i="5" s="1"/>
  <c r="N234" i="5"/>
  <c r="P234" i="5" s="1"/>
  <c r="N464" i="5"/>
  <c r="P464" i="5" s="1"/>
  <c r="O576" i="5"/>
  <c r="Q576" i="5" s="1"/>
  <c r="O188" i="5"/>
  <c r="Q188" i="5" s="1"/>
  <c r="O234" i="5"/>
  <c r="Q234" i="5" s="1"/>
  <c r="N307" i="5"/>
  <c r="P307" i="5" s="1"/>
  <c r="N427" i="5"/>
  <c r="P427" i="5" s="1"/>
  <c r="AJ434" i="5"/>
  <c r="AK434" i="5" s="1"/>
  <c r="AF434" i="5" s="1"/>
  <c r="K579" i="5"/>
  <c r="Z333" i="5"/>
  <c r="Z364" i="5" s="1"/>
  <c r="AJ433" i="5"/>
  <c r="AK433" i="5" s="1"/>
  <c r="AF433" i="5" s="1"/>
  <c r="I170" i="5"/>
  <c r="O156" i="5"/>
  <c r="Q156" i="5" s="1"/>
  <c r="AC198" i="5"/>
  <c r="N576" i="5"/>
  <c r="P576" i="5" s="1"/>
  <c r="N168" i="5"/>
  <c r="P168" i="5" s="1"/>
  <c r="J333" i="5"/>
  <c r="O307" i="5"/>
  <c r="Q307" i="5" s="1"/>
  <c r="N135" i="5"/>
  <c r="P135" i="5" s="1"/>
  <c r="AB170" i="5"/>
  <c r="I548" i="5"/>
  <c r="O548" i="5" s="1"/>
  <c r="Q548" i="5" s="1"/>
  <c r="N144" i="5"/>
  <c r="P144" i="5" s="1"/>
  <c r="M489" i="5"/>
  <c r="N361" i="5"/>
  <c r="P361" i="5" s="1"/>
  <c r="AH532" i="5"/>
  <c r="L569" i="5"/>
  <c r="L579" i="5" s="1"/>
  <c r="H578" i="5"/>
  <c r="N578" i="5" s="1"/>
  <c r="P578" i="5" s="1"/>
  <c r="N331" i="5"/>
  <c r="P331" i="5" s="1"/>
  <c r="K489" i="5"/>
  <c r="N151" i="5"/>
  <c r="P151" i="5" s="1"/>
  <c r="N469" i="5"/>
  <c r="P469" i="5" s="1"/>
  <c r="N164" i="5"/>
  <c r="P164" i="5" s="1"/>
  <c r="N376" i="5"/>
  <c r="P376" i="5" s="1"/>
  <c r="AJ436" i="5"/>
  <c r="AK436" i="5" s="1"/>
  <c r="AF436" i="5" s="1"/>
  <c r="I578" i="5"/>
  <c r="O578" i="5" s="1"/>
  <c r="Q578" i="5" s="1"/>
  <c r="O328" i="5"/>
  <c r="Q328" i="5" s="1"/>
  <c r="O280" i="5"/>
  <c r="Q280" i="5" s="1"/>
  <c r="AJ439" i="5"/>
  <c r="AK439" i="5" s="1"/>
  <c r="AF439" i="5" s="1"/>
  <c r="AH547" i="5"/>
  <c r="N518" i="5"/>
  <c r="P518" i="5" s="1"/>
  <c r="O479" i="5"/>
  <c r="Q479" i="5" s="1"/>
  <c r="N159" i="5"/>
  <c r="P159" i="5" s="1"/>
  <c r="N301" i="5"/>
  <c r="P301" i="5" s="1"/>
  <c r="O376" i="5"/>
  <c r="Q376" i="5" s="1"/>
  <c r="AB428" i="5"/>
  <c r="Z170" i="5"/>
  <c r="AJ435" i="5"/>
  <c r="AK435" i="5" s="1"/>
  <c r="AF435" i="5" s="1"/>
  <c r="J569" i="5"/>
  <c r="J579" i="5" s="1"/>
  <c r="O151" i="5"/>
  <c r="Q151" i="5" s="1"/>
  <c r="AJ440" i="5"/>
  <c r="AK440" i="5" s="1"/>
  <c r="AF440" i="5" s="1"/>
  <c r="O164" i="5"/>
  <c r="Q164" i="5" s="1"/>
  <c r="O257" i="5"/>
  <c r="Q257" i="5" s="1"/>
  <c r="O301" i="5"/>
  <c r="Q301" i="5" s="1"/>
  <c r="Z363" i="5"/>
  <c r="AC428" i="5"/>
  <c r="H489" i="5"/>
  <c r="N441" i="5"/>
  <c r="P441" i="5" s="1"/>
  <c r="N115" i="5"/>
  <c r="P115" i="5" s="1"/>
  <c r="AB219" i="5"/>
  <c r="AF423" i="5"/>
  <c r="L170" i="5"/>
  <c r="O90" i="5"/>
  <c r="Q90" i="5" s="1"/>
  <c r="M170" i="5"/>
  <c r="N198" i="5"/>
  <c r="P198" i="5" s="1"/>
  <c r="I333" i="5"/>
  <c r="J489" i="5"/>
  <c r="AF215" i="5"/>
  <c r="N454" i="5"/>
  <c r="P454" i="5" s="1"/>
  <c r="J170" i="5"/>
  <c r="O454" i="5"/>
  <c r="Q454" i="5" s="1"/>
  <c r="K170" i="5"/>
  <c r="O342" i="5"/>
  <c r="Q342" i="5" s="1"/>
  <c r="H333" i="5"/>
  <c r="AF431" i="5"/>
  <c r="AD431" i="5" s="1"/>
  <c r="O124" i="5"/>
  <c r="Q124" i="5" s="1"/>
  <c r="N71" i="5"/>
  <c r="P71" i="5" s="1"/>
  <c r="O469" i="5"/>
  <c r="Q469" i="5" s="1"/>
  <c r="N455" i="5"/>
  <c r="P455" i="5" s="1"/>
  <c r="L489" i="5"/>
  <c r="L428" i="5"/>
  <c r="L116" i="5"/>
  <c r="M116" i="5"/>
  <c r="Z428" i="5"/>
  <c r="N130" i="5"/>
  <c r="P130" i="5" s="1"/>
  <c r="H170" i="5"/>
  <c r="K116" i="5"/>
  <c r="AC363" i="5"/>
  <c r="AC364" i="5" s="1"/>
  <c r="N15" i="5"/>
  <c r="P15" i="5" s="1"/>
  <c r="N405" i="5"/>
  <c r="P405" i="5" s="1"/>
  <c r="O225" i="5"/>
  <c r="Q225" i="5" s="1"/>
  <c r="O405" i="5"/>
  <c r="Q405" i="5" s="1"/>
  <c r="I423" i="5"/>
  <c r="J428" i="5"/>
  <c r="Z116" i="5"/>
  <c r="AB116" i="5"/>
  <c r="AC116" i="5"/>
  <c r="AC183" i="5" s="1"/>
  <c r="AC220" i="5" s="1"/>
  <c r="O144" i="5"/>
  <c r="Q144" i="5" s="1"/>
  <c r="AC376" i="5"/>
  <c r="H428" i="5"/>
  <c r="N423" i="5"/>
  <c r="P423" i="5" s="1"/>
  <c r="O455" i="5"/>
  <c r="Q455" i="5" s="1"/>
  <c r="O331" i="5"/>
  <c r="Q331" i="5" s="1"/>
  <c r="M333" i="5"/>
  <c r="O219" i="5"/>
  <c r="Q219" i="5" s="1"/>
  <c r="Z489" i="5"/>
  <c r="O464" i="5"/>
  <c r="Q464" i="5" s="1"/>
  <c r="N191" i="5"/>
  <c r="P191" i="5" s="1"/>
  <c r="N207" i="5"/>
  <c r="P207" i="5" s="1"/>
  <c r="N371" i="5"/>
  <c r="P371" i="5" s="1"/>
  <c r="I569" i="5"/>
  <c r="H116" i="5"/>
  <c r="N102" i="5"/>
  <c r="P102" i="5" s="1"/>
  <c r="O191" i="5"/>
  <c r="Q191" i="5" s="1"/>
  <c r="O207" i="5"/>
  <c r="Q207" i="5" s="1"/>
  <c r="O371" i="5"/>
  <c r="Q371" i="5" s="1"/>
  <c r="H569" i="5"/>
  <c r="N563" i="5"/>
  <c r="P563" i="5" s="1"/>
  <c r="N215" i="5"/>
  <c r="P215" i="5" s="1"/>
  <c r="H219" i="5"/>
  <c r="N219" i="5" s="1"/>
  <c r="P219" i="5" s="1"/>
  <c r="O563" i="5"/>
  <c r="Q563" i="5" s="1"/>
  <c r="O15" i="5"/>
  <c r="Q15" i="5" s="1"/>
  <c r="I116" i="5"/>
  <c r="J116" i="5"/>
  <c r="J183" i="5" s="1"/>
  <c r="O215" i="5"/>
  <c r="Q215" i="5" s="1"/>
  <c r="AJ438" i="5"/>
  <c r="AK438" i="5" s="1"/>
  <c r="AF438" i="5" s="1"/>
  <c r="AI432" i="2"/>
  <c r="AD432" i="2" s="1"/>
  <c r="AC432" i="2" s="1"/>
  <c r="AF432" i="2" s="1"/>
  <c r="AI433" i="2"/>
  <c r="AD433" i="2" s="1"/>
  <c r="AC433" i="2" s="1"/>
  <c r="AF433" i="2" s="1"/>
  <c r="AI434" i="2"/>
  <c r="AD434" i="2" s="1"/>
  <c r="AC434" i="2" s="1"/>
  <c r="AF434" i="2" s="1"/>
  <c r="AI435" i="2"/>
  <c r="AD435" i="2" s="1"/>
  <c r="AC435" i="2" s="1"/>
  <c r="AF435" i="2" s="1"/>
  <c r="AI436" i="2"/>
  <c r="AD436" i="2" s="1"/>
  <c r="AC436" i="2" s="1"/>
  <c r="AF436" i="2" s="1"/>
  <c r="AI437" i="2"/>
  <c r="AD437" i="2" s="1"/>
  <c r="AC437" i="2" s="1"/>
  <c r="AF437" i="2" s="1"/>
  <c r="AI438" i="2"/>
  <c r="AD438" i="2" s="1"/>
  <c r="AC438" i="2" s="1"/>
  <c r="AF438" i="2" s="1"/>
  <c r="AI439" i="2"/>
  <c r="AD439" i="2" s="1"/>
  <c r="AC439" i="2" s="1"/>
  <c r="AF439" i="2" s="1"/>
  <c r="AI440" i="2"/>
  <c r="AD440" i="2" s="1"/>
  <c r="AC440" i="2" s="1"/>
  <c r="AF440" i="2" s="1"/>
  <c r="AI431" i="2"/>
  <c r="AD431" i="2" s="1"/>
  <c r="AC431" i="2" s="1"/>
  <c r="AH432" i="2"/>
  <c r="AH433" i="2"/>
  <c r="AH434" i="2"/>
  <c r="AH435" i="2"/>
  <c r="AH436" i="2"/>
  <c r="AH437" i="2"/>
  <c r="AH438" i="2"/>
  <c r="AH439" i="2"/>
  <c r="AH440" i="2"/>
  <c r="AH431" i="2"/>
  <c r="AG441" i="2"/>
  <c r="AF442" i="2"/>
  <c r="AF443" i="2"/>
  <c r="AF456" i="2"/>
  <c r="AF463" i="2"/>
  <c r="AF465" i="2"/>
  <c r="AF470" i="2"/>
  <c r="AF480" i="2"/>
  <c r="AF490" i="2"/>
  <c r="AF491" i="2"/>
  <c r="AF492" i="2"/>
  <c r="AF493" i="2"/>
  <c r="AF494" i="2"/>
  <c r="AF495" i="2"/>
  <c r="AF496" i="2"/>
  <c r="AF497" i="2"/>
  <c r="AF498" i="2"/>
  <c r="AF499" i="2"/>
  <c r="AF500" i="2"/>
  <c r="AF501" i="2"/>
  <c r="AF502" i="2"/>
  <c r="AF503" i="2"/>
  <c r="AF504" i="2"/>
  <c r="AF505" i="2"/>
  <c r="AF506" i="2"/>
  <c r="AF507" i="2"/>
  <c r="AF508" i="2"/>
  <c r="AF509" i="2"/>
  <c r="AF510" i="2"/>
  <c r="AF511" i="2"/>
  <c r="AF512" i="2"/>
  <c r="AF513" i="2"/>
  <c r="AF514" i="2"/>
  <c r="AF515" i="2"/>
  <c r="AF516" i="2"/>
  <c r="AF517" i="2"/>
  <c r="AF518" i="2"/>
  <c r="AF519" i="2"/>
  <c r="AF520" i="2"/>
  <c r="AF521" i="2"/>
  <c r="AF522" i="2"/>
  <c r="AF523" i="2"/>
  <c r="AF524" i="2"/>
  <c r="AF525" i="2"/>
  <c r="AF526" i="2"/>
  <c r="AF527" i="2"/>
  <c r="AF528" i="2"/>
  <c r="AF529" i="2"/>
  <c r="AF530" i="2"/>
  <c r="AF531" i="2"/>
  <c r="AF532" i="2"/>
  <c r="AF533" i="2"/>
  <c r="AF534" i="2"/>
  <c r="AF535" i="2"/>
  <c r="AF536" i="2"/>
  <c r="AF537" i="2"/>
  <c r="AF538" i="2"/>
  <c r="AF539" i="2"/>
  <c r="AF540" i="2"/>
  <c r="AF541" i="2"/>
  <c r="AF542" i="2"/>
  <c r="AF543" i="2"/>
  <c r="AF544" i="2"/>
  <c r="AF545" i="2"/>
  <c r="AF546" i="2"/>
  <c r="AF547" i="2"/>
  <c r="AC551" i="2"/>
  <c r="AC547" i="2"/>
  <c r="AC532" i="2"/>
  <c r="AC530" i="2"/>
  <c r="AC518" i="2"/>
  <c r="AC504" i="2"/>
  <c r="AC427" i="2"/>
  <c r="AC401" i="2"/>
  <c r="AC423" i="2" s="1"/>
  <c r="AC428" i="2" s="1"/>
  <c r="AC376" i="2"/>
  <c r="AC367" i="2"/>
  <c r="AC371" i="2" s="1"/>
  <c r="AC361" i="2"/>
  <c r="AC342" i="2"/>
  <c r="AC363" i="2" s="1"/>
  <c r="AC331" i="2"/>
  <c r="AC328" i="2"/>
  <c r="AC319" i="2"/>
  <c r="AC307" i="2"/>
  <c r="AC333" i="2" s="1"/>
  <c r="AC364" i="2" s="1"/>
  <c r="AC301" i="2"/>
  <c r="AC288" i="2"/>
  <c r="AC280" i="2"/>
  <c r="AC263" i="2"/>
  <c r="AC257" i="2"/>
  <c r="AC234" i="2"/>
  <c r="AC227" i="2"/>
  <c r="AC223" i="2"/>
  <c r="AC225" i="2" s="1"/>
  <c r="AC219" i="2"/>
  <c r="AC215" i="2"/>
  <c r="AC207" i="2"/>
  <c r="AC201" i="2"/>
  <c r="AC196" i="2"/>
  <c r="AC195" i="2"/>
  <c r="AC193" i="2"/>
  <c r="AC198" i="2" s="1"/>
  <c r="AC191" i="2"/>
  <c r="AC185" i="2"/>
  <c r="AC188" i="2" s="1"/>
  <c r="AC173" i="2"/>
  <c r="AC182" i="2" s="1"/>
  <c r="AC168" i="2"/>
  <c r="AC164" i="2"/>
  <c r="AC159" i="2"/>
  <c r="AC156" i="2"/>
  <c r="AC151" i="2"/>
  <c r="AC144" i="2"/>
  <c r="AC141" i="2"/>
  <c r="AC135" i="2"/>
  <c r="AC130" i="2"/>
  <c r="AC124" i="2"/>
  <c r="AC170" i="2" s="1"/>
  <c r="AC111" i="2"/>
  <c r="AC102" i="2"/>
  <c r="AC90" i="2"/>
  <c r="AC84" i="2"/>
  <c r="AC71" i="2"/>
  <c r="AC62" i="2"/>
  <c r="AC45" i="2"/>
  <c r="AC39" i="2"/>
  <c r="AC15" i="2"/>
  <c r="AC116" i="2" s="1"/>
  <c r="O577" i="2"/>
  <c r="Q577" i="2" s="1"/>
  <c r="N577" i="2"/>
  <c r="P577" i="2" s="1"/>
  <c r="N576" i="2"/>
  <c r="P576" i="2" s="1"/>
  <c r="M576" i="2"/>
  <c r="M578" i="2" s="1"/>
  <c r="L576" i="2"/>
  <c r="L578" i="2" s="1"/>
  <c r="K576" i="2"/>
  <c r="K578" i="2" s="1"/>
  <c r="J576" i="2"/>
  <c r="J578" i="2" s="1"/>
  <c r="I576" i="2"/>
  <c r="I578" i="2" s="1"/>
  <c r="O578" i="2" s="1"/>
  <c r="Q578" i="2" s="1"/>
  <c r="H576" i="2"/>
  <c r="H578" i="2" s="1"/>
  <c r="O575" i="2"/>
  <c r="Q575" i="2" s="1"/>
  <c r="N575" i="2"/>
  <c r="P575" i="2" s="1"/>
  <c r="O574" i="2"/>
  <c r="Q574" i="2" s="1"/>
  <c r="N574" i="2"/>
  <c r="P574" i="2" s="1"/>
  <c r="O573" i="2"/>
  <c r="Q573" i="2" s="1"/>
  <c r="N573" i="2"/>
  <c r="P573" i="2" s="1"/>
  <c r="O572" i="2"/>
  <c r="Q572" i="2" s="1"/>
  <c r="N572" i="2"/>
  <c r="P572" i="2" s="1"/>
  <c r="M568" i="2"/>
  <c r="L568" i="2"/>
  <c r="K568" i="2"/>
  <c r="K569" i="2" s="1"/>
  <c r="K579" i="2" s="1"/>
  <c r="J568" i="2"/>
  <c r="I568" i="2"/>
  <c r="H568" i="2"/>
  <c r="O567" i="2"/>
  <c r="Q567" i="2" s="1"/>
  <c r="N567" i="2"/>
  <c r="P567" i="2" s="1"/>
  <c r="O566" i="2"/>
  <c r="Q566" i="2" s="1"/>
  <c r="N566" i="2"/>
  <c r="P566" i="2" s="1"/>
  <c r="O565" i="2"/>
  <c r="Q565" i="2" s="1"/>
  <c r="N565" i="2"/>
  <c r="P565" i="2" s="1"/>
  <c r="M563" i="2"/>
  <c r="M569" i="2" s="1"/>
  <c r="M579" i="2" s="1"/>
  <c r="L563" i="2"/>
  <c r="L569" i="2" s="1"/>
  <c r="L579" i="2" s="1"/>
  <c r="K563" i="2"/>
  <c r="J563" i="2"/>
  <c r="I563" i="2"/>
  <c r="H563" i="2"/>
  <c r="O562" i="2"/>
  <c r="Q562" i="2" s="1"/>
  <c r="N562" i="2"/>
  <c r="P562" i="2" s="1"/>
  <c r="O561" i="2"/>
  <c r="Q561" i="2" s="1"/>
  <c r="N561" i="2"/>
  <c r="P561" i="2" s="1"/>
  <c r="O560" i="2"/>
  <c r="Q560" i="2" s="1"/>
  <c r="N560" i="2"/>
  <c r="P560" i="2" s="1"/>
  <c r="Q559" i="2"/>
  <c r="O559" i="2"/>
  <c r="N559" i="2"/>
  <c r="P559" i="2" s="1"/>
  <c r="O558" i="2"/>
  <c r="Q558" i="2" s="1"/>
  <c r="N558" i="2"/>
  <c r="P558" i="2" s="1"/>
  <c r="O556" i="2"/>
  <c r="Q556" i="2" s="1"/>
  <c r="N556" i="2"/>
  <c r="P556" i="2" s="1"/>
  <c r="AB551" i="2"/>
  <c r="Z551" i="2"/>
  <c r="M551" i="2"/>
  <c r="L551" i="2"/>
  <c r="N551" i="2" s="1"/>
  <c r="P551" i="2" s="1"/>
  <c r="K551" i="2"/>
  <c r="J551" i="2"/>
  <c r="I551" i="2"/>
  <c r="H551" i="2"/>
  <c r="O550" i="2"/>
  <c r="Q550" i="2" s="1"/>
  <c r="N550" i="2"/>
  <c r="P550" i="2" s="1"/>
  <c r="AB547" i="2"/>
  <c r="Z547" i="2"/>
  <c r="M547" i="2"/>
  <c r="M548" i="2" s="1"/>
  <c r="L547" i="2"/>
  <c r="L548" i="2" s="1"/>
  <c r="K547" i="2"/>
  <c r="J547" i="2"/>
  <c r="I547" i="2"/>
  <c r="H547" i="2"/>
  <c r="AE546" i="2"/>
  <c r="O546" i="2"/>
  <c r="Q546" i="2" s="1"/>
  <c r="N546" i="2"/>
  <c r="P546" i="2" s="1"/>
  <c r="AE545" i="2"/>
  <c r="O545" i="2"/>
  <c r="Q545" i="2" s="1"/>
  <c r="N545" i="2"/>
  <c r="P545" i="2" s="1"/>
  <c r="AE544" i="2"/>
  <c r="O544" i="2"/>
  <c r="Q544" i="2" s="1"/>
  <c r="N544" i="2"/>
  <c r="P544" i="2" s="1"/>
  <c r="AE543" i="2"/>
  <c r="AE542" i="2"/>
  <c r="O542" i="2"/>
  <c r="Q542" i="2" s="1"/>
  <c r="N542" i="2"/>
  <c r="P542" i="2" s="1"/>
  <c r="AE541" i="2"/>
  <c r="Q541" i="2"/>
  <c r="N541" i="2"/>
  <c r="P541" i="2" s="1"/>
  <c r="AE540" i="2"/>
  <c r="P540" i="2"/>
  <c r="O540" i="2"/>
  <c r="Q540" i="2" s="1"/>
  <c r="N540" i="2"/>
  <c r="AE539" i="2"/>
  <c r="O539" i="2"/>
  <c r="Q539" i="2" s="1"/>
  <c r="N539" i="2"/>
  <c r="P539" i="2" s="1"/>
  <c r="AE538" i="2"/>
  <c r="O538" i="2"/>
  <c r="Q538" i="2" s="1"/>
  <c r="N538" i="2"/>
  <c r="P538" i="2" s="1"/>
  <c r="AE537" i="2"/>
  <c r="O537" i="2"/>
  <c r="Q537" i="2" s="1"/>
  <c r="N537" i="2"/>
  <c r="P537" i="2" s="1"/>
  <c r="AE536" i="2"/>
  <c r="O536" i="2"/>
  <c r="Q536" i="2" s="1"/>
  <c r="N536" i="2"/>
  <c r="P536" i="2" s="1"/>
  <c r="AE535" i="2"/>
  <c r="O535" i="2"/>
  <c r="Q535" i="2" s="1"/>
  <c r="N535" i="2"/>
  <c r="P535" i="2" s="1"/>
  <c r="AE534" i="2"/>
  <c r="O534" i="2"/>
  <c r="Q534" i="2" s="1"/>
  <c r="N534" i="2"/>
  <c r="P534" i="2" s="1"/>
  <c r="AE533" i="2"/>
  <c r="O533" i="2"/>
  <c r="Q533" i="2" s="1"/>
  <c r="N533" i="2"/>
  <c r="P533" i="2" s="1"/>
  <c r="AB532" i="2"/>
  <c r="AE532" i="2" s="1"/>
  <c r="O532" i="2"/>
  <c r="Q532" i="2" s="1"/>
  <c r="N532" i="2"/>
  <c r="P532" i="2" s="1"/>
  <c r="AE531" i="2"/>
  <c r="O531" i="2"/>
  <c r="Q531" i="2" s="1"/>
  <c r="N531" i="2"/>
  <c r="P531" i="2" s="1"/>
  <c r="AB530" i="2"/>
  <c r="AE530" i="2" s="1"/>
  <c r="O530" i="2"/>
  <c r="Q530" i="2" s="1"/>
  <c r="N530" i="2"/>
  <c r="P530" i="2" s="1"/>
  <c r="AE529" i="2"/>
  <c r="P529" i="2"/>
  <c r="O529" i="2"/>
  <c r="Q529" i="2" s="1"/>
  <c r="N529" i="2"/>
  <c r="AE528" i="2"/>
  <c r="O528" i="2"/>
  <c r="Q528" i="2" s="1"/>
  <c r="N528" i="2"/>
  <c r="P528" i="2" s="1"/>
  <c r="AE527" i="2"/>
  <c r="O527" i="2"/>
  <c r="Q527" i="2" s="1"/>
  <c r="N527" i="2"/>
  <c r="P527" i="2" s="1"/>
  <c r="AE526" i="2"/>
  <c r="O526" i="2"/>
  <c r="Q526" i="2" s="1"/>
  <c r="N526" i="2"/>
  <c r="P526" i="2" s="1"/>
  <c r="AE525" i="2"/>
  <c r="O525" i="2"/>
  <c r="Q525" i="2" s="1"/>
  <c r="N525" i="2"/>
  <c r="P525" i="2" s="1"/>
  <c r="AE524" i="2"/>
  <c r="O524" i="2"/>
  <c r="Q524" i="2" s="1"/>
  <c r="N524" i="2"/>
  <c r="P524" i="2" s="1"/>
  <c r="AE523" i="2"/>
  <c r="Q523" i="2"/>
  <c r="N523" i="2"/>
  <c r="P523" i="2" s="1"/>
  <c r="AE522" i="2"/>
  <c r="O522" i="2"/>
  <c r="Q522" i="2" s="1"/>
  <c r="N522" i="2"/>
  <c r="P522" i="2" s="1"/>
  <c r="AE521" i="2"/>
  <c r="O521" i="2"/>
  <c r="Q521" i="2" s="1"/>
  <c r="N521" i="2"/>
  <c r="P521" i="2" s="1"/>
  <c r="AE520" i="2"/>
  <c r="Q520" i="2"/>
  <c r="P520" i="2"/>
  <c r="O520" i="2"/>
  <c r="N520" i="2"/>
  <c r="AE519" i="2"/>
  <c r="O519" i="2"/>
  <c r="Q519" i="2" s="1"/>
  <c r="N519" i="2"/>
  <c r="P519" i="2" s="1"/>
  <c r="AB518" i="2"/>
  <c r="AE518" i="2" s="1"/>
  <c r="Z518" i="2"/>
  <c r="M518" i="2"/>
  <c r="L518" i="2"/>
  <c r="K518" i="2"/>
  <c r="J518" i="2"/>
  <c r="I518" i="2"/>
  <c r="H518" i="2"/>
  <c r="AE517" i="2"/>
  <c r="O517" i="2"/>
  <c r="Q517" i="2" s="1"/>
  <c r="N517" i="2"/>
  <c r="P517" i="2" s="1"/>
  <c r="AE516" i="2"/>
  <c r="O516" i="2"/>
  <c r="Q516" i="2" s="1"/>
  <c r="N516" i="2"/>
  <c r="P516" i="2" s="1"/>
  <c r="AE515" i="2"/>
  <c r="Q515" i="2"/>
  <c r="P515" i="2"/>
  <c r="O515" i="2"/>
  <c r="N515" i="2"/>
  <c r="AE514" i="2"/>
  <c r="AE513" i="2"/>
  <c r="O513" i="2"/>
  <c r="Q513" i="2" s="1"/>
  <c r="N513" i="2"/>
  <c r="P513" i="2" s="1"/>
  <c r="AE512" i="2"/>
  <c r="P512" i="2"/>
  <c r="O512" i="2"/>
  <c r="Q512" i="2" s="1"/>
  <c r="N512" i="2"/>
  <c r="AE511" i="2"/>
  <c r="O511" i="2"/>
  <c r="Q511" i="2" s="1"/>
  <c r="N511" i="2"/>
  <c r="P511" i="2" s="1"/>
  <c r="AE510" i="2"/>
  <c r="O510" i="2"/>
  <c r="Q510" i="2" s="1"/>
  <c r="N510" i="2"/>
  <c r="P510" i="2" s="1"/>
  <c r="AE509" i="2"/>
  <c r="O509" i="2"/>
  <c r="Q509" i="2" s="1"/>
  <c r="N509" i="2"/>
  <c r="P509" i="2" s="1"/>
  <c r="AE508" i="2"/>
  <c r="O508" i="2"/>
  <c r="Q508" i="2" s="1"/>
  <c r="N508" i="2"/>
  <c r="P508" i="2" s="1"/>
  <c r="AE507" i="2"/>
  <c r="O507" i="2"/>
  <c r="Q507" i="2" s="1"/>
  <c r="N507" i="2"/>
  <c r="P507" i="2" s="1"/>
  <c r="AE506" i="2"/>
  <c r="O506" i="2"/>
  <c r="Q506" i="2" s="1"/>
  <c r="N506" i="2"/>
  <c r="P506" i="2" s="1"/>
  <c r="AE505" i="2"/>
  <c r="O505" i="2"/>
  <c r="Q505" i="2" s="1"/>
  <c r="N505" i="2"/>
  <c r="P505" i="2" s="1"/>
  <c r="AB504" i="2"/>
  <c r="AE504" i="2" s="1"/>
  <c r="O504" i="2"/>
  <c r="Q504" i="2" s="1"/>
  <c r="N504" i="2"/>
  <c r="P504" i="2" s="1"/>
  <c r="AE503" i="2"/>
  <c r="O503" i="2"/>
  <c r="Q503" i="2" s="1"/>
  <c r="N503" i="2"/>
  <c r="P503" i="2" s="1"/>
  <c r="AE502" i="2"/>
  <c r="P502" i="2"/>
  <c r="O502" i="2"/>
  <c r="Q502" i="2" s="1"/>
  <c r="N502" i="2"/>
  <c r="AE501" i="2"/>
  <c r="O501" i="2"/>
  <c r="Q501" i="2" s="1"/>
  <c r="N501" i="2"/>
  <c r="P501" i="2" s="1"/>
  <c r="AE500" i="2"/>
  <c r="O500" i="2"/>
  <c r="Q500" i="2" s="1"/>
  <c r="N500" i="2"/>
  <c r="P500" i="2" s="1"/>
  <c r="AE499" i="2"/>
  <c r="Q499" i="2"/>
  <c r="O499" i="2"/>
  <c r="N499" i="2"/>
  <c r="P499" i="2" s="1"/>
  <c r="AE498" i="2"/>
  <c r="O498" i="2"/>
  <c r="Q498" i="2" s="1"/>
  <c r="N498" i="2"/>
  <c r="P498" i="2" s="1"/>
  <c r="AE497" i="2"/>
  <c r="O497" i="2"/>
  <c r="Q497" i="2" s="1"/>
  <c r="N497" i="2"/>
  <c r="P497" i="2" s="1"/>
  <c r="AE496" i="2"/>
  <c r="Q496" i="2"/>
  <c r="O496" i="2"/>
  <c r="N496" i="2"/>
  <c r="P496" i="2" s="1"/>
  <c r="O495" i="2"/>
  <c r="Q495" i="2" s="1"/>
  <c r="N495" i="2"/>
  <c r="P495" i="2" s="1"/>
  <c r="AE494" i="2"/>
  <c r="O494" i="2"/>
  <c r="Q494" i="2" s="1"/>
  <c r="N494" i="2"/>
  <c r="P494" i="2" s="1"/>
  <c r="AE493" i="2"/>
  <c r="O493" i="2"/>
  <c r="Q493" i="2" s="1"/>
  <c r="N493" i="2"/>
  <c r="P493" i="2" s="1"/>
  <c r="AE492" i="2"/>
  <c r="O492" i="2"/>
  <c r="Q492" i="2" s="1"/>
  <c r="N492" i="2"/>
  <c r="P492" i="2" s="1"/>
  <c r="AE491" i="2"/>
  <c r="O491" i="2"/>
  <c r="Q491" i="2" s="1"/>
  <c r="N491" i="2"/>
  <c r="P491" i="2" s="1"/>
  <c r="Q490" i="2"/>
  <c r="P490" i="2"/>
  <c r="Z488" i="2"/>
  <c r="M488" i="2"/>
  <c r="L488" i="2"/>
  <c r="N488" i="2" s="1"/>
  <c r="P488" i="2" s="1"/>
  <c r="K488" i="2"/>
  <c r="O488" i="2" s="1"/>
  <c r="Q488" i="2" s="1"/>
  <c r="J488" i="2"/>
  <c r="I488" i="2"/>
  <c r="H488" i="2"/>
  <c r="O487" i="2"/>
  <c r="Q487" i="2" s="1"/>
  <c r="N487" i="2"/>
  <c r="P487" i="2" s="1"/>
  <c r="P486" i="2"/>
  <c r="O486" i="2"/>
  <c r="Q486" i="2" s="1"/>
  <c r="N486" i="2"/>
  <c r="O485" i="2"/>
  <c r="Q485" i="2" s="1"/>
  <c r="N485" i="2"/>
  <c r="P485" i="2" s="1"/>
  <c r="O484" i="2"/>
  <c r="Q484" i="2" s="1"/>
  <c r="N484" i="2"/>
  <c r="P484" i="2" s="1"/>
  <c r="O483" i="2"/>
  <c r="Q483" i="2" s="1"/>
  <c r="N483" i="2"/>
  <c r="P483" i="2" s="1"/>
  <c r="O482" i="2"/>
  <c r="Q482" i="2" s="1"/>
  <c r="N482" i="2"/>
  <c r="P482" i="2" s="1"/>
  <c r="O481" i="2"/>
  <c r="Q481" i="2" s="1"/>
  <c r="N481" i="2"/>
  <c r="P481" i="2" s="1"/>
  <c r="Z479" i="2"/>
  <c r="M479" i="2"/>
  <c r="L479" i="2"/>
  <c r="K479" i="2"/>
  <c r="J479" i="2"/>
  <c r="I479" i="2"/>
  <c r="O479" i="2" s="1"/>
  <c r="Q479" i="2" s="1"/>
  <c r="H479" i="2"/>
  <c r="N479" i="2" s="1"/>
  <c r="P479" i="2" s="1"/>
  <c r="Q478" i="2"/>
  <c r="P478" i="2"/>
  <c r="O478" i="2"/>
  <c r="N478" i="2"/>
  <c r="Q477" i="2"/>
  <c r="O477" i="2"/>
  <c r="N477" i="2"/>
  <c r="P477" i="2" s="1"/>
  <c r="O476" i="2"/>
  <c r="Q476" i="2" s="1"/>
  <c r="N476" i="2"/>
  <c r="P476" i="2" s="1"/>
  <c r="O475" i="2"/>
  <c r="Q475" i="2" s="1"/>
  <c r="N475" i="2"/>
  <c r="P475" i="2" s="1"/>
  <c r="O474" i="2"/>
  <c r="Q474" i="2" s="1"/>
  <c r="N474" i="2"/>
  <c r="P474" i="2" s="1"/>
  <c r="O473" i="2"/>
  <c r="Q473" i="2" s="1"/>
  <c r="N473" i="2"/>
  <c r="P473" i="2" s="1"/>
  <c r="P472" i="2"/>
  <c r="O472" i="2"/>
  <c r="Q472" i="2" s="1"/>
  <c r="N472" i="2"/>
  <c r="O471" i="2"/>
  <c r="Q471" i="2" s="1"/>
  <c r="N471" i="2"/>
  <c r="P471" i="2" s="1"/>
  <c r="Z469" i="2"/>
  <c r="M469" i="2"/>
  <c r="L469" i="2"/>
  <c r="K469" i="2"/>
  <c r="J469" i="2"/>
  <c r="I469" i="2"/>
  <c r="H469" i="2"/>
  <c r="O468" i="2"/>
  <c r="Q468" i="2" s="1"/>
  <c r="N468" i="2"/>
  <c r="P468" i="2" s="1"/>
  <c r="O467" i="2"/>
  <c r="Q467" i="2" s="1"/>
  <c r="N467" i="2"/>
  <c r="P467" i="2" s="1"/>
  <c r="O466" i="2"/>
  <c r="Q466" i="2" s="1"/>
  <c r="N466" i="2"/>
  <c r="P466" i="2" s="1"/>
  <c r="Q465" i="2"/>
  <c r="P465" i="2"/>
  <c r="Z464" i="2"/>
  <c r="M464" i="2"/>
  <c r="L464" i="2"/>
  <c r="K464" i="2"/>
  <c r="J464" i="2"/>
  <c r="N464" i="2" s="1"/>
  <c r="P464" i="2" s="1"/>
  <c r="I464" i="2"/>
  <c r="O464" i="2" s="1"/>
  <c r="Q464" i="2" s="1"/>
  <c r="H464" i="2"/>
  <c r="AE463" i="2"/>
  <c r="O463" i="2"/>
  <c r="Q463" i="2" s="1"/>
  <c r="N463" i="2"/>
  <c r="P463" i="2" s="1"/>
  <c r="O462" i="2"/>
  <c r="Q462" i="2" s="1"/>
  <c r="N462" i="2"/>
  <c r="P462" i="2" s="1"/>
  <c r="O461" i="2"/>
  <c r="Q461" i="2" s="1"/>
  <c r="N461" i="2"/>
  <c r="P461" i="2" s="1"/>
  <c r="O460" i="2"/>
  <c r="Q460" i="2" s="1"/>
  <c r="N460" i="2"/>
  <c r="P460" i="2" s="1"/>
  <c r="O459" i="2"/>
  <c r="Q459" i="2" s="1"/>
  <c r="N459" i="2"/>
  <c r="P459" i="2" s="1"/>
  <c r="P458" i="2"/>
  <c r="O458" i="2"/>
  <c r="Q458" i="2" s="1"/>
  <c r="N458" i="2"/>
  <c r="O457" i="2"/>
  <c r="Q457" i="2" s="1"/>
  <c r="N457" i="2"/>
  <c r="P457" i="2" s="1"/>
  <c r="I455" i="2"/>
  <c r="H455" i="2"/>
  <c r="Z454" i="2"/>
  <c r="Z455" i="2" s="1"/>
  <c r="M454" i="2"/>
  <c r="M455" i="2" s="1"/>
  <c r="M489" i="2" s="1"/>
  <c r="L454" i="2"/>
  <c r="L455" i="2" s="1"/>
  <c r="K454" i="2"/>
  <c r="K455" i="2" s="1"/>
  <c r="J454" i="2"/>
  <c r="J455" i="2" s="1"/>
  <c r="I454" i="2"/>
  <c r="H454" i="2"/>
  <c r="O453" i="2"/>
  <c r="Q453" i="2" s="1"/>
  <c r="N453" i="2"/>
  <c r="P453" i="2" s="1"/>
  <c r="O452" i="2"/>
  <c r="Q452" i="2" s="1"/>
  <c r="N452" i="2"/>
  <c r="P452" i="2" s="1"/>
  <c r="O451" i="2"/>
  <c r="Q451" i="2" s="1"/>
  <c r="N451" i="2"/>
  <c r="P451" i="2" s="1"/>
  <c r="O450" i="2"/>
  <c r="Q450" i="2" s="1"/>
  <c r="N450" i="2"/>
  <c r="P450" i="2" s="1"/>
  <c r="O449" i="2"/>
  <c r="Q449" i="2" s="1"/>
  <c r="N449" i="2"/>
  <c r="P449" i="2" s="1"/>
  <c r="O448" i="2"/>
  <c r="Q448" i="2" s="1"/>
  <c r="N448" i="2"/>
  <c r="P448" i="2" s="1"/>
  <c r="O447" i="2"/>
  <c r="Q447" i="2" s="1"/>
  <c r="N447" i="2"/>
  <c r="P447" i="2" s="1"/>
  <c r="O446" i="2"/>
  <c r="Q446" i="2" s="1"/>
  <c r="N446" i="2"/>
  <c r="P446" i="2" s="1"/>
  <c r="O445" i="2"/>
  <c r="Q445" i="2" s="1"/>
  <c r="N445" i="2"/>
  <c r="P445" i="2" s="1"/>
  <c r="O444" i="2"/>
  <c r="Q444" i="2" s="1"/>
  <c r="N444" i="2"/>
  <c r="P444" i="2" s="1"/>
  <c r="AB441" i="2"/>
  <c r="Z441" i="2"/>
  <c r="M441" i="2"/>
  <c r="L441" i="2"/>
  <c r="K441" i="2"/>
  <c r="J441" i="2"/>
  <c r="I441" i="2"/>
  <c r="H441" i="2"/>
  <c r="AE440" i="2"/>
  <c r="O440" i="2"/>
  <c r="Q440" i="2" s="1"/>
  <c r="N440" i="2"/>
  <c r="P440" i="2" s="1"/>
  <c r="AE439" i="2"/>
  <c r="O439" i="2"/>
  <c r="Q439" i="2" s="1"/>
  <c r="N439" i="2"/>
  <c r="P439" i="2" s="1"/>
  <c r="AE438" i="2"/>
  <c r="P438" i="2"/>
  <c r="O438" i="2"/>
  <c r="Q438" i="2" s="1"/>
  <c r="N438" i="2"/>
  <c r="AE437" i="2"/>
  <c r="O437" i="2"/>
  <c r="Q437" i="2" s="1"/>
  <c r="N437" i="2"/>
  <c r="P437" i="2" s="1"/>
  <c r="AE436" i="2"/>
  <c r="O436" i="2"/>
  <c r="Q436" i="2" s="1"/>
  <c r="N436" i="2"/>
  <c r="P436" i="2" s="1"/>
  <c r="AE435" i="2"/>
  <c r="O435" i="2"/>
  <c r="Q435" i="2" s="1"/>
  <c r="N435" i="2"/>
  <c r="P435" i="2" s="1"/>
  <c r="AE434" i="2"/>
  <c r="O434" i="2"/>
  <c r="Q434" i="2" s="1"/>
  <c r="N434" i="2"/>
  <c r="P434" i="2" s="1"/>
  <c r="AE433" i="2"/>
  <c r="O433" i="2"/>
  <c r="Q433" i="2" s="1"/>
  <c r="N433" i="2"/>
  <c r="P433" i="2" s="1"/>
  <c r="AE432" i="2"/>
  <c r="Q432" i="2"/>
  <c r="O432" i="2"/>
  <c r="N432" i="2"/>
  <c r="P432" i="2" s="1"/>
  <c r="AE431" i="2"/>
  <c r="O431" i="2"/>
  <c r="Q431" i="2" s="1"/>
  <c r="N431" i="2"/>
  <c r="P431" i="2" s="1"/>
  <c r="Q430" i="2"/>
  <c r="P430" i="2"/>
  <c r="Q429" i="2"/>
  <c r="P429" i="2"/>
  <c r="AB427" i="2"/>
  <c r="Z427" i="2"/>
  <c r="Z428" i="2" s="1"/>
  <c r="Q427" i="2"/>
  <c r="P427" i="2"/>
  <c r="L427" i="2"/>
  <c r="J427" i="2"/>
  <c r="H427" i="2"/>
  <c r="N427" i="2" s="1"/>
  <c r="Q426" i="2"/>
  <c r="N426" i="2"/>
  <c r="P426" i="2" s="1"/>
  <c r="Q425" i="2"/>
  <c r="N425" i="2"/>
  <c r="P425" i="2" s="1"/>
  <c r="Z423" i="2"/>
  <c r="M423" i="2"/>
  <c r="M428" i="2" s="1"/>
  <c r="O422" i="2"/>
  <c r="Q422" i="2" s="1"/>
  <c r="N422" i="2"/>
  <c r="P422" i="2" s="1"/>
  <c r="O421" i="2"/>
  <c r="Q421" i="2" s="1"/>
  <c r="N421" i="2"/>
  <c r="P421" i="2" s="1"/>
  <c r="O420" i="2"/>
  <c r="Q420" i="2" s="1"/>
  <c r="N420" i="2"/>
  <c r="P420" i="2" s="1"/>
  <c r="O419" i="2"/>
  <c r="Q419" i="2" s="1"/>
  <c r="N419" i="2"/>
  <c r="P419" i="2" s="1"/>
  <c r="O418" i="2"/>
  <c r="Q418" i="2" s="1"/>
  <c r="N418" i="2"/>
  <c r="P418" i="2" s="1"/>
  <c r="O417" i="2"/>
  <c r="Q417" i="2" s="1"/>
  <c r="N417" i="2"/>
  <c r="P417" i="2" s="1"/>
  <c r="O416" i="2"/>
  <c r="Q416" i="2" s="1"/>
  <c r="N416" i="2"/>
  <c r="P416" i="2" s="1"/>
  <c r="O415" i="2"/>
  <c r="Q415" i="2" s="1"/>
  <c r="N415" i="2"/>
  <c r="P415" i="2" s="1"/>
  <c r="O414" i="2"/>
  <c r="Q414" i="2" s="1"/>
  <c r="N414" i="2"/>
  <c r="P414" i="2" s="1"/>
  <c r="Q413" i="2"/>
  <c r="N413" i="2"/>
  <c r="P413" i="2" s="1"/>
  <c r="O412" i="2"/>
  <c r="Q412" i="2" s="1"/>
  <c r="N412" i="2"/>
  <c r="P412" i="2" s="1"/>
  <c r="O411" i="2"/>
  <c r="Q411" i="2" s="1"/>
  <c r="N411" i="2"/>
  <c r="P411" i="2" s="1"/>
  <c r="P410" i="2"/>
  <c r="O410" i="2"/>
  <c r="Q410" i="2" s="1"/>
  <c r="N410" i="2"/>
  <c r="O409" i="2"/>
  <c r="Q409" i="2" s="1"/>
  <c r="N409" i="2"/>
  <c r="P409" i="2" s="1"/>
  <c r="O408" i="2"/>
  <c r="Q408" i="2" s="1"/>
  <c r="N408" i="2"/>
  <c r="P408" i="2" s="1"/>
  <c r="Q407" i="2"/>
  <c r="P407" i="2"/>
  <c r="O407" i="2"/>
  <c r="N407" i="2"/>
  <c r="Q406" i="2"/>
  <c r="N406" i="2"/>
  <c r="P406" i="2" s="1"/>
  <c r="M405" i="2"/>
  <c r="L405" i="2"/>
  <c r="K405" i="2"/>
  <c r="J405" i="2"/>
  <c r="J423" i="2" s="1"/>
  <c r="J428" i="2" s="1"/>
  <c r="I405" i="2"/>
  <c r="I423" i="2" s="1"/>
  <c r="I428" i="2" s="1"/>
  <c r="H405" i="2"/>
  <c r="H423" i="2" s="1"/>
  <c r="H428" i="2" s="1"/>
  <c r="O404" i="2"/>
  <c r="Q404" i="2" s="1"/>
  <c r="N404" i="2"/>
  <c r="P404" i="2" s="1"/>
  <c r="O402" i="2"/>
  <c r="Q402" i="2" s="1"/>
  <c r="N402" i="2"/>
  <c r="P402" i="2" s="1"/>
  <c r="AB401" i="2"/>
  <c r="AB423" i="2" s="1"/>
  <c r="O401" i="2"/>
  <c r="Q401" i="2" s="1"/>
  <c r="N401" i="2"/>
  <c r="P401" i="2" s="1"/>
  <c r="O400" i="2"/>
  <c r="Q400" i="2" s="1"/>
  <c r="N400" i="2"/>
  <c r="P400" i="2" s="1"/>
  <c r="P399" i="2"/>
  <c r="O399" i="2"/>
  <c r="Q399" i="2" s="1"/>
  <c r="N399" i="2"/>
  <c r="Q398" i="2"/>
  <c r="O398" i="2"/>
  <c r="N398" i="2"/>
  <c r="P398" i="2" s="1"/>
  <c r="O397" i="2"/>
  <c r="Q397" i="2" s="1"/>
  <c r="N397" i="2"/>
  <c r="P397" i="2" s="1"/>
  <c r="O396" i="2"/>
  <c r="Q396" i="2" s="1"/>
  <c r="N396" i="2"/>
  <c r="P396" i="2" s="1"/>
  <c r="O395" i="2"/>
  <c r="Q395" i="2" s="1"/>
  <c r="N395" i="2"/>
  <c r="P395" i="2" s="1"/>
  <c r="O394" i="2"/>
  <c r="Q394" i="2" s="1"/>
  <c r="N394" i="2"/>
  <c r="P394" i="2" s="1"/>
  <c r="O393" i="2"/>
  <c r="Q393" i="2" s="1"/>
  <c r="N393" i="2"/>
  <c r="P393" i="2" s="1"/>
  <c r="O392" i="2"/>
  <c r="Q392" i="2" s="1"/>
  <c r="N392" i="2"/>
  <c r="P392" i="2" s="1"/>
  <c r="O391" i="2"/>
  <c r="Q391" i="2" s="1"/>
  <c r="N391" i="2"/>
  <c r="P391" i="2" s="1"/>
  <c r="O390" i="2"/>
  <c r="Q390" i="2" s="1"/>
  <c r="N390" i="2"/>
  <c r="P390" i="2" s="1"/>
  <c r="O389" i="2"/>
  <c r="Q389" i="2" s="1"/>
  <c r="N389" i="2"/>
  <c r="P389" i="2" s="1"/>
  <c r="O388" i="2"/>
  <c r="Q388" i="2" s="1"/>
  <c r="N388" i="2"/>
  <c r="P388" i="2" s="1"/>
  <c r="O387" i="2"/>
  <c r="Q387" i="2" s="1"/>
  <c r="N387" i="2"/>
  <c r="P387" i="2" s="1"/>
  <c r="O385" i="2"/>
  <c r="Q385" i="2" s="1"/>
  <c r="N385" i="2"/>
  <c r="P385" i="2" s="1"/>
  <c r="O384" i="2"/>
  <c r="Q384" i="2" s="1"/>
  <c r="N384" i="2"/>
  <c r="P384" i="2" s="1"/>
  <c r="Q383" i="2"/>
  <c r="N383" i="2"/>
  <c r="P383" i="2" s="1"/>
  <c r="O382" i="2"/>
  <c r="Q382" i="2" s="1"/>
  <c r="N382" i="2"/>
  <c r="P382" i="2" s="1"/>
  <c r="O381" i="2"/>
  <c r="Q381" i="2" s="1"/>
  <c r="N381" i="2"/>
  <c r="P381" i="2" s="1"/>
  <c r="O380" i="2"/>
  <c r="Q380" i="2" s="1"/>
  <c r="N380" i="2"/>
  <c r="P380" i="2" s="1"/>
  <c r="Q379" i="2"/>
  <c r="P379" i="2"/>
  <c r="O379" i="2"/>
  <c r="N379" i="2"/>
  <c r="Z376" i="2"/>
  <c r="M376" i="2"/>
  <c r="L376" i="2"/>
  <c r="K376" i="2"/>
  <c r="J376" i="2"/>
  <c r="I376" i="2"/>
  <c r="H376" i="2"/>
  <c r="N376" i="2" s="1"/>
  <c r="P376" i="2" s="1"/>
  <c r="AB375" i="2"/>
  <c r="O375" i="2"/>
  <c r="Q375" i="2" s="1"/>
  <c r="N375" i="2"/>
  <c r="P375" i="2" s="1"/>
  <c r="AB374" i="2"/>
  <c r="O374" i="2"/>
  <c r="Q374" i="2" s="1"/>
  <c r="N374" i="2"/>
  <c r="P374" i="2" s="1"/>
  <c r="AB373" i="2"/>
  <c r="O373" i="2"/>
  <c r="Q373" i="2" s="1"/>
  <c r="N373" i="2"/>
  <c r="P373" i="2" s="1"/>
  <c r="Q372" i="2"/>
  <c r="P372" i="2"/>
  <c r="Z371" i="2"/>
  <c r="P371" i="2"/>
  <c r="M371" i="2"/>
  <c r="L371" i="2"/>
  <c r="K371" i="2"/>
  <c r="J371" i="2"/>
  <c r="I371" i="2"/>
  <c r="H371" i="2"/>
  <c r="N371" i="2" s="1"/>
  <c r="O370" i="2"/>
  <c r="Q370" i="2" s="1"/>
  <c r="N370" i="2"/>
  <c r="P370" i="2" s="1"/>
  <c r="O369" i="2"/>
  <c r="Q369" i="2" s="1"/>
  <c r="N369" i="2"/>
  <c r="P369" i="2" s="1"/>
  <c r="O368" i="2"/>
  <c r="Q368" i="2" s="1"/>
  <c r="N368" i="2"/>
  <c r="P368" i="2" s="1"/>
  <c r="AB367" i="2"/>
  <c r="AB371" i="2" s="1"/>
  <c r="O367" i="2"/>
  <c r="Q367" i="2" s="1"/>
  <c r="N367" i="2"/>
  <c r="P367" i="2" s="1"/>
  <c r="O366" i="2"/>
  <c r="Q366" i="2" s="1"/>
  <c r="N366" i="2"/>
  <c r="P366" i="2" s="1"/>
  <c r="K363" i="2"/>
  <c r="O362" i="2"/>
  <c r="Q362" i="2" s="1"/>
  <c r="N362" i="2"/>
  <c r="P362" i="2" s="1"/>
  <c r="AB361" i="2"/>
  <c r="Z361" i="2"/>
  <c r="M361" i="2"/>
  <c r="L361" i="2"/>
  <c r="K361" i="2"/>
  <c r="J361" i="2"/>
  <c r="J363" i="2" s="1"/>
  <c r="I361" i="2"/>
  <c r="H361" i="2"/>
  <c r="O360" i="2"/>
  <c r="Q360" i="2" s="1"/>
  <c r="N360" i="2"/>
  <c r="P360" i="2" s="1"/>
  <c r="O359" i="2"/>
  <c r="Q359" i="2" s="1"/>
  <c r="N359" i="2"/>
  <c r="P359" i="2" s="1"/>
  <c r="O357" i="2"/>
  <c r="Q357" i="2" s="1"/>
  <c r="N357" i="2"/>
  <c r="P357" i="2" s="1"/>
  <c r="O356" i="2"/>
  <c r="Q356" i="2" s="1"/>
  <c r="N356" i="2"/>
  <c r="P356" i="2" s="1"/>
  <c r="O355" i="2"/>
  <c r="Q355" i="2" s="1"/>
  <c r="N355" i="2"/>
  <c r="P355" i="2" s="1"/>
  <c r="O354" i="2"/>
  <c r="Q354" i="2" s="1"/>
  <c r="N354" i="2"/>
  <c r="P354" i="2" s="1"/>
  <c r="O353" i="2"/>
  <c r="Q353" i="2" s="1"/>
  <c r="N353" i="2"/>
  <c r="P353" i="2" s="1"/>
  <c r="O352" i="2"/>
  <c r="Q352" i="2" s="1"/>
  <c r="N352" i="2"/>
  <c r="P352" i="2" s="1"/>
  <c r="O351" i="2"/>
  <c r="Q351" i="2" s="1"/>
  <c r="N351" i="2"/>
  <c r="P351" i="2" s="1"/>
  <c r="P350" i="2"/>
  <c r="O350" i="2"/>
  <c r="Q350" i="2" s="1"/>
  <c r="N350" i="2"/>
  <c r="O349" i="2"/>
  <c r="Q349" i="2" s="1"/>
  <c r="N349" i="2"/>
  <c r="P349" i="2" s="1"/>
  <c r="O348" i="2"/>
  <c r="Q348" i="2" s="1"/>
  <c r="N348" i="2"/>
  <c r="P348" i="2" s="1"/>
  <c r="O347" i="2"/>
  <c r="Q347" i="2" s="1"/>
  <c r="N347" i="2"/>
  <c r="P347" i="2" s="1"/>
  <c r="O346" i="2"/>
  <c r="Q346" i="2" s="1"/>
  <c r="N346" i="2"/>
  <c r="P346" i="2" s="1"/>
  <c r="Q345" i="2"/>
  <c r="N345" i="2"/>
  <c r="P345" i="2" s="1"/>
  <c r="O344" i="2"/>
  <c r="Q344" i="2" s="1"/>
  <c r="N344" i="2"/>
  <c r="P344" i="2" s="1"/>
  <c r="O343" i="2"/>
  <c r="Q343" i="2" s="1"/>
  <c r="N343" i="2"/>
  <c r="P343" i="2" s="1"/>
  <c r="AB342" i="2"/>
  <c r="Z342" i="2"/>
  <c r="Z363" i="2" s="1"/>
  <c r="M342" i="2"/>
  <c r="M363" i="2" s="1"/>
  <c r="L342" i="2"/>
  <c r="L363" i="2" s="1"/>
  <c r="K342" i="2"/>
  <c r="J342" i="2"/>
  <c r="I342" i="2"/>
  <c r="H342" i="2"/>
  <c r="O341" i="2"/>
  <c r="Q341" i="2" s="1"/>
  <c r="N341" i="2"/>
  <c r="P341" i="2" s="1"/>
  <c r="O339" i="2"/>
  <c r="Q339" i="2" s="1"/>
  <c r="N339" i="2"/>
  <c r="P339" i="2" s="1"/>
  <c r="Q338" i="2"/>
  <c r="N338" i="2"/>
  <c r="P338" i="2" s="1"/>
  <c r="O337" i="2"/>
  <c r="Q337" i="2" s="1"/>
  <c r="N337" i="2"/>
  <c r="P337" i="2" s="1"/>
  <c r="Q336" i="2"/>
  <c r="N336" i="2"/>
  <c r="P336" i="2" s="1"/>
  <c r="O332" i="2"/>
  <c r="Q332" i="2" s="1"/>
  <c r="N332" i="2"/>
  <c r="P332" i="2" s="1"/>
  <c r="AB331" i="2"/>
  <c r="Z331" i="2"/>
  <c r="M331" i="2"/>
  <c r="O331" i="2" s="1"/>
  <c r="Q331" i="2" s="1"/>
  <c r="L331" i="2"/>
  <c r="N331" i="2" s="1"/>
  <c r="P331" i="2" s="1"/>
  <c r="K331" i="2"/>
  <c r="J331" i="2"/>
  <c r="I331" i="2"/>
  <c r="H331" i="2"/>
  <c r="O330" i="2"/>
  <c r="Q330" i="2" s="1"/>
  <c r="N330" i="2"/>
  <c r="P330" i="2" s="1"/>
  <c r="AB328" i="2"/>
  <c r="Z328" i="2"/>
  <c r="M328" i="2"/>
  <c r="L328" i="2"/>
  <c r="K328" i="2"/>
  <c r="J328" i="2"/>
  <c r="I328" i="2"/>
  <c r="H328" i="2"/>
  <c r="N328" i="2" s="1"/>
  <c r="P328" i="2" s="1"/>
  <c r="Q326" i="2"/>
  <c r="P326" i="2"/>
  <c r="O326" i="2"/>
  <c r="N326" i="2"/>
  <c r="Q325" i="2"/>
  <c r="O325" i="2"/>
  <c r="N325" i="2"/>
  <c r="P325" i="2" s="1"/>
  <c r="O324" i="2"/>
  <c r="Q324" i="2" s="1"/>
  <c r="N324" i="2"/>
  <c r="P324" i="2" s="1"/>
  <c r="O323" i="2"/>
  <c r="Q323" i="2" s="1"/>
  <c r="N323" i="2"/>
  <c r="P323" i="2" s="1"/>
  <c r="P322" i="2"/>
  <c r="O322" i="2"/>
  <c r="Q322" i="2" s="1"/>
  <c r="N322" i="2"/>
  <c r="O321" i="2"/>
  <c r="Q321" i="2" s="1"/>
  <c r="N321" i="2"/>
  <c r="P321" i="2" s="1"/>
  <c r="AB319" i="2"/>
  <c r="Z319" i="2"/>
  <c r="M319" i="2"/>
  <c r="L319" i="2"/>
  <c r="K319" i="2"/>
  <c r="J319" i="2"/>
  <c r="I319" i="2"/>
  <c r="O319" i="2" s="1"/>
  <c r="Q319" i="2" s="1"/>
  <c r="H319" i="2"/>
  <c r="N319" i="2" s="1"/>
  <c r="P319" i="2" s="1"/>
  <c r="O318" i="2"/>
  <c r="Q318" i="2" s="1"/>
  <c r="N318" i="2"/>
  <c r="P318" i="2" s="1"/>
  <c r="O317" i="2"/>
  <c r="Q317" i="2" s="1"/>
  <c r="N317" i="2"/>
  <c r="P317" i="2" s="1"/>
  <c r="O316" i="2"/>
  <c r="Q316" i="2" s="1"/>
  <c r="N316" i="2"/>
  <c r="P316" i="2" s="1"/>
  <c r="Q315" i="2"/>
  <c r="P315" i="2"/>
  <c r="O315" i="2"/>
  <c r="N315" i="2"/>
  <c r="O314" i="2"/>
  <c r="Q314" i="2" s="1"/>
  <c r="N314" i="2"/>
  <c r="P314" i="2" s="1"/>
  <c r="O313" i="2"/>
  <c r="Q313" i="2" s="1"/>
  <c r="N313" i="2"/>
  <c r="P313" i="2" s="1"/>
  <c r="P312" i="2"/>
  <c r="O312" i="2"/>
  <c r="Q312" i="2" s="1"/>
  <c r="N312" i="2"/>
  <c r="P311" i="2"/>
  <c r="O311" i="2"/>
  <c r="Q311" i="2" s="1"/>
  <c r="N311" i="2"/>
  <c r="O310" i="2"/>
  <c r="Q310" i="2" s="1"/>
  <c r="N310" i="2"/>
  <c r="P310" i="2" s="1"/>
  <c r="O309" i="2"/>
  <c r="Q309" i="2" s="1"/>
  <c r="N309" i="2"/>
  <c r="P309" i="2" s="1"/>
  <c r="AB307" i="2"/>
  <c r="Z307" i="2"/>
  <c r="O307" i="2"/>
  <c r="Q307" i="2" s="1"/>
  <c r="M307" i="2"/>
  <c r="L307" i="2"/>
  <c r="K307" i="2"/>
  <c r="J307" i="2"/>
  <c r="I307" i="2"/>
  <c r="H307" i="2"/>
  <c r="O306" i="2"/>
  <c r="Q306" i="2" s="1"/>
  <c r="N306" i="2"/>
  <c r="P306" i="2" s="1"/>
  <c r="O305" i="2"/>
  <c r="Q305" i="2" s="1"/>
  <c r="N305" i="2"/>
  <c r="P305" i="2" s="1"/>
  <c r="P304" i="2"/>
  <c r="O304" i="2"/>
  <c r="Q304" i="2" s="1"/>
  <c r="N304" i="2"/>
  <c r="O303" i="2"/>
  <c r="Q303" i="2" s="1"/>
  <c r="N303" i="2"/>
  <c r="P303" i="2" s="1"/>
  <c r="AB301" i="2"/>
  <c r="Z301" i="2"/>
  <c r="M301" i="2"/>
  <c r="L301" i="2"/>
  <c r="N301" i="2" s="1"/>
  <c r="P301" i="2" s="1"/>
  <c r="K301" i="2"/>
  <c r="J301" i="2"/>
  <c r="I301" i="2"/>
  <c r="H301" i="2"/>
  <c r="O300" i="2"/>
  <c r="Q300" i="2" s="1"/>
  <c r="N300" i="2"/>
  <c r="P300" i="2" s="1"/>
  <c r="O299" i="2"/>
  <c r="Q299" i="2" s="1"/>
  <c r="N299" i="2"/>
  <c r="P299" i="2" s="1"/>
  <c r="O298" i="2"/>
  <c r="Q298" i="2" s="1"/>
  <c r="N298" i="2"/>
  <c r="P298" i="2" s="1"/>
  <c r="P297" i="2"/>
  <c r="O297" i="2"/>
  <c r="Q297" i="2" s="1"/>
  <c r="N297" i="2"/>
  <c r="O296" i="2"/>
  <c r="Q296" i="2" s="1"/>
  <c r="N296" i="2"/>
  <c r="P296" i="2" s="1"/>
  <c r="O295" i="2"/>
  <c r="Q295" i="2" s="1"/>
  <c r="N295" i="2"/>
  <c r="P295" i="2" s="1"/>
  <c r="O294" i="2"/>
  <c r="Q294" i="2" s="1"/>
  <c r="N294" i="2"/>
  <c r="P294" i="2" s="1"/>
  <c r="Q293" i="2"/>
  <c r="O293" i="2"/>
  <c r="N293" i="2"/>
  <c r="P293" i="2" s="1"/>
  <c r="O292" i="2"/>
  <c r="Q292" i="2" s="1"/>
  <c r="N292" i="2"/>
  <c r="P292" i="2" s="1"/>
  <c r="O291" i="2"/>
  <c r="Q291" i="2" s="1"/>
  <c r="N291" i="2"/>
  <c r="P291" i="2" s="1"/>
  <c r="O290" i="2"/>
  <c r="Q290" i="2" s="1"/>
  <c r="N290" i="2"/>
  <c r="P290" i="2" s="1"/>
  <c r="AB288" i="2"/>
  <c r="Z288" i="2"/>
  <c r="Q288" i="2"/>
  <c r="M288" i="2"/>
  <c r="L288" i="2"/>
  <c r="K288" i="2"/>
  <c r="J288" i="2"/>
  <c r="I288" i="2"/>
  <c r="O288" i="2" s="1"/>
  <c r="H288" i="2"/>
  <c r="N288" i="2" s="1"/>
  <c r="P288" i="2" s="1"/>
  <c r="O287" i="2"/>
  <c r="Q287" i="2" s="1"/>
  <c r="N287" i="2"/>
  <c r="P287" i="2" s="1"/>
  <c r="Q286" i="2"/>
  <c r="O286" i="2"/>
  <c r="N286" i="2"/>
  <c r="P286" i="2" s="1"/>
  <c r="O285" i="2"/>
  <c r="Q285" i="2" s="1"/>
  <c r="N285" i="2"/>
  <c r="P285" i="2" s="1"/>
  <c r="O284" i="2"/>
  <c r="Q284" i="2" s="1"/>
  <c r="N284" i="2"/>
  <c r="P284" i="2" s="1"/>
  <c r="O283" i="2"/>
  <c r="Q283" i="2" s="1"/>
  <c r="N283" i="2"/>
  <c r="P283" i="2" s="1"/>
  <c r="Q282" i="2"/>
  <c r="P282" i="2"/>
  <c r="O282" i="2"/>
  <c r="N282" i="2"/>
  <c r="Q281" i="2"/>
  <c r="P281" i="2"/>
  <c r="AB280" i="2"/>
  <c r="Z280" i="2"/>
  <c r="M280" i="2"/>
  <c r="L280" i="2"/>
  <c r="K280" i="2"/>
  <c r="J280" i="2"/>
  <c r="N280" i="2" s="1"/>
  <c r="P280" i="2" s="1"/>
  <c r="I280" i="2"/>
  <c r="H280" i="2"/>
  <c r="O279" i="2"/>
  <c r="Q279" i="2" s="1"/>
  <c r="N279" i="2"/>
  <c r="P279" i="2" s="1"/>
  <c r="O278" i="2"/>
  <c r="Q278" i="2" s="1"/>
  <c r="N278" i="2"/>
  <c r="P278" i="2" s="1"/>
  <c r="O277" i="2"/>
  <c r="Q277" i="2" s="1"/>
  <c r="N277" i="2"/>
  <c r="P277" i="2" s="1"/>
  <c r="O276" i="2"/>
  <c r="Q276" i="2" s="1"/>
  <c r="N276" i="2"/>
  <c r="P276" i="2" s="1"/>
  <c r="Q275" i="2"/>
  <c r="O275" i="2"/>
  <c r="N275" i="2"/>
  <c r="P275" i="2" s="1"/>
  <c r="O274" i="2"/>
  <c r="Q274" i="2" s="1"/>
  <c r="N274" i="2"/>
  <c r="P274" i="2" s="1"/>
  <c r="O273" i="2"/>
  <c r="Q273" i="2" s="1"/>
  <c r="N273" i="2"/>
  <c r="P273" i="2" s="1"/>
  <c r="O272" i="2"/>
  <c r="Q272" i="2" s="1"/>
  <c r="N272" i="2"/>
  <c r="P272" i="2" s="1"/>
  <c r="P271" i="2"/>
  <c r="O271" i="2"/>
  <c r="Q271" i="2" s="1"/>
  <c r="N271" i="2"/>
  <c r="O270" i="2"/>
  <c r="Q270" i="2" s="1"/>
  <c r="N270" i="2"/>
  <c r="P270" i="2" s="1"/>
  <c r="O269" i="2"/>
  <c r="Q269" i="2" s="1"/>
  <c r="N269" i="2"/>
  <c r="P269" i="2" s="1"/>
  <c r="O268" i="2"/>
  <c r="Q268" i="2" s="1"/>
  <c r="N268" i="2"/>
  <c r="P268" i="2" s="1"/>
  <c r="O267" i="2"/>
  <c r="Q267" i="2" s="1"/>
  <c r="N267" i="2"/>
  <c r="P267" i="2" s="1"/>
  <c r="O266" i="2"/>
  <c r="Q266" i="2" s="1"/>
  <c r="N266" i="2"/>
  <c r="P266" i="2" s="1"/>
  <c r="O265" i="2"/>
  <c r="Q265" i="2" s="1"/>
  <c r="N265" i="2"/>
  <c r="P265" i="2" s="1"/>
  <c r="AB263" i="2"/>
  <c r="Z263" i="2"/>
  <c r="N263" i="2"/>
  <c r="P263" i="2" s="1"/>
  <c r="M263" i="2"/>
  <c r="O263" i="2" s="1"/>
  <c r="Q263" i="2" s="1"/>
  <c r="L263" i="2"/>
  <c r="K263" i="2"/>
  <c r="J263" i="2"/>
  <c r="I263" i="2"/>
  <c r="H263" i="2"/>
  <c r="O262" i="2"/>
  <c r="Q262" i="2" s="1"/>
  <c r="N262" i="2"/>
  <c r="P262" i="2" s="1"/>
  <c r="O261" i="2"/>
  <c r="Q261" i="2" s="1"/>
  <c r="N261" i="2"/>
  <c r="P261" i="2" s="1"/>
  <c r="O260" i="2"/>
  <c r="Q260" i="2" s="1"/>
  <c r="N260" i="2"/>
  <c r="P260" i="2" s="1"/>
  <c r="O259" i="2"/>
  <c r="Q259" i="2" s="1"/>
  <c r="N259" i="2"/>
  <c r="P259" i="2" s="1"/>
  <c r="Q258" i="2"/>
  <c r="P258" i="2"/>
  <c r="AB257" i="2"/>
  <c r="Z257" i="2"/>
  <c r="M257" i="2"/>
  <c r="L257" i="2"/>
  <c r="K257" i="2"/>
  <c r="J257" i="2"/>
  <c r="I257" i="2"/>
  <c r="H257" i="2"/>
  <c r="N257" i="2" s="1"/>
  <c r="P257" i="2" s="1"/>
  <c r="Q256" i="2"/>
  <c r="O256" i="2"/>
  <c r="N256" i="2"/>
  <c r="P256" i="2" s="1"/>
  <c r="O255" i="2"/>
  <c r="Q255" i="2" s="1"/>
  <c r="N255" i="2"/>
  <c r="P255" i="2" s="1"/>
  <c r="Q254" i="2"/>
  <c r="N254" i="2"/>
  <c r="P254" i="2" s="1"/>
  <c r="O253" i="2"/>
  <c r="Q253" i="2" s="1"/>
  <c r="N253" i="2"/>
  <c r="P253" i="2" s="1"/>
  <c r="O252" i="2"/>
  <c r="Q252" i="2" s="1"/>
  <c r="N252" i="2"/>
  <c r="P252" i="2" s="1"/>
  <c r="O251" i="2"/>
  <c r="Q251" i="2" s="1"/>
  <c r="N251" i="2"/>
  <c r="P251" i="2" s="1"/>
  <c r="Q250" i="2"/>
  <c r="N250" i="2"/>
  <c r="P250" i="2" s="1"/>
  <c r="O249" i="2"/>
  <c r="Q249" i="2" s="1"/>
  <c r="N249" i="2"/>
  <c r="P249" i="2" s="1"/>
  <c r="O248" i="2"/>
  <c r="Q248" i="2" s="1"/>
  <c r="N248" i="2"/>
  <c r="P248" i="2" s="1"/>
  <c r="O247" i="2"/>
  <c r="Q247" i="2" s="1"/>
  <c r="N247" i="2"/>
  <c r="P247" i="2" s="1"/>
  <c r="O246" i="2"/>
  <c r="Q246" i="2" s="1"/>
  <c r="N246" i="2"/>
  <c r="P246" i="2" s="1"/>
  <c r="O245" i="2"/>
  <c r="Q245" i="2" s="1"/>
  <c r="N245" i="2"/>
  <c r="P245" i="2" s="1"/>
  <c r="Q244" i="2"/>
  <c r="N244" i="2"/>
  <c r="P244" i="2" s="1"/>
  <c r="O243" i="2"/>
  <c r="Q243" i="2" s="1"/>
  <c r="N243" i="2"/>
  <c r="P243" i="2" s="1"/>
  <c r="O242" i="2"/>
  <c r="Q242" i="2" s="1"/>
  <c r="N242" i="2"/>
  <c r="P242" i="2" s="1"/>
  <c r="O241" i="2"/>
  <c r="Q241" i="2" s="1"/>
  <c r="N241" i="2"/>
  <c r="P241" i="2" s="1"/>
  <c r="O240" i="2"/>
  <c r="Q240" i="2" s="1"/>
  <c r="N240" i="2"/>
  <c r="P240" i="2" s="1"/>
  <c r="O239" i="2"/>
  <c r="Q239" i="2" s="1"/>
  <c r="N239" i="2"/>
  <c r="P239" i="2" s="1"/>
  <c r="O238" i="2"/>
  <c r="Q238" i="2" s="1"/>
  <c r="N238" i="2"/>
  <c r="P238" i="2" s="1"/>
  <c r="Q237" i="2"/>
  <c r="O237" i="2"/>
  <c r="N237" i="2"/>
  <c r="P237" i="2" s="1"/>
  <c r="O236" i="2"/>
  <c r="Q236" i="2" s="1"/>
  <c r="N236" i="2"/>
  <c r="P236" i="2" s="1"/>
  <c r="AB234" i="2"/>
  <c r="Z234" i="2"/>
  <c r="M234" i="2"/>
  <c r="L234" i="2"/>
  <c r="K234" i="2"/>
  <c r="J234" i="2"/>
  <c r="I234" i="2"/>
  <c r="H234" i="2"/>
  <c r="O233" i="2"/>
  <c r="Q233" i="2" s="1"/>
  <c r="N233" i="2"/>
  <c r="P233" i="2" s="1"/>
  <c r="O232" i="2"/>
  <c r="Q232" i="2" s="1"/>
  <c r="N232" i="2"/>
  <c r="P232" i="2" s="1"/>
  <c r="O231" i="2"/>
  <c r="Q231" i="2" s="1"/>
  <c r="N231" i="2"/>
  <c r="P231" i="2" s="1"/>
  <c r="O230" i="2"/>
  <c r="Q230" i="2" s="1"/>
  <c r="N230" i="2"/>
  <c r="P230" i="2" s="1"/>
  <c r="Q229" i="2"/>
  <c r="P229" i="2"/>
  <c r="Q228" i="2"/>
  <c r="O228" i="2"/>
  <c r="N228" i="2"/>
  <c r="P228" i="2" s="1"/>
  <c r="AB227" i="2"/>
  <c r="Z225" i="2"/>
  <c r="M225" i="2"/>
  <c r="L225" i="2"/>
  <c r="K225" i="2"/>
  <c r="J225" i="2"/>
  <c r="I225" i="2"/>
  <c r="H225" i="2"/>
  <c r="P224" i="2"/>
  <c r="O224" i="2"/>
  <c r="Q224" i="2" s="1"/>
  <c r="N224" i="2"/>
  <c r="AB223" i="2"/>
  <c r="AB225" i="2" s="1"/>
  <c r="O223" i="2"/>
  <c r="Q223" i="2" s="1"/>
  <c r="N223" i="2"/>
  <c r="P223" i="2" s="1"/>
  <c r="Q218" i="2"/>
  <c r="L218" i="2"/>
  <c r="J218" i="2"/>
  <c r="H218" i="2"/>
  <c r="Q217" i="2"/>
  <c r="N217" i="2"/>
  <c r="P217" i="2" s="1"/>
  <c r="AB215" i="2"/>
  <c r="AB219" i="2" s="1"/>
  <c r="Z215" i="2"/>
  <c r="Z219" i="2" s="1"/>
  <c r="M215" i="2"/>
  <c r="M219" i="2" s="1"/>
  <c r="L215" i="2"/>
  <c r="L219" i="2" s="1"/>
  <c r="K215" i="2"/>
  <c r="K219" i="2" s="1"/>
  <c r="J215" i="2"/>
  <c r="I215" i="2"/>
  <c r="H215" i="2"/>
  <c r="H219" i="2" s="1"/>
  <c r="P214" i="2"/>
  <c r="O214" i="2"/>
  <c r="Q214" i="2" s="1"/>
  <c r="N214" i="2"/>
  <c r="O213" i="2"/>
  <c r="Q213" i="2" s="1"/>
  <c r="N213" i="2"/>
  <c r="P213" i="2" s="1"/>
  <c r="Q212" i="2"/>
  <c r="N212" i="2"/>
  <c r="P212" i="2" s="1"/>
  <c r="O211" i="2"/>
  <c r="Q211" i="2" s="1"/>
  <c r="N211" i="2"/>
  <c r="P211" i="2" s="1"/>
  <c r="O210" i="2"/>
  <c r="Q210" i="2" s="1"/>
  <c r="N210" i="2"/>
  <c r="P210" i="2" s="1"/>
  <c r="AB207" i="2"/>
  <c r="Z207" i="2"/>
  <c r="M207" i="2"/>
  <c r="L207" i="2"/>
  <c r="K207" i="2"/>
  <c r="J207" i="2"/>
  <c r="I207" i="2"/>
  <c r="O207" i="2" s="1"/>
  <c r="Q207" i="2" s="1"/>
  <c r="H207" i="2"/>
  <c r="N207" i="2" s="1"/>
  <c r="P207" i="2" s="1"/>
  <c r="O206" i="2"/>
  <c r="Q206" i="2" s="1"/>
  <c r="N206" i="2"/>
  <c r="P206" i="2" s="1"/>
  <c r="O205" i="2"/>
  <c r="Q205" i="2" s="1"/>
  <c r="N205" i="2"/>
  <c r="P205" i="2" s="1"/>
  <c r="Q204" i="2"/>
  <c r="N204" i="2"/>
  <c r="P204" i="2" s="1"/>
  <c r="O203" i="2"/>
  <c r="Q203" i="2" s="1"/>
  <c r="N203" i="2"/>
  <c r="P203" i="2" s="1"/>
  <c r="AB201" i="2"/>
  <c r="Z201" i="2"/>
  <c r="M201" i="2"/>
  <c r="L201" i="2"/>
  <c r="K201" i="2"/>
  <c r="J201" i="2"/>
  <c r="I201" i="2"/>
  <c r="O201" i="2" s="1"/>
  <c r="Q201" i="2" s="1"/>
  <c r="H201" i="2"/>
  <c r="AD200" i="2"/>
  <c r="AD201" i="2" s="1"/>
  <c r="O200" i="2"/>
  <c r="Q200" i="2" s="1"/>
  <c r="N200" i="2"/>
  <c r="P200" i="2" s="1"/>
  <c r="Z198" i="2"/>
  <c r="AD198" i="2" s="1"/>
  <c r="M198" i="2"/>
  <c r="L198" i="2"/>
  <c r="K198" i="2"/>
  <c r="J198" i="2"/>
  <c r="I198" i="2"/>
  <c r="H198" i="2"/>
  <c r="O197" i="2"/>
  <c r="Q197" i="2" s="1"/>
  <c r="N197" i="2"/>
  <c r="P197" i="2" s="1"/>
  <c r="AB196" i="2"/>
  <c r="O196" i="2"/>
  <c r="Q196" i="2" s="1"/>
  <c r="N196" i="2"/>
  <c r="P196" i="2" s="1"/>
  <c r="AB195" i="2"/>
  <c r="O195" i="2"/>
  <c r="Q195" i="2" s="1"/>
  <c r="N195" i="2"/>
  <c r="P195" i="2" s="1"/>
  <c r="O194" i="2"/>
  <c r="Q194" i="2" s="1"/>
  <c r="N194" i="2"/>
  <c r="P194" i="2" s="1"/>
  <c r="AB193" i="2"/>
  <c r="AB198" i="2" s="1"/>
  <c r="P193" i="2"/>
  <c r="O193" i="2"/>
  <c r="Q193" i="2" s="1"/>
  <c r="N193" i="2"/>
  <c r="AB191" i="2"/>
  <c r="Z191" i="2"/>
  <c r="M191" i="2"/>
  <c r="L191" i="2"/>
  <c r="K191" i="2"/>
  <c r="J191" i="2"/>
  <c r="I191" i="2"/>
  <c r="O191" i="2" s="1"/>
  <c r="Q191" i="2" s="1"/>
  <c r="H191" i="2"/>
  <c r="N191" i="2" s="1"/>
  <c r="P191" i="2" s="1"/>
  <c r="O190" i="2"/>
  <c r="Q190" i="2" s="1"/>
  <c r="N190" i="2"/>
  <c r="P190" i="2" s="1"/>
  <c r="Q189" i="2"/>
  <c r="P189" i="2"/>
  <c r="Z188" i="2"/>
  <c r="M188" i="2"/>
  <c r="L188" i="2"/>
  <c r="K188" i="2"/>
  <c r="J188" i="2"/>
  <c r="I188" i="2"/>
  <c r="O188" i="2" s="1"/>
  <c r="Q188" i="2" s="1"/>
  <c r="H188" i="2"/>
  <c r="N188" i="2" s="1"/>
  <c r="P188" i="2" s="1"/>
  <c r="O187" i="2"/>
  <c r="Q187" i="2" s="1"/>
  <c r="N187" i="2"/>
  <c r="P187" i="2" s="1"/>
  <c r="O186" i="2"/>
  <c r="Q186" i="2" s="1"/>
  <c r="N186" i="2"/>
  <c r="P186" i="2" s="1"/>
  <c r="AB185" i="2"/>
  <c r="AB188" i="2" s="1"/>
  <c r="O185" i="2"/>
  <c r="Q185" i="2" s="1"/>
  <c r="N185" i="2"/>
  <c r="P185" i="2" s="1"/>
  <c r="Q184" i="2"/>
  <c r="P184" i="2"/>
  <c r="AB182" i="2"/>
  <c r="Z182" i="2"/>
  <c r="M182" i="2"/>
  <c r="O182" i="2" s="1"/>
  <c r="Q182" i="2" s="1"/>
  <c r="L182" i="2"/>
  <c r="K182" i="2"/>
  <c r="J182" i="2"/>
  <c r="I182" i="2"/>
  <c r="H182" i="2"/>
  <c r="O181" i="2"/>
  <c r="Q181" i="2" s="1"/>
  <c r="N181" i="2"/>
  <c r="P181" i="2" s="1"/>
  <c r="O180" i="2"/>
  <c r="Q180" i="2" s="1"/>
  <c r="N180" i="2"/>
  <c r="P180" i="2" s="1"/>
  <c r="AD179" i="2"/>
  <c r="O179" i="2"/>
  <c r="Q179" i="2" s="1"/>
  <c r="N179" i="2"/>
  <c r="P179" i="2" s="1"/>
  <c r="O178" i="2"/>
  <c r="Q178" i="2" s="1"/>
  <c r="N178" i="2"/>
  <c r="P178" i="2" s="1"/>
  <c r="O177" i="2"/>
  <c r="Q177" i="2" s="1"/>
  <c r="N177" i="2"/>
  <c r="P177" i="2" s="1"/>
  <c r="O176" i="2"/>
  <c r="Q176" i="2" s="1"/>
  <c r="N176" i="2"/>
  <c r="P176" i="2" s="1"/>
  <c r="O175" i="2"/>
  <c r="Q175" i="2" s="1"/>
  <c r="N175" i="2"/>
  <c r="P175" i="2" s="1"/>
  <c r="O174" i="2"/>
  <c r="Q174" i="2" s="1"/>
  <c r="N174" i="2"/>
  <c r="P174" i="2" s="1"/>
  <c r="AB173" i="2"/>
  <c r="O173" i="2"/>
  <c r="Q173" i="2" s="1"/>
  <c r="N173" i="2"/>
  <c r="P173" i="2" s="1"/>
  <c r="O172" i="2"/>
  <c r="Q172" i="2" s="1"/>
  <c r="N172" i="2"/>
  <c r="P172" i="2" s="1"/>
  <c r="Q171" i="2"/>
  <c r="P171" i="2"/>
  <c r="O169" i="2"/>
  <c r="Q169" i="2" s="1"/>
  <c r="N169" i="2"/>
  <c r="P169" i="2" s="1"/>
  <c r="AB168" i="2"/>
  <c r="Z168" i="2"/>
  <c r="M168" i="2"/>
  <c r="L168" i="2"/>
  <c r="K168" i="2"/>
  <c r="J168" i="2"/>
  <c r="I168" i="2"/>
  <c r="H168" i="2"/>
  <c r="N168" i="2" s="1"/>
  <c r="P168" i="2" s="1"/>
  <c r="Q167" i="2"/>
  <c r="P167" i="2"/>
  <c r="O167" i="2"/>
  <c r="N167" i="2"/>
  <c r="O166" i="2"/>
  <c r="Q166" i="2" s="1"/>
  <c r="N166" i="2"/>
  <c r="P166" i="2" s="1"/>
  <c r="Q165" i="2"/>
  <c r="P165" i="2"/>
  <c r="AB164" i="2"/>
  <c r="Z164" i="2"/>
  <c r="M164" i="2"/>
  <c r="L164" i="2"/>
  <c r="K164" i="2"/>
  <c r="J164" i="2"/>
  <c r="I164" i="2"/>
  <c r="O164" i="2" s="1"/>
  <c r="Q164" i="2" s="1"/>
  <c r="H164" i="2"/>
  <c r="N164" i="2" s="1"/>
  <c r="P164" i="2" s="1"/>
  <c r="O163" i="2"/>
  <c r="Q163" i="2" s="1"/>
  <c r="N163" i="2"/>
  <c r="P163" i="2" s="1"/>
  <c r="O162" i="2"/>
  <c r="Q162" i="2" s="1"/>
  <c r="N162" i="2"/>
  <c r="P162" i="2" s="1"/>
  <c r="O161" i="2"/>
  <c r="Q161" i="2" s="1"/>
  <c r="N161" i="2"/>
  <c r="P161" i="2" s="1"/>
  <c r="Q160" i="2"/>
  <c r="P160" i="2"/>
  <c r="AB159" i="2"/>
  <c r="Z159" i="2"/>
  <c r="M159" i="2"/>
  <c r="L159" i="2"/>
  <c r="K159" i="2"/>
  <c r="J159" i="2"/>
  <c r="I159" i="2"/>
  <c r="H159" i="2"/>
  <c r="N159" i="2" s="1"/>
  <c r="P159" i="2" s="1"/>
  <c r="Q158" i="2"/>
  <c r="O158" i="2"/>
  <c r="N158" i="2"/>
  <c r="P158" i="2" s="1"/>
  <c r="Q157" i="2"/>
  <c r="P157" i="2"/>
  <c r="AB156" i="2"/>
  <c r="Z156" i="2"/>
  <c r="M156" i="2"/>
  <c r="L156" i="2"/>
  <c r="K156" i="2"/>
  <c r="J156" i="2"/>
  <c r="I156" i="2"/>
  <c r="H156" i="2"/>
  <c r="N156" i="2" s="1"/>
  <c r="P156" i="2" s="1"/>
  <c r="O155" i="2"/>
  <c r="Q155" i="2" s="1"/>
  <c r="N155" i="2"/>
  <c r="P155" i="2" s="1"/>
  <c r="O154" i="2"/>
  <c r="Q154" i="2" s="1"/>
  <c r="N154" i="2"/>
  <c r="P154" i="2" s="1"/>
  <c r="O153" i="2"/>
  <c r="Q153" i="2" s="1"/>
  <c r="N153" i="2"/>
  <c r="P153" i="2" s="1"/>
  <c r="Q152" i="2"/>
  <c r="P152" i="2"/>
  <c r="AB151" i="2"/>
  <c r="Z151" i="2"/>
  <c r="M151" i="2"/>
  <c r="O151" i="2" s="1"/>
  <c r="Q151" i="2" s="1"/>
  <c r="L151" i="2"/>
  <c r="K151" i="2"/>
  <c r="J151" i="2"/>
  <c r="I151" i="2"/>
  <c r="H151" i="2"/>
  <c r="O150" i="2"/>
  <c r="Q150" i="2" s="1"/>
  <c r="N150" i="2"/>
  <c r="P150" i="2" s="1"/>
  <c r="O149" i="2"/>
  <c r="Q149" i="2" s="1"/>
  <c r="N149" i="2"/>
  <c r="P149" i="2" s="1"/>
  <c r="O148" i="2"/>
  <c r="Q148" i="2" s="1"/>
  <c r="N148" i="2"/>
  <c r="P148" i="2" s="1"/>
  <c r="O147" i="2"/>
  <c r="Q147" i="2" s="1"/>
  <c r="N147" i="2"/>
  <c r="P147" i="2" s="1"/>
  <c r="O146" i="2"/>
  <c r="Q146" i="2" s="1"/>
  <c r="N146" i="2"/>
  <c r="P146" i="2" s="1"/>
  <c r="Q145" i="2"/>
  <c r="P145" i="2"/>
  <c r="AB144" i="2"/>
  <c r="Z144" i="2"/>
  <c r="M144" i="2"/>
  <c r="L144" i="2"/>
  <c r="K144" i="2"/>
  <c r="J144" i="2"/>
  <c r="I144" i="2"/>
  <c r="H144" i="2"/>
  <c r="O143" i="2"/>
  <c r="Q143" i="2" s="1"/>
  <c r="N143" i="2"/>
  <c r="P143" i="2" s="1"/>
  <c r="Q142" i="2"/>
  <c r="P142" i="2"/>
  <c r="AB141" i="2"/>
  <c r="Z141" i="2"/>
  <c r="M141" i="2"/>
  <c r="L141" i="2"/>
  <c r="N141" i="2" s="1"/>
  <c r="P141" i="2" s="1"/>
  <c r="K141" i="2"/>
  <c r="J141" i="2"/>
  <c r="I141" i="2"/>
  <c r="H141" i="2"/>
  <c r="O140" i="2"/>
  <c r="Q140" i="2" s="1"/>
  <c r="N140" i="2"/>
  <c r="P140" i="2" s="1"/>
  <c r="O139" i="2"/>
  <c r="Q139" i="2" s="1"/>
  <c r="N139" i="2"/>
  <c r="P139" i="2" s="1"/>
  <c r="O138" i="2"/>
  <c r="Q138" i="2" s="1"/>
  <c r="N138" i="2"/>
  <c r="P138" i="2" s="1"/>
  <c r="Q137" i="2"/>
  <c r="O137" i="2"/>
  <c r="N137" i="2"/>
  <c r="P137" i="2" s="1"/>
  <c r="Q136" i="2"/>
  <c r="P136" i="2"/>
  <c r="AB135" i="2"/>
  <c r="Z135" i="2"/>
  <c r="M135" i="2"/>
  <c r="L135" i="2"/>
  <c r="K135" i="2"/>
  <c r="J135" i="2"/>
  <c r="N135" i="2" s="1"/>
  <c r="P135" i="2" s="1"/>
  <c r="I135" i="2"/>
  <c r="H135" i="2"/>
  <c r="O134" i="2"/>
  <c r="Q134" i="2" s="1"/>
  <c r="N134" i="2"/>
  <c r="P134" i="2" s="1"/>
  <c r="O133" i="2"/>
  <c r="Q133" i="2" s="1"/>
  <c r="N133" i="2"/>
  <c r="P133" i="2" s="1"/>
  <c r="O132" i="2"/>
  <c r="Q132" i="2" s="1"/>
  <c r="N132" i="2"/>
  <c r="P132" i="2" s="1"/>
  <c r="Q131" i="2"/>
  <c r="P131" i="2"/>
  <c r="AB130" i="2"/>
  <c r="Z130" i="2"/>
  <c r="M130" i="2"/>
  <c r="L130" i="2"/>
  <c r="K130" i="2"/>
  <c r="J130" i="2"/>
  <c r="N130" i="2" s="1"/>
  <c r="P130" i="2" s="1"/>
  <c r="I130" i="2"/>
  <c r="O130" i="2" s="1"/>
  <c r="Q130" i="2" s="1"/>
  <c r="H130" i="2"/>
  <c r="O129" i="2"/>
  <c r="Q129" i="2" s="1"/>
  <c r="N129" i="2"/>
  <c r="P129" i="2" s="1"/>
  <c r="O128" i="2"/>
  <c r="Q128" i="2" s="1"/>
  <c r="N128" i="2"/>
  <c r="P128" i="2" s="1"/>
  <c r="O127" i="2"/>
  <c r="Q127" i="2" s="1"/>
  <c r="N127" i="2"/>
  <c r="P127" i="2" s="1"/>
  <c r="P126" i="2"/>
  <c r="O126" i="2"/>
  <c r="Q126" i="2" s="1"/>
  <c r="N126" i="2"/>
  <c r="Q125" i="2"/>
  <c r="P125" i="2"/>
  <c r="AB124" i="2"/>
  <c r="Z124" i="2"/>
  <c r="M124" i="2"/>
  <c r="L124" i="2"/>
  <c r="K124" i="2"/>
  <c r="J124" i="2"/>
  <c r="I124" i="2"/>
  <c r="H124" i="2"/>
  <c r="O123" i="2"/>
  <c r="Q123" i="2" s="1"/>
  <c r="N123" i="2"/>
  <c r="P123" i="2" s="1"/>
  <c r="O122" i="2"/>
  <c r="Q122" i="2" s="1"/>
  <c r="N122" i="2"/>
  <c r="P122" i="2" s="1"/>
  <c r="O121" i="2"/>
  <c r="Q121" i="2" s="1"/>
  <c r="N121" i="2"/>
  <c r="P121" i="2" s="1"/>
  <c r="O120" i="2"/>
  <c r="Q120" i="2" s="1"/>
  <c r="N120" i="2"/>
  <c r="P120" i="2" s="1"/>
  <c r="O119" i="2"/>
  <c r="Q119" i="2" s="1"/>
  <c r="N119" i="2"/>
  <c r="P119" i="2" s="1"/>
  <c r="Q118" i="2"/>
  <c r="P118" i="2"/>
  <c r="Q117" i="2"/>
  <c r="P117" i="2"/>
  <c r="M115" i="2"/>
  <c r="L115" i="2"/>
  <c r="K115" i="2"/>
  <c r="J115" i="2"/>
  <c r="I115" i="2"/>
  <c r="O115" i="2" s="1"/>
  <c r="Q115" i="2" s="1"/>
  <c r="H115" i="2"/>
  <c r="O114" i="2"/>
  <c r="Q114" i="2" s="1"/>
  <c r="N114" i="2"/>
  <c r="P114" i="2" s="1"/>
  <c r="O113" i="2"/>
  <c r="Q113" i="2" s="1"/>
  <c r="N113" i="2"/>
  <c r="P113" i="2" s="1"/>
  <c r="Q112" i="2"/>
  <c r="P112" i="2"/>
  <c r="AB111" i="2"/>
  <c r="Z111" i="2"/>
  <c r="M111" i="2"/>
  <c r="L111" i="2"/>
  <c r="K111" i="2"/>
  <c r="J111" i="2"/>
  <c r="I111" i="2"/>
  <c r="H111" i="2"/>
  <c r="O110" i="2"/>
  <c r="Q110" i="2" s="1"/>
  <c r="N110" i="2"/>
  <c r="P110" i="2" s="1"/>
  <c r="O109" i="2"/>
  <c r="Q109" i="2" s="1"/>
  <c r="N109" i="2"/>
  <c r="P109" i="2" s="1"/>
  <c r="O108" i="2"/>
  <c r="Q108" i="2" s="1"/>
  <c r="N108" i="2"/>
  <c r="P108" i="2" s="1"/>
  <c r="O107" i="2"/>
  <c r="Q107" i="2" s="1"/>
  <c r="N107" i="2"/>
  <c r="P107" i="2" s="1"/>
  <c r="O106" i="2"/>
  <c r="Q106" i="2" s="1"/>
  <c r="N106" i="2"/>
  <c r="P106" i="2" s="1"/>
  <c r="O105" i="2"/>
  <c r="Q105" i="2" s="1"/>
  <c r="N105" i="2"/>
  <c r="P105" i="2" s="1"/>
  <c r="O104" i="2"/>
  <c r="Q104" i="2" s="1"/>
  <c r="N104" i="2"/>
  <c r="P104" i="2" s="1"/>
  <c r="Q103" i="2"/>
  <c r="P103" i="2"/>
  <c r="AB102" i="2"/>
  <c r="Z102" i="2"/>
  <c r="M102" i="2"/>
  <c r="L102" i="2"/>
  <c r="K102" i="2"/>
  <c r="J102" i="2"/>
  <c r="I102" i="2"/>
  <c r="H102" i="2"/>
  <c r="O100" i="2"/>
  <c r="Q100" i="2" s="1"/>
  <c r="N100" i="2"/>
  <c r="P100" i="2" s="1"/>
  <c r="O99" i="2"/>
  <c r="Q99" i="2" s="1"/>
  <c r="N99" i="2"/>
  <c r="P99" i="2" s="1"/>
  <c r="O98" i="2"/>
  <c r="Q98" i="2" s="1"/>
  <c r="N98" i="2"/>
  <c r="P98" i="2" s="1"/>
  <c r="O97" i="2"/>
  <c r="Q97" i="2" s="1"/>
  <c r="N97" i="2"/>
  <c r="P97" i="2" s="1"/>
  <c r="O96" i="2"/>
  <c r="Q96" i="2" s="1"/>
  <c r="N96" i="2"/>
  <c r="P96" i="2" s="1"/>
  <c r="Q95" i="2"/>
  <c r="P95" i="2"/>
  <c r="O95" i="2"/>
  <c r="N95" i="2"/>
  <c r="O94" i="2"/>
  <c r="Q94" i="2" s="1"/>
  <c r="N94" i="2"/>
  <c r="P94" i="2" s="1"/>
  <c r="O93" i="2"/>
  <c r="Q93" i="2" s="1"/>
  <c r="N93" i="2"/>
  <c r="P93" i="2" s="1"/>
  <c r="O92" i="2"/>
  <c r="Q92" i="2" s="1"/>
  <c r="N92" i="2"/>
  <c r="P92" i="2" s="1"/>
  <c r="AB90" i="2"/>
  <c r="Z90" i="2"/>
  <c r="M90" i="2"/>
  <c r="L90" i="2"/>
  <c r="K90" i="2"/>
  <c r="J90" i="2"/>
  <c r="I90" i="2"/>
  <c r="H90" i="2"/>
  <c r="O89" i="2"/>
  <c r="Q89" i="2" s="1"/>
  <c r="N89" i="2"/>
  <c r="P89" i="2" s="1"/>
  <c r="O88" i="2"/>
  <c r="Q88" i="2" s="1"/>
  <c r="N88" i="2"/>
  <c r="P88" i="2" s="1"/>
  <c r="Q87" i="2"/>
  <c r="O87" i="2"/>
  <c r="N87" i="2"/>
  <c r="P87" i="2" s="1"/>
  <c r="P86" i="2"/>
  <c r="O86" i="2"/>
  <c r="Q86" i="2" s="1"/>
  <c r="N86" i="2"/>
  <c r="AB84" i="2"/>
  <c r="Z84" i="2"/>
  <c r="M84" i="2"/>
  <c r="L84" i="2"/>
  <c r="K84" i="2"/>
  <c r="J84" i="2"/>
  <c r="I84" i="2"/>
  <c r="O84" i="2" s="1"/>
  <c r="Q84" i="2" s="1"/>
  <c r="H84" i="2"/>
  <c r="O83" i="2"/>
  <c r="Q83" i="2" s="1"/>
  <c r="N83" i="2"/>
  <c r="P83" i="2" s="1"/>
  <c r="O82" i="2"/>
  <c r="Q82" i="2" s="1"/>
  <c r="N82" i="2"/>
  <c r="P82" i="2" s="1"/>
  <c r="Q81" i="2"/>
  <c r="P81" i="2"/>
  <c r="O80" i="2"/>
  <c r="Q80" i="2" s="1"/>
  <c r="N80" i="2"/>
  <c r="P80" i="2" s="1"/>
  <c r="Q79" i="2"/>
  <c r="P79" i="2"/>
  <c r="O79" i="2"/>
  <c r="N79" i="2"/>
  <c r="O78" i="2"/>
  <c r="Q78" i="2" s="1"/>
  <c r="N78" i="2"/>
  <c r="P78" i="2" s="1"/>
  <c r="O77" i="2"/>
  <c r="Q77" i="2" s="1"/>
  <c r="N77" i="2"/>
  <c r="P77" i="2" s="1"/>
  <c r="P76" i="2"/>
  <c r="O76" i="2"/>
  <c r="Q76" i="2" s="1"/>
  <c r="N76" i="2"/>
  <c r="O75" i="2"/>
  <c r="Q75" i="2" s="1"/>
  <c r="N75" i="2"/>
  <c r="P75" i="2" s="1"/>
  <c r="O74" i="2"/>
  <c r="Q74" i="2" s="1"/>
  <c r="N74" i="2"/>
  <c r="P74" i="2" s="1"/>
  <c r="O73" i="2"/>
  <c r="Q73" i="2" s="1"/>
  <c r="N73" i="2"/>
  <c r="P73" i="2" s="1"/>
  <c r="AB71" i="2"/>
  <c r="Z71" i="2"/>
  <c r="M71" i="2"/>
  <c r="L71" i="2"/>
  <c r="K71" i="2"/>
  <c r="J71" i="2"/>
  <c r="I71" i="2"/>
  <c r="H71" i="2"/>
  <c r="O70" i="2"/>
  <c r="Q70" i="2" s="1"/>
  <c r="N70" i="2"/>
  <c r="P70" i="2" s="1"/>
  <c r="O69" i="2"/>
  <c r="Q69" i="2" s="1"/>
  <c r="N69" i="2"/>
  <c r="P69" i="2" s="1"/>
  <c r="O68" i="2"/>
  <c r="Q68" i="2" s="1"/>
  <c r="N68" i="2"/>
  <c r="P68" i="2" s="1"/>
  <c r="Q67" i="2"/>
  <c r="O67" i="2"/>
  <c r="N67" i="2"/>
  <c r="P67" i="2" s="1"/>
  <c r="O66" i="2"/>
  <c r="Q66" i="2" s="1"/>
  <c r="N66" i="2"/>
  <c r="P66" i="2" s="1"/>
  <c r="Q65" i="2"/>
  <c r="P65" i="2"/>
  <c r="O65" i="2"/>
  <c r="N65" i="2"/>
  <c r="O63" i="2"/>
  <c r="Q63" i="2" s="1"/>
  <c r="N63" i="2"/>
  <c r="P63" i="2" s="1"/>
  <c r="AB62" i="2"/>
  <c r="Z62" i="2"/>
  <c r="M62" i="2"/>
  <c r="L62" i="2"/>
  <c r="K62" i="2"/>
  <c r="J62" i="2"/>
  <c r="I62" i="2"/>
  <c r="O62" i="2" s="1"/>
  <c r="Q62" i="2" s="1"/>
  <c r="H62" i="2"/>
  <c r="P61" i="2"/>
  <c r="O61" i="2"/>
  <c r="Q61" i="2" s="1"/>
  <c r="N61" i="2"/>
  <c r="O60" i="2"/>
  <c r="Q60" i="2" s="1"/>
  <c r="N60" i="2"/>
  <c r="P60" i="2" s="1"/>
  <c r="O59" i="2"/>
  <c r="Q59" i="2" s="1"/>
  <c r="N59" i="2"/>
  <c r="P59" i="2" s="1"/>
  <c r="O58" i="2"/>
  <c r="Q58" i="2" s="1"/>
  <c r="N58" i="2"/>
  <c r="P58" i="2" s="1"/>
  <c r="O57" i="2"/>
  <c r="Q57" i="2" s="1"/>
  <c r="N57" i="2"/>
  <c r="P57" i="2" s="1"/>
  <c r="O56" i="2"/>
  <c r="Q56" i="2" s="1"/>
  <c r="N56" i="2"/>
  <c r="P56" i="2" s="1"/>
  <c r="O55" i="2"/>
  <c r="Q55" i="2" s="1"/>
  <c r="N55" i="2"/>
  <c r="P55" i="2" s="1"/>
  <c r="O54" i="2"/>
  <c r="Q54" i="2" s="1"/>
  <c r="N54" i="2"/>
  <c r="P54" i="2" s="1"/>
  <c r="O53" i="2"/>
  <c r="Q53" i="2" s="1"/>
  <c r="N53" i="2"/>
  <c r="P53" i="2" s="1"/>
  <c r="O52" i="2"/>
  <c r="Q52" i="2" s="1"/>
  <c r="N52" i="2"/>
  <c r="P52" i="2" s="1"/>
  <c r="O51" i="2"/>
  <c r="Q51" i="2" s="1"/>
  <c r="N51" i="2"/>
  <c r="P51" i="2" s="1"/>
  <c r="O50" i="2"/>
  <c r="Q50" i="2" s="1"/>
  <c r="N50" i="2"/>
  <c r="P50" i="2" s="1"/>
  <c r="O49" i="2"/>
  <c r="Q49" i="2" s="1"/>
  <c r="N49" i="2"/>
  <c r="P49" i="2" s="1"/>
  <c r="P48" i="2"/>
  <c r="O48" i="2"/>
  <c r="Q48" i="2" s="1"/>
  <c r="N48" i="2"/>
  <c r="O47" i="2"/>
  <c r="Q47" i="2" s="1"/>
  <c r="N47" i="2"/>
  <c r="P47" i="2" s="1"/>
  <c r="AB45" i="2"/>
  <c r="Z45" i="2"/>
  <c r="M45" i="2"/>
  <c r="L45" i="2"/>
  <c r="K45" i="2"/>
  <c r="O45" i="2" s="1"/>
  <c r="Q45" i="2" s="1"/>
  <c r="J45" i="2"/>
  <c r="N45" i="2" s="1"/>
  <c r="P45" i="2" s="1"/>
  <c r="I45" i="2"/>
  <c r="H45" i="2"/>
  <c r="O44" i="2"/>
  <c r="Q44" i="2" s="1"/>
  <c r="N44" i="2"/>
  <c r="P44" i="2" s="1"/>
  <c r="P43" i="2"/>
  <c r="O43" i="2"/>
  <c r="Q43" i="2" s="1"/>
  <c r="N43" i="2"/>
  <c r="O42" i="2"/>
  <c r="Q42" i="2" s="1"/>
  <c r="N42" i="2"/>
  <c r="P42" i="2" s="1"/>
  <c r="Q41" i="2"/>
  <c r="O41" i="2"/>
  <c r="N41" i="2"/>
  <c r="P41" i="2" s="1"/>
  <c r="AB39" i="2"/>
  <c r="Z39" i="2"/>
  <c r="M39" i="2"/>
  <c r="L39" i="2"/>
  <c r="K39" i="2"/>
  <c r="J39" i="2"/>
  <c r="J116" i="2" s="1"/>
  <c r="I39" i="2"/>
  <c r="O39" i="2" s="1"/>
  <c r="Q39" i="2" s="1"/>
  <c r="H39" i="2"/>
  <c r="O38" i="2"/>
  <c r="Q38" i="2" s="1"/>
  <c r="N38" i="2"/>
  <c r="P38" i="2" s="1"/>
  <c r="O37" i="2"/>
  <c r="Q37" i="2" s="1"/>
  <c r="N37" i="2"/>
  <c r="P37" i="2" s="1"/>
  <c r="Q36" i="2"/>
  <c r="N36" i="2"/>
  <c r="P36" i="2" s="1"/>
  <c r="O35" i="2"/>
  <c r="Q35" i="2" s="1"/>
  <c r="N35" i="2"/>
  <c r="P35" i="2" s="1"/>
  <c r="Q34" i="2"/>
  <c r="O34" i="2"/>
  <c r="N34" i="2"/>
  <c r="P34" i="2" s="1"/>
  <c r="O33" i="2"/>
  <c r="Q33" i="2" s="1"/>
  <c r="N33" i="2"/>
  <c r="P33" i="2" s="1"/>
  <c r="O32" i="2"/>
  <c r="Q32" i="2" s="1"/>
  <c r="N32" i="2"/>
  <c r="P32" i="2" s="1"/>
  <c r="O31" i="2"/>
  <c r="Q31" i="2" s="1"/>
  <c r="N31" i="2"/>
  <c r="P31" i="2" s="1"/>
  <c r="O30" i="2"/>
  <c r="Q30" i="2" s="1"/>
  <c r="N30" i="2"/>
  <c r="P30" i="2" s="1"/>
  <c r="Q29" i="2"/>
  <c r="O29" i="2"/>
  <c r="N29" i="2"/>
  <c r="P29" i="2" s="1"/>
  <c r="O28" i="2"/>
  <c r="Q28" i="2" s="1"/>
  <c r="N28" i="2"/>
  <c r="P28" i="2" s="1"/>
  <c r="O27" i="2"/>
  <c r="Q27" i="2" s="1"/>
  <c r="N27" i="2"/>
  <c r="P27" i="2" s="1"/>
  <c r="O26" i="2"/>
  <c r="Q26" i="2" s="1"/>
  <c r="N26" i="2"/>
  <c r="P26" i="2" s="1"/>
  <c r="O25" i="2"/>
  <c r="Q25" i="2" s="1"/>
  <c r="N25" i="2"/>
  <c r="P25" i="2" s="1"/>
  <c r="O24" i="2"/>
  <c r="Q24" i="2" s="1"/>
  <c r="N24" i="2"/>
  <c r="P24" i="2" s="1"/>
  <c r="O23" i="2"/>
  <c r="Q23" i="2" s="1"/>
  <c r="N23" i="2"/>
  <c r="P23" i="2" s="1"/>
  <c r="O22" i="2"/>
  <c r="Q22" i="2" s="1"/>
  <c r="N22" i="2"/>
  <c r="P22" i="2" s="1"/>
  <c r="O21" i="2"/>
  <c r="Q21" i="2" s="1"/>
  <c r="N21" i="2"/>
  <c r="P21" i="2" s="1"/>
  <c r="P20" i="2"/>
  <c r="O20" i="2"/>
  <c r="Q20" i="2" s="1"/>
  <c r="N20" i="2"/>
  <c r="O19" i="2"/>
  <c r="Q19" i="2" s="1"/>
  <c r="N19" i="2"/>
  <c r="P19" i="2" s="1"/>
  <c r="O18" i="2"/>
  <c r="Q18" i="2" s="1"/>
  <c r="N18" i="2"/>
  <c r="P18" i="2" s="1"/>
  <c r="O17" i="2"/>
  <c r="Q17" i="2" s="1"/>
  <c r="N17" i="2"/>
  <c r="P17" i="2" s="1"/>
  <c r="AB15" i="2"/>
  <c r="Z15" i="2"/>
  <c r="M15" i="2"/>
  <c r="L15" i="2"/>
  <c r="N15" i="2" s="1"/>
  <c r="P15" i="2" s="1"/>
  <c r="K15" i="2"/>
  <c r="J15" i="2"/>
  <c r="I15" i="2"/>
  <c r="H15" i="2"/>
  <c r="O14" i="2"/>
  <c r="Q14" i="2" s="1"/>
  <c r="N14" i="2"/>
  <c r="P14" i="2" s="1"/>
  <c r="O13" i="2"/>
  <c r="Q13" i="2" s="1"/>
  <c r="N13" i="2"/>
  <c r="P13" i="2" s="1"/>
  <c r="Q12" i="2"/>
  <c r="O12" i="2"/>
  <c r="N12" i="2"/>
  <c r="P12" i="2" s="1"/>
  <c r="O11" i="2"/>
  <c r="Q11" i="2" s="1"/>
  <c r="N11" i="2"/>
  <c r="P11" i="2" s="1"/>
  <c r="O10" i="2"/>
  <c r="Q10" i="2" s="1"/>
  <c r="N10" i="2"/>
  <c r="P10" i="2" s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491" i="1"/>
  <c r="K364" i="5" l="1"/>
  <c r="K552" i="5" s="1"/>
  <c r="L364" i="5"/>
  <c r="AF334" i="5"/>
  <c r="AC433" i="5"/>
  <c r="AH433" i="5" s="1"/>
  <c r="AD433" i="5"/>
  <c r="AC435" i="5"/>
  <c r="AH435" i="5" s="1"/>
  <c r="AD435" i="5"/>
  <c r="AC437" i="5"/>
  <c r="AH437" i="5" s="1"/>
  <c r="AD437" i="5"/>
  <c r="AC434" i="5"/>
  <c r="AH434" i="5" s="1"/>
  <c r="AD434" i="5"/>
  <c r="AC432" i="5"/>
  <c r="AH432" i="5" s="1"/>
  <c r="AD432" i="5"/>
  <c r="AC439" i="5"/>
  <c r="AH439" i="5" s="1"/>
  <c r="AD439" i="5"/>
  <c r="J364" i="5"/>
  <c r="J552" i="5" s="1"/>
  <c r="N363" i="5"/>
  <c r="P363" i="5" s="1"/>
  <c r="K183" i="5"/>
  <c r="K220" i="5" s="1"/>
  <c r="K553" i="5" s="1"/>
  <c r="K580" i="5" s="1"/>
  <c r="K1" i="5" s="1"/>
  <c r="AC436" i="5"/>
  <c r="AH436" i="5" s="1"/>
  <c r="AD436" i="5"/>
  <c r="J220" i="5"/>
  <c r="J553" i="5" s="1"/>
  <c r="J580" i="5" s="1"/>
  <c r="J1" i="5" s="1"/>
  <c r="Z552" i="5"/>
  <c r="N170" i="5"/>
  <c r="P170" i="5" s="1"/>
  <c r="AC438" i="5"/>
  <c r="AH438" i="5" s="1"/>
  <c r="AD438" i="5"/>
  <c r="M364" i="5"/>
  <c r="M552" i="5" s="1"/>
  <c r="O363" i="5"/>
  <c r="Q363" i="5" s="1"/>
  <c r="AC440" i="5"/>
  <c r="AH440" i="5" s="1"/>
  <c r="AD440" i="5"/>
  <c r="O489" i="5"/>
  <c r="Q489" i="5" s="1"/>
  <c r="AD495" i="5"/>
  <c r="AD548" i="5" s="1"/>
  <c r="AB183" i="5"/>
  <c r="AB220" i="5" s="1"/>
  <c r="O170" i="5"/>
  <c r="Q170" i="5" s="1"/>
  <c r="Z183" i="5"/>
  <c r="Z220" i="5" s="1"/>
  <c r="L552" i="5"/>
  <c r="AB495" i="5"/>
  <c r="AF220" i="5"/>
  <c r="AC495" i="5"/>
  <c r="O116" i="5"/>
  <c r="Q116" i="5" s="1"/>
  <c r="I183" i="5"/>
  <c r="O423" i="5"/>
  <c r="Q423" i="5" s="1"/>
  <c r="I428" i="5"/>
  <c r="O428" i="5" s="1"/>
  <c r="Q428" i="5" s="1"/>
  <c r="AK441" i="5"/>
  <c r="N333" i="5"/>
  <c r="P333" i="5" s="1"/>
  <c r="H364" i="5"/>
  <c r="N489" i="5"/>
  <c r="P489" i="5" s="1"/>
  <c r="I579" i="5"/>
  <c r="O579" i="5" s="1"/>
  <c r="Q579" i="5" s="1"/>
  <c r="O569" i="5"/>
  <c r="Q569" i="5" s="1"/>
  <c r="M183" i="5"/>
  <c r="M220" i="5" s="1"/>
  <c r="O333" i="5"/>
  <c r="Q333" i="5" s="1"/>
  <c r="I364" i="5"/>
  <c r="H579" i="5"/>
  <c r="N579" i="5" s="1"/>
  <c r="P579" i="5" s="1"/>
  <c r="N569" i="5"/>
  <c r="P569" i="5" s="1"/>
  <c r="L183" i="5"/>
  <c r="L220" i="5" s="1"/>
  <c r="N116" i="5"/>
  <c r="P116" i="5" s="1"/>
  <c r="H183" i="5"/>
  <c r="AC431" i="5"/>
  <c r="N428" i="5"/>
  <c r="P428" i="5" s="1"/>
  <c r="AF431" i="2"/>
  <c r="AC441" i="2"/>
  <c r="AF441" i="2" s="1"/>
  <c r="AD441" i="2"/>
  <c r="AI441" i="2"/>
  <c r="AC183" i="2"/>
  <c r="AC220" i="2" s="1"/>
  <c r="O234" i="2"/>
  <c r="Q234" i="2" s="1"/>
  <c r="N441" i="2"/>
  <c r="P441" i="2" s="1"/>
  <c r="O441" i="2"/>
  <c r="Q441" i="2" s="1"/>
  <c r="N454" i="2"/>
  <c r="P454" i="2" s="1"/>
  <c r="N234" i="2"/>
  <c r="P234" i="2" s="1"/>
  <c r="O215" i="2"/>
  <c r="Q215" i="2" s="1"/>
  <c r="I219" i="2"/>
  <c r="M116" i="2"/>
  <c r="AB116" i="2"/>
  <c r="O219" i="2"/>
  <c r="Q219" i="2" s="1"/>
  <c r="Z170" i="2"/>
  <c r="AB170" i="2"/>
  <c r="N361" i="2"/>
  <c r="P361" i="2" s="1"/>
  <c r="H363" i="2"/>
  <c r="N363" i="2" s="1"/>
  <c r="P363" i="2" s="1"/>
  <c r="N144" i="2"/>
  <c r="P144" i="2" s="1"/>
  <c r="O144" i="2"/>
  <c r="Q144" i="2" s="1"/>
  <c r="O455" i="2"/>
  <c r="Q455" i="2" s="1"/>
  <c r="N405" i="2"/>
  <c r="P405" i="2" s="1"/>
  <c r="N182" i="2"/>
  <c r="P182" i="2" s="1"/>
  <c r="O371" i="2"/>
  <c r="Q371" i="2" s="1"/>
  <c r="N90" i="2"/>
  <c r="P90" i="2" s="1"/>
  <c r="O159" i="2"/>
  <c r="Q159" i="2" s="1"/>
  <c r="I333" i="2"/>
  <c r="N307" i="2"/>
  <c r="P307" i="2" s="1"/>
  <c r="O328" i="2"/>
  <c r="Q328" i="2" s="1"/>
  <c r="O90" i="2"/>
  <c r="Q90" i="2" s="1"/>
  <c r="J333" i="2"/>
  <c r="J364" i="2" s="1"/>
  <c r="O376" i="2"/>
  <c r="Q376" i="2" s="1"/>
  <c r="H333" i="2"/>
  <c r="H364" i="2" s="1"/>
  <c r="N364" i="2" s="1"/>
  <c r="P364" i="2" s="1"/>
  <c r="AB363" i="2"/>
  <c r="O141" i="2"/>
  <c r="Q141" i="2" s="1"/>
  <c r="K333" i="2"/>
  <c r="K364" i="2" s="1"/>
  <c r="O280" i="2"/>
  <c r="Q280" i="2" s="1"/>
  <c r="J548" i="2"/>
  <c r="O405" i="2"/>
  <c r="Q405" i="2" s="1"/>
  <c r="N84" i="2"/>
  <c r="P84" i="2" s="1"/>
  <c r="N115" i="2"/>
  <c r="P115" i="2" s="1"/>
  <c r="N218" i="2"/>
  <c r="P218" i="2" s="1"/>
  <c r="L333" i="2"/>
  <c r="L364" i="2" s="1"/>
  <c r="O568" i="2"/>
  <c r="Q568" i="2" s="1"/>
  <c r="N102" i="2"/>
  <c r="P102" i="2" s="1"/>
  <c r="N62" i="2"/>
  <c r="P62" i="2" s="1"/>
  <c r="O156" i="2"/>
  <c r="Q156" i="2" s="1"/>
  <c r="Z116" i="2"/>
  <c r="Z183" i="2" s="1"/>
  <c r="Z220" i="2" s="1"/>
  <c r="N198" i="2"/>
  <c r="P198" i="2" s="1"/>
  <c r="N563" i="2"/>
  <c r="P563" i="2" s="1"/>
  <c r="O301" i="2"/>
  <c r="Q301" i="2" s="1"/>
  <c r="AE547" i="2"/>
  <c r="O102" i="2"/>
  <c r="Q102" i="2" s="1"/>
  <c r="O168" i="2"/>
  <c r="Q168" i="2" s="1"/>
  <c r="O135" i="2"/>
  <c r="Q135" i="2" s="1"/>
  <c r="M333" i="2"/>
  <c r="M364" i="2" s="1"/>
  <c r="M552" i="2" s="1"/>
  <c r="O198" i="2"/>
  <c r="Q198" i="2" s="1"/>
  <c r="O563" i="2"/>
  <c r="Q563" i="2" s="1"/>
  <c r="O71" i="2"/>
  <c r="Q71" i="2" s="1"/>
  <c r="O111" i="2"/>
  <c r="Q111" i="2" s="1"/>
  <c r="J569" i="2"/>
  <c r="J579" i="2" s="1"/>
  <c r="O576" i="2"/>
  <c r="Q576" i="2" s="1"/>
  <c r="N111" i="2"/>
  <c r="P111" i="2" s="1"/>
  <c r="N71" i="2"/>
  <c r="P71" i="2" s="1"/>
  <c r="N428" i="2"/>
  <c r="P428" i="2" s="1"/>
  <c r="AB428" i="2"/>
  <c r="AD423" i="2"/>
  <c r="AD215" i="2"/>
  <c r="K548" i="2"/>
  <c r="O547" i="2"/>
  <c r="Q547" i="2" s="1"/>
  <c r="N455" i="2"/>
  <c r="P455" i="2" s="1"/>
  <c r="H489" i="2"/>
  <c r="N547" i="2"/>
  <c r="P547" i="2" s="1"/>
  <c r="N568" i="2"/>
  <c r="P568" i="2" s="1"/>
  <c r="H569" i="2"/>
  <c r="L489" i="2"/>
  <c r="O551" i="2"/>
  <c r="Q551" i="2" s="1"/>
  <c r="H116" i="2"/>
  <c r="N39" i="2"/>
  <c r="P39" i="2" s="1"/>
  <c r="I489" i="2"/>
  <c r="N469" i="2"/>
  <c r="P469" i="2" s="1"/>
  <c r="O469" i="2"/>
  <c r="Q469" i="2" s="1"/>
  <c r="I364" i="2"/>
  <c r="O333" i="2"/>
  <c r="Q333" i="2" s="1"/>
  <c r="N201" i="2"/>
  <c r="P201" i="2" s="1"/>
  <c r="N215" i="2"/>
  <c r="P215" i="2" s="1"/>
  <c r="J219" i="2"/>
  <c r="N219" i="2" s="1"/>
  <c r="P219" i="2" s="1"/>
  <c r="O257" i="2"/>
  <c r="Q257" i="2" s="1"/>
  <c r="N518" i="2"/>
  <c r="P518" i="2" s="1"/>
  <c r="H548" i="2"/>
  <c r="N548" i="2" s="1"/>
  <c r="P548" i="2" s="1"/>
  <c r="H170" i="2"/>
  <c r="N170" i="2" s="1"/>
  <c r="P170" i="2" s="1"/>
  <c r="N225" i="2"/>
  <c r="P225" i="2" s="1"/>
  <c r="I548" i="2"/>
  <c r="O548" i="2" s="1"/>
  <c r="Q548" i="2" s="1"/>
  <c r="O518" i="2"/>
  <c r="Q518" i="2" s="1"/>
  <c r="K116" i="2"/>
  <c r="L116" i="2"/>
  <c r="K423" i="2"/>
  <c r="K428" i="2" s="1"/>
  <c r="O428" i="2" s="1"/>
  <c r="Q428" i="2" s="1"/>
  <c r="L423" i="2"/>
  <c r="L428" i="2" s="1"/>
  <c r="I170" i="2"/>
  <c r="O124" i="2"/>
  <c r="Q124" i="2" s="1"/>
  <c r="O361" i="2"/>
  <c r="Q361" i="2" s="1"/>
  <c r="I363" i="2"/>
  <c r="O363" i="2" s="1"/>
  <c r="Q363" i="2" s="1"/>
  <c r="O454" i="2"/>
  <c r="Q454" i="2" s="1"/>
  <c r="N423" i="2"/>
  <c r="P423" i="2" s="1"/>
  <c r="O225" i="2"/>
  <c r="Q225" i="2" s="1"/>
  <c r="J170" i="2"/>
  <c r="J183" i="2" s="1"/>
  <c r="J220" i="2" s="1"/>
  <c r="N124" i="2"/>
  <c r="P124" i="2" s="1"/>
  <c r="Z333" i="2"/>
  <c r="Z364" i="2" s="1"/>
  <c r="AB333" i="2"/>
  <c r="AB364" i="2" s="1"/>
  <c r="L170" i="2"/>
  <c r="M170" i="2"/>
  <c r="M183" i="2" s="1"/>
  <c r="M220" i="2" s="1"/>
  <c r="N342" i="2"/>
  <c r="P342" i="2" s="1"/>
  <c r="J489" i="2"/>
  <c r="J552" i="2" s="1"/>
  <c r="K170" i="2"/>
  <c r="N151" i="2"/>
  <c r="P151" i="2" s="1"/>
  <c r="O342" i="2"/>
  <c r="Q342" i="2" s="1"/>
  <c r="K489" i="2"/>
  <c r="N578" i="2"/>
  <c r="P578" i="2" s="1"/>
  <c r="Z489" i="2"/>
  <c r="AE441" i="2"/>
  <c r="AB376" i="2"/>
  <c r="I569" i="2"/>
  <c r="O15" i="2"/>
  <c r="Q15" i="2" s="1"/>
  <c r="I116" i="2"/>
  <c r="Z548" i="2"/>
  <c r="AC179" i="1"/>
  <c r="L553" i="5" l="1"/>
  <c r="L580" i="5" s="1"/>
  <c r="L1" i="5" s="1"/>
  <c r="Z553" i="5"/>
  <c r="Z580" i="5" s="1"/>
  <c r="Z1" i="5" s="1"/>
  <c r="AD441" i="5"/>
  <c r="M553" i="5"/>
  <c r="M580" i="5" s="1"/>
  <c r="M1" i="5" s="1"/>
  <c r="O183" i="5"/>
  <c r="Q183" i="5" s="1"/>
  <c r="I220" i="5"/>
  <c r="N183" i="5"/>
  <c r="P183" i="5" s="1"/>
  <c r="H220" i="5"/>
  <c r="AB548" i="5"/>
  <c r="AG548" i="5" s="1"/>
  <c r="AG495" i="5"/>
  <c r="N364" i="5"/>
  <c r="P364" i="5" s="1"/>
  <c r="H552" i="5"/>
  <c r="N552" i="5" s="1"/>
  <c r="P552" i="5" s="1"/>
  <c r="AC441" i="5"/>
  <c r="AC548" i="5"/>
  <c r="AH548" i="5" s="1"/>
  <c r="AH495" i="5"/>
  <c r="O364" i="5"/>
  <c r="Q364" i="5" s="1"/>
  <c r="I552" i="5"/>
  <c r="O552" i="5" s="1"/>
  <c r="Q552" i="5" s="1"/>
  <c r="AC495" i="2"/>
  <c r="AC548" i="2" s="1"/>
  <c r="M553" i="2"/>
  <c r="M580" i="2" s="1"/>
  <c r="M1" i="2" s="1"/>
  <c r="N333" i="2"/>
  <c r="P333" i="2" s="1"/>
  <c r="L552" i="2"/>
  <c r="L553" i="2" s="1"/>
  <c r="L580" i="2" s="1"/>
  <c r="L1" i="2" s="1"/>
  <c r="L183" i="2"/>
  <c r="L220" i="2" s="1"/>
  <c r="K183" i="2"/>
  <c r="K220" i="2" s="1"/>
  <c r="AB183" i="2"/>
  <c r="AB220" i="2" s="1"/>
  <c r="I183" i="2"/>
  <c r="O116" i="2"/>
  <c r="Q116" i="2" s="1"/>
  <c r="O423" i="2"/>
  <c r="Q423" i="2" s="1"/>
  <c r="J553" i="2"/>
  <c r="J580" i="2" s="1"/>
  <c r="J1" i="2" s="1"/>
  <c r="N489" i="2"/>
  <c r="P489" i="2" s="1"/>
  <c r="H552" i="2"/>
  <c r="N552" i="2" s="1"/>
  <c r="P552" i="2" s="1"/>
  <c r="I579" i="2"/>
  <c r="O579" i="2" s="1"/>
  <c r="Q579" i="2" s="1"/>
  <c r="O569" i="2"/>
  <c r="Q569" i="2" s="1"/>
  <c r="K552" i="2"/>
  <c r="K553" i="2" s="1"/>
  <c r="K580" i="2" s="1"/>
  <c r="K1" i="2" s="1"/>
  <c r="O489" i="2"/>
  <c r="Q489" i="2" s="1"/>
  <c r="O170" i="2"/>
  <c r="Q170" i="2" s="1"/>
  <c r="H579" i="2"/>
  <c r="N579" i="2" s="1"/>
  <c r="P579" i="2" s="1"/>
  <c r="N569" i="2"/>
  <c r="P569" i="2" s="1"/>
  <c r="Z552" i="2"/>
  <c r="Z553" i="2" s="1"/>
  <c r="Z580" i="2" s="1"/>
  <c r="Z1" i="2" s="1"/>
  <c r="I552" i="2"/>
  <c r="O364" i="2"/>
  <c r="Q364" i="2" s="1"/>
  <c r="H183" i="2"/>
  <c r="N116" i="2"/>
  <c r="P116" i="2" s="1"/>
  <c r="F17" i="4"/>
  <c r="G17" i="4" s="1"/>
  <c r="E17" i="4"/>
  <c r="E15" i="4"/>
  <c r="F15" i="4" s="1"/>
  <c r="G15" i="4" s="1"/>
  <c r="E18" i="4"/>
  <c r="F18" i="4"/>
  <c r="G18" i="4" s="1"/>
  <c r="E13" i="4"/>
  <c r="F13" i="4"/>
  <c r="G13" i="4" s="1"/>
  <c r="E16" i="4"/>
  <c r="F16" i="4"/>
  <c r="G16" i="4"/>
  <c r="H553" i="5" l="1"/>
  <c r="N220" i="5"/>
  <c r="P220" i="5" s="1"/>
  <c r="I553" i="5"/>
  <c r="O220" i="5"/>
  <c r="Q220" i="5" s="1"/>
  <c r="AH441" i="5"/>
  <c r="AF548" i="2"/>
  <c r="O552" i="2"/>
  <c r="Q552" i="2" s="1"/>
  <c r="AD220" i="2"/>
  <c r="AB495" i="2"/>
  <c r="N183" i="2"/>
  <c r="P183" i="2" s="1"/>
  <c r="H220" i="2"/>
  <c r="O183" i="2"/>
  <c r="Q183" i="2" s="1"/>
  <c r="I220" i="2"/>
  <c r="AB504" i="1"/>
  <c r="I580" i="5" l="1"/>
  <c r="O553" i="5"/>
  <c r="Q553" i="5" s="1"/>
  <c r="H580" i="5"/>
  <c r="N553" i="5"/>
  <c r="P553" i="5" s="1"/>
  <c r="AB548" i="2"/>
  <c r="AE548" i="2" s="1"/>
  <c r="AE495" i="2"/>
  <c r="O220" i="2"/>
  <c r="Q220" i="2" s="1"/>
  <c r="I553" i="2"/>
  <c r="N220" i="2"/>
  <c r="P220" i="2" s="1"/>
  <c r="H553" i="2"/>
  <c r="F10" i="4"/>
  <c r="G10" i="4" s="1"/>
  <c r="E10" i="4"/>
  <c r="F7" i="4"/>
  <c r="G7" i="4" s="1"/>
  <c r="E7" i="4"/>
  <c r="F6" i="4"/>
  <c r="G6" i="4" s="1"/>
  <c r="E6" i="4"/>
  <c r="F5" i="4"/>
  <c r="G5" i="4" s="1"/>
  <c r="E5" i="4"/>
  <c r="F3" i="4"/>
  <c r="G3" i="4" s="1"/>
  <c r="E3" i="4"/>
  <c r="E11" i="4"/>
  <c r="F11" i="4"/>
  <c r="G11" i="4" s="1"/>
  <c r="E8" i="4"/>
  <c r="N580" i="5" l="1"/>
  <c r="H1" i="5"/>
  <c r="O580" i="5"/>
  <c r="I1" i="5"/>
  <c r="H580" i="2"/>
  <c r="N553" i="2"/>
  <c r="P553" i="2" s="1"/>
  <c r="O553" i="2"/>
  <c r="Q553" i="2" s="1"/>
  <c r="I580" i="2"/>
  <c r="E12" i="4"/>
  <c r="F12" i="4" s="1"/>
  <c r="G12" i="4" s="1"/>
  <c r="E14" i="4"/>
  <c r="F14" i="4" s="1"/>
  <c r="G14" i="4" s="1"/>
  <c r="E9" i="4"/>
  <c r="E4" i="4"/>
  <c r="F4" i="4" s="1"/>
  <c r="G4" i="4" s="1"/>
  <c r="F9" i="4"/>
  <c r="G9" i="4" s="1"/>
  <c r="Q580" i="5" l="1"/>
  <c r="Q1" i="5" s="1"/>
  <c r="O1" i="5"/>
  <c r="P580" i="5"/>
  <c r="P1" i="5" s="1"/>
  <c r="N1" i="5"/>
  <c r="O580" i="2"/>
  <c r="I1" i="2"/>
  <c r="N580" i="2"/>
  <c r="H1" i="2"/>
  <c r="P580" i="2" l="1"/>
  <c r="P1" i="2" s="1"/>
  <c r="N1" i="2"/>
  <c r="Q580" i="2"/>
  <c r="Q1" i="2" s="1"/>
  <c r="O1" i="2"/>
  <c r="F8" i="4"/>
  <c r="G8" i="4" s="1"/>
  <c r="AD432" i="1" l="1"/>
  <c r="AD433" i="1"/>
  <c r="AD434" i="1"/>
  <c r="AD435" i="1"/>
  <c r="AD436" i="1"/>
  <c r="AD437" i="1"/>
  <c r="AD438" i="1"/>
  <c r="AD439" i="1"/>
  <c r="AD440" i="1"/>
  <c r="AD431" i="1"/>
  <c r="K169" i="3" l="1"/>
  <c r="J169" i="3"/>
  <c r="I169" i="3"/>
  <c r="H169" i="3"/>
  <c r="E169" i="3"/>
  <c r="D169" i="3"/>
  <c r="K168" i="3"/>
  <c r="J168" i="3"/>
  <c r="I168" i="3"/>
  <c r="H168" i="3"/>
  <c r="E168" i="3"/>
  <c r="D168" i="3"/>
  <c r="K167" i="3"/>
  <c r="J167" i="3"/>
  <c r="I167" i="3"/>
  <c r="H167" i="3"/>
  <c r="E167" i="3"/>
  <c r="D167" i="3"/>
  <c r="K166" i="3"/>
  <c r="J166" i="3"/>
  <c r="I166" i="3"/>
  <c r="H166" i="3"/>
  <c r="E166" i="3"/>
  <c r="D166" i="3"/>
  <c r="R166" i="3" s="1"/>
  <c r="D9" i="3"/>
  <c r="AB401" i="1"/>
  <c r="AB423" i="1" s="1"/>
  <c r="AB532" i="1"/>
  <c r="R169" i="3" l="1"/>
  <c r="R167" i="3"/>
  <c r="R168" i="3"/>
  <c r="AB193" i="1"/>
  <c r="AB195" i="1" l="1"/>
  <c r="AB196" i="1" l="1"/>
  <c r="AC200" i="1" s="1"/>
  <c r="AC201" i="1" s="1"/>
  <c r="M576" i="1" l="1"/>
  <c r="K576" i="1"/>
  <c r="M563" i="1"/>
  <c r="K563" i="1"/>
  <c r="M568" i="1"/>
  <c r="K568" i="1"/>
  <c r="AB375" i="1"/>
  <c r="AB374" i="1"/>
  <c r="AB373" i="1"/>
  <c r="AB173" i="1" l="1"/>
  <c r="AB547" i="1" l="1"/>
  <c r="AB198" i="1"/>
  <c r="AB227" i="1" l="1"/>
  <c r="AB234" i="1"/>
  <c r="AB530" i="1" l="1"/>
  <c r="AB367" i="1" l="1"/>
  <c r="AB427" i="1" l="1"/>
  <c r="Z427" i="1"/>
  <c r="AB223" i="1" l="1"/>
  <c r="AB185" i="1" l="1"/>
  <c r="Z331" i="1" l="1"/>
  <c r="O496" i="1"/>
  <c r="C365" i="3" a="1"/>
  <c r="C365" i="3" s="1"/>
  <c r="O364" i="3"/>
  <c r="N364" i="3"/>
  <c r="M364" i="3"/>
  <c r="G364" i="3"/>
  <c r="F364" i="3"/>
  <c r="AI362" i="3"/>
  <c r="AH362" i="3"/>
  <c r="AG362" i="3"/>
  <c r="R362" i="3"/>
  <c r="T362" i="3" s="1"/>
  <c r="K361" i="3"/>
  <c r="AI361" i="3" s="1"/>
  <c r="J361" i="3"/>
  <c r="AH361" i="3" s="1"/>
  <c r="I361" i="3"/>
  <c r="AG361" i="3" s="1"/>
  <c r="H361" i="3"/>
  <c r="E361" i="3"/>
  <c r="D361" i="3"/>
  <c r="K360" i="3"/>
  <c r="AI360" i="3" s="1"/>
  <c r="J360" i="3"/>
  <c r="AH360" i="3" s="1"/>
  <c r="I360" i="3"/>
  <c r="AG360" i="3" s="1"/>
  <c r="H360" i="3"/>
  <c r="E360" i="3"/>
  <c r="D360" i="3"/>
  <c r="K359" i="3"/>
  <c r="AI359" i="3" s="1"/>
  <c r="J359" i="3"/>
  <c r="AH359" i="3" s="1"/>
  <c r="I359" i="3"/>
  <c r="AG359" i="3" s="1"/>
  <c r="H359" i="3"/>
  <c r="E359" i="3"/>
  <c r="D359" i="3"/>
  <c r="K358" i="3"/>
  <c r="AI358" i="3" s="1"/>
  <c r="J358" i="3"/>
  <c r="AH358" i="3" s="1"/>
  <c r="I358" i="3"/>
  <c r="AG358" i="3" s="1"/>
  <c r="H358" i="3"/>
  <c r="E358" i="3"/>
  <c r="D358" i="3"/>
  <c r="K357" i="3"/>
  <c r="AI357" i="3" s="1"/>
  <c r="J357" i="3"/>
  <c r="AH357" i="3" s="1"/>
  <c r="I357" i="3"/>
  <c r="AG357" i="3" s="1"/>
  <c r="H357" i="3"/>
  <c r="E357" i="3"/>
  <c r="D357" i="3"/>
  <c r="K356" i="3"/>
  <c r="AI356" i="3" s="1"/>
  <c r="J356" i="3"/>
  <c r="AH356" i="3" s="1"/>
  <c r="I356" i="3"/>
  <c r="AG356" i="3" s="1"/>
  <c r="H356" i="3"/>
  <c r="E356" i="3"/>
  <c r="D356" i="3"/>
  <c r="K355" i="3"/>
  <c r="AI355" i="3" s="1"/>
  <c r="J355" i="3"/>
  <c r="AH355" i="3" s="1"/>
  <c r="I355" i="3"/>
  <c r="AG355" i="3" s="1"/>
  <c r="H355" i="3"/>
  <c r="E355" i="3"/>
  <c r="D355" i="3"/>
  <c r="K354" i="3"/>
  <c r="AI354" i="3" s="1"/>
  <c r="J354" i="3"/>
  <c r="AH354" i="3" s="1"/>
  <c r="I354" i="3"/>
  <c r="AG354" i="3" s="1"/>
  <c r="H354" i="3"/>
  <c r="E354" i="3"/>
  <c r="D354" i="3"/>
  <c r="K353" i="3"/>
  <c r="AI353" i="3" s="1"/>
  <c r="J353" i="3"/>
  <c r="AH353" i="3" s="1"/>
  <c r="I353" i="3"/>
  <c r="AG353" i="3" s="1"/>
  <c r="H353" i="3"/>
  <c r="E353" i="3"/>
  <c r="D353" i="3"/>
  <c r="P352" i="3"/>
  <c r="K352" i="3"/>
  <c r="AI352" i="3" s="1"/>
  <c r="J352" i="3"/>
  <c r="AH352" i="3" s="1"/>
  <c r="I352" i="3"/>
  <c r="AG352" i="3" s="1"/>
  <c r="H352" i="3"/>
  <c r="E352" i="3"/>
  <c r="D352" i="3"/>
  <c r="P351" i="3"/>
  <c r="K351" i="3"/>
  <c r="AI351" i="3" s="1"/>
  <c r="J351" i="3"/>
  <c r="AH351" i="3" s="1"/>
  <c r="I351" i="3"/>
  <c r="AG351" i="3" s="1"/>
  <c r="H351" i="3"/>
  <c r="E351" i="3"/>
  <c r="D351" i="3"/>
  <c r="P350" i="3"/>
  <c r="K350" i="3"/>
  <c r="AI350" i="3" s="1"/>
  <c r="J350" i="3"/>
  <c r="AH350" i="3" s="1"/>
  <c r="I350" i="3"/>
  <c r="AG350" i="3" s="1"/>
  <c r="H350" i="3"/>
  <c r="E350" i="3"/>
  <c r="D350" i="3"/>
  <c r="P349" i="3"/>
  <c r="K349" i="3"/>
  <c r="AI349" i="3" s="1"/>
  <c r="J349" i="3"/>
  <c r="AH349" i="3" s="1"/>
  <c r="I349" i="3"/>
  <c r="AG349" i="3" s="1"/>
  <c r="H349" i="3"/>
  <c r="E349" i="3"/>
  <c r="D349" i="3"/>
  <c r="P348" i="3"/>
  <c r="K348" i="3"/>
  <c r="AI348" i="3" s="1"/>
  <c r="J348" i="3"/>
  <c r="AH348" i="3" s="1"/>
  <c r="I348" i="3"/>
  <c r="AG348" i="3" s="1"/>
  <c r="H348" i="3"/>
  <c r="E348" i="3"/>
  <c r="D348" i="3"/>
  <c r="P347" i="3"/>
  <c r="K347" i="3"/>
  <c r="AI347" i="3" s="1"/>
  <c r="J347" i="3"/>
  <c r="AH347" i="3" s="1"/>
  <c r="I347" i="3"/>
  <c r="AG347" i="3" s="1"/>
  <c r="H347" i="3"/>
  <c r="E347" i="3"/>
  <c r="D347" i="3"/>
  <c r="P346" i="3"/>
  <c r="K346" i="3"/>
  <c r="AI346" i="3" s="1"/>
  <c r="J346" i="3"/>
  <c r="AH346" i="3" s="1"/>
  <c r="I346" i="3"/>
  <c r="AG346" i="3" s="1"/>
  <c r="H346" i="3"/>
  <c r="E346" i="3"/>
  <c r="D346" i="3"/>
  <c r="P345" i="3"/>
  <c r="K345" i="3"/>
  <c r="AI345" i="3" s="1"/>
  <c r="J345" i="3"/>
  <c r="AH345" i="3" s="1"/>
  <c r="I345" i="3"/>
  <c r="AG345" i="3" s="1"/>
  <c r="H345" i="3"/>
  <c r="E345" i="3"/>
  <c r="D345" i="3"/>
  <c r="P344" i="3"/>
  <c r="K344" i="3"/>
  <c r="AI344" i="3" s="1"/>
  <c r="J344" i="3"/>
  <c r="AH344" i="3" s="1"/>
  <c r="I344" i="3"/>
  <c r="AG344" i="3" s="1"/>
  <c r="H344" i="3"/>
  <c r="E344" i="3"/>
  <c r="D344" i="3"/>
  <c r="P343" i="3"/>
  <c r="K343" i="3"/>
  <c r="AI343" i="3" s="1"/>
  <c r="J343" i="3"/>
  <c r="AH343" i="3" s="1"/>
  <c r="I343" i="3"/>
  <c r="AG343" i="3" s="1"/>
  <c r="H343" i="3"/>
  <c r="E343" i="3"/>
  <c r="D343" i="3"/>
  <c r="P342" i="3"/>
  <c r="K342" i="3"/>
  <c r="AI342" i="3" s="1"/>
  <c r="J342" i="3"/>
  <c r="AH342" i="3" s="1"/>
  <c r="I342" i="3"/>
  <c r="AG342" i="3" s="1"/>
  <c r="H342" i="3"/>
  <c r="E342" i="3"/>
  <c r="D342" i="3"/>
  <c r="P341" i="3"/>
  <c r="K341" i="3"/>
  <c r="J341" i="3"/>
  <c r="AH341" i="3" s="1"/>
  <c r="I341" i="3"/>
  <c r="AG341" i="3" s="1"/>
  <c r="H341" i="3"/>
  <c r="E341" i="3"/>
  <c r="D341" i="3"/>
  <c r="P340" i="3"/>
  <c r="K340" i="3"/>
  <c r="AI340" i="3" s="1"/>
  <c r="J340" i="3"/>
  <c r="AH340" i="3" s="1"/>
  <c r="I340" i="3"/>
  <c r="AG340" i="3" s="1"/>
  <c r="H340" i="3"/>
  <c r="E340" i="3"/>
  <c r="D340" i="3"/>
  <c r="P339" i="3"/>
  <c r="K339" i="3"/>
  <c r="AI339" i="3" s="1"/>
  <c r="J339" i="3"/>
  <c r="AH339" i="3" s="1"/>
  <c r="I339" i="3"/>
  <c r="AG339" i="3" s="1"/>
  <c r="H339" i="3"/>
  <c r="E339" i="3"/>
  <c r="D339" i="3"/>
  <c r="P338" i="3"/>
  <c r="K338" i="3"/>
  <c r="AI338" i="3" s="1"/>
  <c r="J338" i="3"/>
  <c r="AH338" i="3" s="1"/>
  <c r="I338" i="3"/>
  <c r="AG338" i="3" s="1"/>
  <c r="H338" i="3"/>
  <c r="E338" i="3"/>
  <c r="D338" i="3"/>
  <c r="P337" i="3"/>
  <c r="K337" i="3"/>
  <c r="AI337" i="3" s="1"/>
  <c r="J337" i="3"/>
  <c r="AH337" i="3" s="1"/>
  <c r="I337" i="3"/>
  <c r="AG337" i="3" s="1"/>
  <c r="H337" i="3"/>
  <c r="E337" i="3"/>
  <c r="D337" i="3"/>
  <c r="K336" i="3"/>
  <c r="J336" i="3"/>
  <c r="AH336" i="3" s="1"/>
  <c r="I336" i="3"/>
  <c r="AG336" i="3" s="1"/>
  <c r="P335" i="3"/>
  <c r="K335" i="3"/>
  <c r="AI335" i="3" s="1"/>
  <c r="J335" i="3"/>
  <c r="AH335" i="3" s="1"/>
  <c r="I335" i="3"/>
  <c r="AG335" i="3" s="1"/>
  <c r="H335" i="3"/>
  <c r="E335" i="3"/>
  <c r="D335" i="3"/>
  <c r="P334" i="3"/>
  <c r="K334" i="3"/>
  <c r="AI334" i="3" s="1"/>
  <c r="J334" i="3"/>
  <c r="AH334" i="3" s="1"/>
  <c r="I334" i="3"/>
  <c r="AG334" i="3" s="1"/>
  <c r="H334" i="3"/>
  <c r="E334" i="3"/>
  <c r="D334" i="3"/>
  <c r="P333" i="3"/>
  <c r="K333" i="3"/>
  <c r="AI333" i="3" s="1"/>
  <c r="J333" i="3"/>
  <c r="AH333" i="3" s="1"/>
  <c r="I333" i="3"/>
  <c r="AG333" i="3" s="1"/>
  <c r="H333" i="3"/>
  <c r="E333" i="3"/>
  <c r="D333" i="3"/>
  <c r="P332" i="3"/>
  <c r="K332" i="3"/>
  <c r="AI332" i="3" s="1"/>
  <c r="J332" i="3"/>
  <c r="AH332" i="3" s="1"/>
  <c r="I332" i="3"/>
  <c r="AG332" i="3" s="1"/>
  <c r="H332" i="3"/>
  <c r="E332" i="3"/>
  <c r="D332" i="3"/>
  <c r="P331" i="3"/>
  <c r="K331" i="3"/>
  <c r="AI331" i="3" s="1"/>
  <c r="J331" i="3"/>
  <c r="AH331" i="3" s="1"/>
  <c r="I331" i="3"/>
  <c r="AG331" i="3" s="1"/>
  <c r="H331" i="3"/>
  <c r="E331" i="3"/>
  <c r="D331" i="3"/>
  <c r="P330" i="3"/>
  <c r="K330" i="3"/>
  <c r="AI330" i="3" s="1"/>
  <c r="J330" i="3"/>
  <c r="AH330" i="3" s="1"/>
  <c r="I330" i="3"/>
  <c r="AG330" i="3" s="1"/>
  <c r="H330" i="3"/>
  <c r="E330" i="3"/>
  <c r="D330" i="3"/>
  <c r="P329" i="3"/>
  <c r="K329" i="3"/>
  <c r="AI329" i="3" s="1"/>
  <c r="J329" i="3"/>
  <c r="AH329" i="3" s="1"/>
  <c r="I329" i="3"/>
  <c r="AG329" i="3" s="1"/>
  <c r="H329" i="3"/>
  <c r="E329" i="3"/>
  <c r="D329" i="3"/>
  <c r="P328" i="3"/>
  <c r="K328" i="3"/>
  <c r="AI328" i="3" s="1"/>
  <c r="J328" i="3"/>
  <c r="AH328" i="3" s="1"/>
  <c r="I328" i="3"/>
  <c r="AG328" i="3" s="1"/>
  <c r="H328" i="3"/>
  <c r="E328" i="3"/>
  <c r="D328" i="3"/>
  <c r="P327" i="3"/>
  <c r="K327" i="3"/>
  <c r="AI327" i="3" s="1"/>
  <c r="J327" i="3"/>
  <c r="AH327" i="3" s="1"/>
  <c r="I327" i="3"/>
  <c r="AG327" i="3" s="1"/>
  <c r="H327" i="3"/>
  <c r="E327" i="3"/>
  <c r="D327" i="3"/>
  <c r="P326" i="3"/>
  <c r="K326" i="3"/>
  <c r="AI326" i="3" s="1"/>
  <c r="J326" i="3"/>
  <c r="AH326" i="3" s="1"/>
  <c r="I326" i="3"/>
  <c r="AG326" i="3" s="1"/>
  <c r="H326" i="3"/>
  <c r="E326" i="3"/>
  <c r="D326" i="3"/>
  <c r="P325" i="3"/>
  <c r="K325" i="3"/>
  <c r="AI325" i="3" s="1"/>
  <c r="J325" i="3"/>
  <c r="AH325" i="3" s="1"/>
  <c r="I325" i="3"/>
  <c r="AG325" i="3" s="1"/>
  <c r="H325" i="3"/>
  <c r="E325" i="3"/>
  <c r="D325" i="3"/>
  <c r="P324" i="3"/>
  <c r="K324" i="3"/>
  <c r="AI324" i="3" s="1"/>
  <c r="J324" i="3"/>
  <c r="AH324" i="3" s="1"/>
  <c r="I324" i="3"/>
  <c r="AG324" i="3" s="1"/>
  <c r="H324" i="3"/>
  <c r="E324" i="3"/>
  <c r="D324" i="3"/>
  <c r="P323" i="3"/>
  <c r="K323" i="3"/>
  <c r="AI323" i="3" s="1"/>
  <c r="J323" i="3"/>
  <c r="AH323" i="3" s="1"/>
  <c r="I323" i="3"/>
  <c r="AG323" i="3" s="1"/>
  <c r="H323" i="3"/>
  <c r="E323" i="3"/>
  <c r="D323" i="3"/>
  <c r="P322" i="3"/>
  <c r="K322" i="3"/>
  <c r="AI322" i="3" s="1"/>
  <c r="J322" i="3"/>
  <c r="AH322" i="3" s="1"/>
  <c r="I322" i="3"/>
  <c r="AG322" i="3" s="1"/>
  <c r="H322" i="3"/>
  <c r="E322" i="3"/>
  <c r="D322" i="3"/>
  <c r="P321" i="3"/>
  <c r="K321" i="3"/>
  <c r="AI321" i="3" s="1"/>
  <c r="J321" i="3"/>
  <c r="AH321" i="3" s="1"/>
  <c r="I321" i="3"/>
  <c r="AG321" i="3" s="1"/>
  <c r="H321" i="3"/>
  <c r="E321" i="3"/>
  <c r="D321" i="3"/>
  <c r="P320" i="3"/>
  <c r="K320" i="3"/>
  <c r="AI320" i="3" s="1"/>
  <c r="J320" i="3"/>
  <c r="AH320" i="3" s="1"/>
  <c r="I320" i="3"/>
  <c r="AG320" i="3" s="1"/>
  <c r="H320" i="3"/>
  <c r="E320" i="3"/>
  <c r="D320" i="3"/>
  <c r="P319" i="3"/>
  <c r="K319" i="3"/>
  <c r="AI319" i="3" s="1"/>
  <c r="J319" i="3"/>
  <c r="AH319" i="3" s="1"/>
  <c r="I319" i="3"/>
  <c r="AG319" i="3" s="1"/>
  <c r="H319" i="3"/>
  <c r="E319" i="3"/>
  <c r="D319" i="3"/>
  <c r="P318" i="3"/>
  <c r="K318" i="3"/>
  <c r="AI318" i="3" s="1"/>
  <c r="J318" i="3"/>
  <c r="AH318" i="3" s="1"/>
  <c r="I318" i="3"/>
  <c r="AG318" i="3" s="1"/>
  <c r="H318" i="3"/>
  <c r="E318" i="3"/>
  <c r="D318" i="3"/>
  <c r="P317" i="3"/>
  <c r="K317" i="3"/>
  <c r="AI317" i="3" s="1"/>
  <c r="J317" i="3"/>
  <c r="AH317" i="3" s="1"/>
  <c r="I317" i="3"/>
  <c r="AG317" i="3" s="1"/>
  <c r="H317" i="3"/>
  <c r="E317" i="3"/>
  <c r="D317" i="3"/>
  <c r="P316" i="3"/>
  <c r="K316" i="3"/>
  <c r="AI316" i="3" s="1"/>
  <c r="J316" i="3"/>
  <c r="AH316" i="3" s="1"/>
  <c r="I316" i="3"/>
  <c r="AG316" i="3" s="1"/>
  <c r="H316" i="3"/>
  <c r="E316" i="3"/>
  <c r="D316" i="3"/>
  <c r="P315" i="3"/>
  <c r="K315" i="3"/>
  <c r="AI315" i="3" s="1"/>
  <c r="J315" i="3"/>
  <c r="AH315" i="3" s="1"/>
  <c r="I315" i="3"/>
  <c r="AG315" i="3" s="1"/>
  <c r="H315" i="3"/>
  <c r="E315" i="3"/>
  <c r="D315" i="3"/>
  <c r="P314" i="3"/>
  <c r="K314" i="3"/>
  <c r="AI314" i="3" s="1"/>
  <c r="J314" i="3"/>
  <c r="AH314" i="3" s="1"/>
  <c r="I314" i="3"/>
  <c r="AG314" i="3" s="1"/>
  <c r="H314" i="3"/>
  <c r="E314" i="3"/>
  <c r="D314" i="3"/>
  <c r="P313" i="3"/>
  <c r="K313" i="3"/>
  <c r="AI313" i="3" s="1"/>
  <c r="J313" i="3"/>
  <c r="AH313" i="3" s="1"/>
  <c r="I313" i="3"/>
  <c r="AG313" i="3" s="1"/>
  <c r="H313" i="3"/>
  <c r="E313" i="3"/>
  <c r="D313" i="3"/>
  <c r="P312" i="3"/>
  <c r="K312" i="3"/>
  <c r="AI312" i="3" s="1"/>
  <c r="J312" i="3"/>
  <c r="AH312" i="3" s="1"/>
  <c r="I312" i="3"/>
  <c r="AG312" i="3" s="1"/>
  <c r="H312" i="3"/>
  <c r="E312" i="3"/>
  <c r="D312" i="3"/>
  <c r="P311" i="3"/>
  <c r="K311" i="3"/>
  <c r="AI311" i="3" s="1"/>
  <c r="J311" i="3"/>
  <c r="AH311" i="3" s="1"/>
  <c r="I311" i="3"/>
  <c r="AG311" i="3" s="1"/>
  <c r="H311" i="3"/>
  <c r="E311" i="3"/>
  <c r="D311" i="3"/>
  <c r="P310" i="3"/>
  <c r="K310" i="3"/>
  <c r="AI310" i="3" s="1"/>
  <c r="J310" i="3"/>
  <c r="AH310" i="3" s="1"/>
  <c r="I310" i="3"/>
  <c r="AG310" i="3" s="1"/>
  <c r="H310" i="3"/>
  <c r="E310" i="3"/>
  <c r="D310" i="3"/>
  <c r="P309" i="3"/>
  <c r="K309" i="3"/>
  <c r="AI309" i="3" s="1"/>
  <c r="J309" i="3"/>
  <c r="AH309" i="3" s="1"/>
  <c r="I309" i="3"/>
  <c r="AG309" i="3" s="1"/>
  <c r="H309" i="3"/>
  <c r="E309" i="3"/>
  <c r="D309" i="3"/>
  <c r="P308" i="3"/>
  <c r="K308" i="3"/>
  <c r="AI308" i="3" s="1"/>
  <c r="J308" i="3"/>
  <c r="AH308" i="3" s="1"/>
  <c r="I308" i="3"/>
  <c r="AG308" i="3" s="1"/>
  <c r="H308" i="3"/>
  <c r="E308" i="3"/>
  <c r="D308" i="3"/>
  <c r="P307" i="3"/>
  <c r="K307" i="3"/>
  <c r="AI307" i="3" s="1"/>
  <c r="J307" i="3"/>
  <c r="AH307" i="3" s="1"/>
  <c r="I307" i="3"/>
  <c r="AG307" i="3" s="1"/>
  <c r="H307" i="3"/>
  <c r="E307" i="3"/>
  <c r="D307" i="3"/>
  <c r="P306" i="3"/>
  <c r="K306" i="3"/>
  <c r="AI306" i="3" s="1"/>
  <c r="J306" i="3"/>
  <c r="AH306" i="3" s="1"/>
  <c r="I306" i="3"/>
  <c r="AG306" i="3" s="1"/>
  <c r="H306" i="3"/>
  <c r="E306" i="3"/>
  <c r="D306" i="3"/>
  <c r="P305" i="3"/>
  <c r="K305" i="3"/>
  <c r="AI305" i="3" s="1"/>
  <c r="J305" i="3"/>
  <c r="AH305" i="3" s="1"/>
  <c r="I305" i="3"/>
  <c r="AG305" i="3" s="1"/>
  <c r="H305" i="3"/>
  <c r="E305" i="3"/>
  <c r="D305" i="3"/>
  <c r="P304" i="3"/>
  <c r="K304" i="3"/>
  <c r="AI304" i="3" s="1"/>
  <c r="J304" i="3"/>
  <c r="AH304" i="3" s="1"/>
  <c r="I304" i="3"/>
  <c r="AG304" i="3" s="1"/>
  <c r="H304" i="3"/>
  <c r="E304" i="3"/>
  <c r="D304" i="3"/>
  <c r="P303" i="3"/>
  <c r="K303" i="3"/>
  <c r="AI303" i="3" s="1"/>
  <c r="J303" i="3"/>
  <c r="AH303" i="3" s="1"/>
  <c r="I303" i="3"/>
  <c r="AG303" i="3" s="1"/>
  <c r="H303" i="3"/>
  <c r="E303" i="3"/>
  <c r="D303" i="3"/>
  <c r="P302" i="3"/>
  <c r="K302" i="3"/>
  <c r="AI302" i="3" s="1"/>
  <c r="J302" i="3"/>
  <c r="AH302" i="3" s="1"/>
  <c r="I302" i="3"/>
  <c r="H302" i="3"/>
  <c r="E302" i="3"/>
  <c r="D302" i="3"/>
  <c r="P301" i="3"/>
  <c r="K301" i="3"/>
  <c r="AI301" i="3" s="1"/>
  <c r="J301" i="3"/>
  <c r="AH301" i="3" s="1"/>
  <c r="I301" i="3"/>
  <c r="AG301" i="3" s="1"/>
  <c r="H301" i="3"/>
  <c r="E301" i="3"/>
  <c r="D301" i="3"/>
  <c r="P300" i="3"/>
  <c r="K300" i="3"/>
  <c r="AI300" i="3" s="1"/>
  <c r="J300" i="3"/>
  <c r="AH300" i="3" s="1"/>
  <c r="I300" i="3"/>
  <c r="AG300" i="3" s="1"/>
  <c r="H300" i="3"/>
  <c r="E300" i="3"/>
  <c r="D300" i="3"/>
  <c r="P299" i="3"/>
  <c r="K299" i="3"/>
  <c r="AI299" i="3" s="1"/>
  <c r="J299" i="3"/>
  <c r="AH299" i="3" s="1"/>
  <c r="I299" i="3"/>
  <c r="AG299" i="3" s="1"/>
  <c r="H299" i="3"/>
  <c r="E299" i="3"/>
  <c r="D299" i="3"/>
  <c r="P298" i="3"/>
  <c r="K298" i="3"/>
  <c r="AI298" i="3" s="1"/>
  <c r="J298" i="3"/>
  <c r="AH298" i="3" s="1"/>
  <c r="I298" i="3"/>
  <c r="AG298" i="3" s="1"/>
  <c r="H298" i="3"/>
  <c r="E298" i="3"/>
  <c r="D298" i="3"/>
  <c r="P297" i="3"/>
  <c r="K297" i="3"/>
  <c r="AI297" i="3" s="1"/>
  <c r="J297" i="3"/>
  <c r="AH297" i="3" s="1"/>
  <c r="I297" i="3"/>
  <c r="AG297" i="3" s="1"/>
  <c r="H297" i="3"/>
  <c r="E297" i="3"/>
  <c r="D297" i="3"/>
  <c r="P296" i="3"/>
  <c r="K296" i="3"/>
  <c r="J296" i="3"/>
  <c r="AH296" i="3" s="1"/>
  <c r="I296" i="3"/>
  <c r="AG296" i="3" s="1"/>
  <c r="H296" i="3"/>
  <c r="E296" i="3"/>
  <c r="D296" i="3"/>
  <c r="P295" i="3"/>
  <c r="K295" i="3"/>
  <c r="AI295" i="3" s="1"/>
  <c r="J295" i="3"/>
  <c r="AH295" i="3" s="1"/>
  <c r="I295" i="3"/>
  <c r="AG295" i="3" s="1"/>
  <c r="H295" i="3"/>
  <c r="E295" i="3"/>
  <c r="D295" i="3"/>
  <c r="AI294" i="3"/>
  <c r="AH294" i="3"/>
  <c r="AG294" i="3"/>
  <c r="AI293" i="3"/>
  <c r="AH293" i="3"/>
  <c r="AG293" i="3"/>
  <c r="R293" i="3"/>
  <c r="T293" i="3" s="1"/>
  <c r="AI292" i="3"/>
  <c r="AH292" i="3"/>
  <c r="AG292" i="3"/>
  <c r="R292" i="3"/>
  <c r="T292" i="3" s="1"/>
  <c r="AI291" i="3"/>
  <c r="AH291" i="3"/>
  <c r="AG291" i="3"/>
  <c r="R291" i="3"/>
  <c r="T291" i="3" s="1"/>
  <c r="AI290" i="3"/>
  <c r="AH290" i="3"/>
  <c r="AG290" i="3"/>
  <c r="R290" i="3"/>
  <c r="T290" i="3" s="1"/>
  <c r="P289" i="3"/>
  <c r="K289" i="3"/>
  <c r="AI289" i="3" s="1"/>
  <c r="J289" i="3"/>
  <c r="AH289" i="3" s="1"/>
  <c r="I289" i="3"/>
  <c r="AG289" i="3" s="1"/>
  <c r="H289" i="3"/>
  <c r="E289" i="3"/>
  <c r="D289" i="3"/>
  <c r="P288" i="3"/>
  <c r="K288" i="3"/>
  <c r="AI288" i="3" s="1"/>
  <c r="J288" i="3"/>
  <c r="AH288" i="3" s="1"/>
  <c r="I288" i="3"/>
  <c r="AG288" i="3" s="1"/>
  <c r="H288" i="3"/>
  <c r="E288" i="3"/>
  <c r="D288" i="3"/>
  <c r="P287" i="3"/>
  <c r="K287" i="3"/>
  <c r="AI287" i="3" s="1"/>
  <c r="J287" i="3"/>
  <c r="AH287" i="3" s="1"/>
  <c r="I287" i="3"/>
  <c r="AG287" i="3" s="1"/>
  <c r="H287" i="3"/>
  <c r="E287" i="3"/>
  <c r="D287" i="3"/>
  <c r="P286" i="3"/>
  <c r="K286" i="3"/>
  <c r="AI286" i="3" s="1"/>
  <c r="J286" i="3"/>
  <c r="AH286" i="3" s="1"/>
  <c r="I286" i="3"/>
  <c r="AG286" i="3" s="1"/>
  <c r="H286" i="3"/>
  <c r="E286" i="3"/>
  <c r="D286" i="3"/>
  <c r="P285" i="3"/>
  <c r="K285" i="3"/>
  <c r="AI285" i="3" s="1"/>
  <c r="J285" i="3"/>
  <c r="AH285" i="3" s="1"/>
  <c r="I285" i="3"/>
  <c r="AG285" i="3" s="1"/>
  <c r="H285" i="3"/>
  <c r="E285" i="3"/>
  <c r="D285" i="3"/>
  <c r="P284" i="3"/>
  <c r="K284" i="3"/>
  <c r="AI284" i="3" s="1"/>
  <c r="J284" i="3"/>
  <c r="AH284" i="3" s="1"/>
  <c r="I284" i="3"/>
  <c r="AG284" i="3" s="1"/>
  <c r="H284" i="3"/>
  <c r="E284" i="3"/>
  <c r="D284" i="3"/>
  <c r="P283" i="3"/>
  <c r="K283" i="3"/>
  <c r="AI283" i="3" s="1"/>
  <c r="J283" i="3"/>
  <c r="AH283" i="3" s="1"/>
  <c r="I283" i="3"/>
  <c r="AG283" i="3" s="1"/>
  <c r="H283" i="3"/>
  <c r="E283" i="3"/>
  <c r="D283" i="3"/>
  <c r="P282" i="3"/>
  <c r="K282" i="3"/>
  <c r="AI282" i="3" s="1"/>
  <c r="J282" i="3"/>
  <c r="AH282" i="3" s="1"/>
  <c r="I282" i="3"/>
  <c r="AG282" i="3" s="1"/>
  <c r="H282" i="3"/>
  <c r="E282" i="3"/>
  <c r="D282" i="3"/>
  <c r="P281" i="3"/>
  <c r="K281" i="3"/>
  <c r="AI281" i="3" s="1"/>
  <c r="J281" i="3"/>
  <c r="AH281" i="3" s="1"/>
  <c r="I281" i="3"/>
  <c r="AG281" i="3" s="1"/>
  <c r="H281" i="3"/>
  <c r="E281" i="3"/>
  <c r="D281" i="3"/>
  <c r="P280" i="3"/>
  <c r="K280" i="3"/>
  <c r="AI280" i="3" s="1"/>
  <c r="J280" i="3"/>
  <c r="AH280" i="3" s="1"/>
  <c r="I280" i="3"/>
  <c r="AG280" i="3" s="1"/>
  <c r="H280" i="3"/>
  <c r="E280" i="3"/>
  <c r="D280" i="3"/>
  <c r="P279" i="3"/>
  <c r="K279" i="3"/>
  <c r="AI279" i="3" s="1"/>
  <c r="J279" i="3"/>
  <c r="AH279" i="3" s="1"/>
  <c r="I279" i="3"/>
  <c r="AG279" i="3" s="1"/>
  <c r="H279" i="3"/>
  <c r="E279" i="3"/>
  <c r="D279" i="3"/>
  <c r="P278" i="3"/>
  <c r="K278" i="3"/>
  <c r="AI278" i="3" s="1"/>
  <c r="J278" i="3"/>
  <c r="AH278" i="3" s="1"/>
  <c r="I278" i="3"/>
  <c r="AG278" i="3" s="1"/>
  <c r="H278" i="3"/>
  <c r="E278" i="3"/>
  <c r="D278" i="3"/>
  <c r="P277" i="3"/>
  <c r="K277" i="3"/>
  <c r="AI277" i="3" s="1"/>
  <c r="J277" i="3"/>
  <c r="AH277" i="3" s="1"/>
  <c r="I277" i="3"/>
  <c r="AG277" i="3" s="1"/>
  <c r="H277" i="3"/>
  <c r="E277" i="3"/>
  <c r="D277" i="3"/>
  <c r="P276" i="3"/>
  <c r="K276" i="3"/>
  <c r="AI276" i="3" s="1"/>
  <c r="J276" i="3"/>
  <c r="AH276" i="3" s="1"/>
  <c r="I276" i="3"/>
  <c r="AG276" i="3" s="1"/>
  <c r="H276" i="3"/>
  <c r="E276" i="3"/>
  <c r="D276" i="3"/>
  <c r="P275" i="3"/>
  <c r="K275" i="3"/>
  <c r="AI275" i="3" s="1"/>
  <c r="J275" i="3"/>
  <c r="AH275" i="3" s="1"/>
  <c r="I275" i="3"/>
  <c r="AG275" i="3" s="1"/>
  <c r="H275" i="3"/>
  <c r="E275" i="3"/>
  <c r="D275" i="3"/>
  <c r="P274" i="3"/>
  <c r="K274" i="3"/>
  <c r="AI274" i="3" s="1"/>
  <c r="J274" i="3"/>
  <c r="AH274" i="3" s="1"/>
  <c r="I274" i="3"/>
  <c r="AG274" i="3" s="1"/>
  <c r="H274" i="3"/>
  <c r="E274" i="3"/>
  <c r="D274" i="3"/>
  <c r="P273" i="3"/>
  <c r="K273" i="3"/>
  <c r="AI273" i="3" s="1"/>
  <c r="J273" i="3"/>
  <c r="AH273" i="3" s="1"/>
  <c r="I273" i="3"/>
  <c r="AG273" i="3" s="1"/>
  <c r="H273" i="3"/>
  <c r="E273" i="3"/>
  <c r="D273" i="3"/>
  <c r="X272" i="3"/>
  <c r="W272" i="3"/>
  <c r="V272" i="3"/>
  <c r="P272" i="3"/>
  <c r="K272" i="3"/>
  <c r="AI272" i="3" s="1"/>
  <c r="J272" i="3"/>
  <c r="AH272" i="3" s="1"/>
  <c r="I272" i="3"/>
  <c r="AG272" i="3" s="1"/>
  <c r="H272" i="3"/>
  <c r="E272" i="3"/>
  <c r="D272" i="3"/>
  <c r="P271" i="3"/>
  <c r="K271" i="3"/>
  <c r="AI271" i="3" s="1"/>
  <c r="J271" i="3"/>
  <c r="AH271" i="3" s="1"/>
  <c r="I271" i="3"/>
  <c r="AG271" i="3" s="1"/>
  <c r="H271" i="3"/>
  <c r="E271" i="3"/>
  <c r="D271" i="3"/>
  <c r="P270" i="3"/>
  <c r="K270" i="3"/>
  <c r="AI270" i="3" s="1"/>
  <c r="J270" i="3"/>
  <c r="AH270" i="3" s="1"/>
  <c r="I270" i="3"/>
  <c r="AG270" i="3" s="1"/>
  <c r="H270" i="3"/>
  <c r="E270" i="3"/>
  <c r="D270" i="3"/>
  <c r="P269" i="3"/>
  <c r="K269" i="3"/>
  <c r="AI269" i="3" s="1"/>
  <c r="J269" i="3"/>
  <c r="AH269" i="3" s="1"/>
  <c r="I269" i="3"/>
  <c r="AG269" i="3" s="1"/>
  <c r="H269" i="3"/>
  <c r="E269" i="3"/>
  <c r="D269" i="3"/>
  <c r="P268" i="3"/>
  <c r="K268" i="3"/>
  <c r="AI268" i="3" s="1"/>
  <c r="J268" i="3"/>
  <c r="AH268" i="3" s="1"/>
  <c r="I268" i="3"/>
  <c r="AG268" i="3" s="1"/>
  <c r="H268" i="3"/>
  <c r="E268" i="3"/>
  <c r="D268" i="3"/>
  <c r="P267" i="3"/>
  <c r="K267" i="3"/>
  <c r="AI267" i="3" s="1"/>
  <c r="J267" i="3"/>
  <c r="AH267" i="3" s="1"/>
  <c r="I267" i="3"/>
  <c r="AG267" i="3" s="1"/>
  <c r="H267" i="3"/>
  <c r="E267" i="3"/>
  <c r="D267" i="3"/>
  <c r="P266" i="3"/>
  <c r="K266" i="3"/>
  <c r="AI266" i="3" s="1"/>
  <c r="J266" i="3"/>
  <c r="AH266" i="3" s="1"/>
  <c r="I266" i="3"/>
  <c r="AG266" i="3" s="1"/>
  <c r="H266" i="3"/>
  <c r="E266" i="3"/>
  <c r="D266" i="3"/>
  <c r="P265" i="3"/>
  <c r="K265" i="3"/>
  <c r="AI265" i="3" s="1"/>
  <c r="J265" i="3"/>
  <c r="AH265" i="3" s="1"/>
  <c r="I265" i="3"/>
  <c r="AG265" i="3" s="1"/>
  <c r="H265" i="3"/>
  <c r="E265" i="3"/>
  <c r="D265" i="3"/>
  <c r="P264" i="3"/>
  <c r="K264" i="3"/>
  <c r="AI264" i="3" s="1"/>
  <c r="J264" i="3"/>
  <c r="AH264" i="3" s="1"/>
  <c r="I264" i="3"/>
  <c r="AG264" i="3" s="1"/>
  <c r="H264" i="3"/>
  <c r="E264" i="3"/>
  <c r="D264" i="3"/>
  <c r="P263" i="3"/>
  <c r="K263" i="3"/>
  <c r="AI263" i="3" s="1"/>
  <c r="J263" i="3"/>
  <c r="AH263" i="3" s="1"/>
  <c r="I263" i="3"/>
  <c r="AG263" i="3" s="1"/>
  <c r="H263" i="3"/>
  <c r="E263" i="3"/>
  <c r="D263" i="3"/>
  <c r="P262" i="3"/>
  <c r="K262" i="3"/>
  <c r="AI262" i="3" s="1"/>
  <c r="J262" i="3"/>
  <c r="AH262" i="3" s="1"/>
  <c r="I262" i="3"/>
  <c r="AG262" i="3" s="1"/>
  <c r="H262" i="3"/>
  <c r="E262" i="3"/>
  <c r="D262" i="3"/>
  <c r="P261" i="3"/>
  <c r="K261" i="3"/>
  <c r="AI261" i="3" s="1"/>
  <c r="J261" i="3"/>
  <c r="AH261" i="3" s="1"/>
  <c r="I261" i="3"/>
  <c r="AG261" i="3" s="1"/>
  <c r="H261" i="3"/>
  <c r="E261" i="3"/>
  <c r="D261" i="3"/>
  <c r="P260" i="3"/>
  <c r="K260" i="3"/>
  <c r="AI260" i="3" s="1"/>
  <c r="J260" i="3"/>
  <c r="AH260" i="3" s="1"/>
  <c r="I260" i="3"/>
  <c r="AG260" i="3" s="1"/>
  <c r="H260" i="3"/>
  <c r="E260" i="3"/>
  <c r="D260" i="3"/>
  <c r="P259" i="3"/>
  <c r="K259" i="3"/>
  <c r="AI259" i="3" s="1"/>
  <c r="J259" i="3"/>
  <c r="AH259" i="3" s="1"/>
  <c r="I259" i="3"/>
  <c r="AG259" i="3" s="1"/>
  <c r="H259" i="3"/>
  <c r="E259" i="3"/>
  <c r="D259" i="3"/>
  <c r="P258" i="3"/>
  <c r="K258" i="3"/>
  <c r="AI258" i="3" s="1"/>
  <c r="J258" i="3"/>
  <c r="AH258" i="3" s="1"/>
  <c r="I258" i="3"/>
  <c r="AG258" i="3" s="1"/>
  <c r="H258" i="3"/>
  <c r="E258" i="3"/>
  <c r="D258" i="3"/>
  <c r="P257" i="3"/>
  <c r="K257" i="3"/>
  <c r="AI257" i="3" s="1"/>
  <c r="J257" i="3"/>
  <c r="AH257" i="3" s="1"/>
  <c r="I257" i="3"/>
  <c r="AG257" i="3" s="1"/>
  <c r="H257" i="3"/>
  <c r="E257" i="3"/>
  <c r="D257" i="3"/>
  <c r="P256" i="3"/>
  <c r="K256" i="3"/>
  <c r="AI256" i="3" s="1"/>
  <c r="J256" i="3"/>
  <c r="AH256" i="3" s="1"/>
  <c r="I256" i="3"/>
  <c r="AG256" i="3" s="1"/>
  <c r="H256" i="3"/>
  <c r="E256" i="3"/>
  <c r="D256" i="3"/>
  <c r="P255" i="3"/>
  <c r="K255" i="3"/>
  <c r="AI255" i="3" s="1"/>
  <c r="J255" i="3"/>
  <c r="AH255" i="3" s="1"/>
  <c r="I255" i="3"/>
  <c r="AG255" i="3" s="1"/>
  <c r="H255" i="3"/>
  <c r="E255" i="3"/>
  <c r="D255" i="3"/>
  <c r="P254" i="3"/>
  <c r="K254" i="3"/>
  <c r="AI254" i="3" s="1"/>
  <c r="J254" i="3"/>
  <c r="AH254" i="3" s="1"/>
  <c r="I254" i="3"/>
  <c r="AG254" i="3" s="1"/>
  <c r="H254" i="3"/>
  <c r="E254" i="3"/>
  <c r="D254" i="3"/>
  <c r="P253" i="3"/>
  <c r="K253" i="3"/>
  <c r="AI253" i="3" s="1"/>
  <c r="J253" i="3"/>
  <c r="AH253" i="3" s="1"/>
  <c r="I253" i="3"/>
  <c r="AG253" i="3" s="1"/>
  <c r="H253" i="3"/>
  <c r="E253" i="3"/>
  <c r="D253" i="3"/>
  <c r="P252" i="3"/>
  <c r="K252" i="3"/>
  <c r="AI252" i="3" s="1"/>
  <c r="J252" i="3"/>
  <c r="AH252" i="3" s="1"/>
  <c r="I252" i="3"/>
  <c r="AG252" i="3" s="1"/>
  <c r="H252" i="3"/>
  <c r="E252" i="3"/>
  <c r="D252" i="3"/>
  <c r="P251" i="3"/>
  <c r="K251" i="3"/>
  <c r="AI251" i="3" s="1"/>
  <c r="J251" i="3"/>
  <c r="AH251" i="3" s="1"/>
  <c r="I251" i="3"/>
  <c r="H251" i="3"/>
  <c r="E251" i="3"/>
  <c r="D251" i="3"/>
  <c r="P250" i="3"/>
  <c r="K250" i="3"/>
  <c r="AI250" i="3" s="1"/>
  <c r="J250" i="3"/>
  <c r="AH250" i="3" s="1"/>
  <c r="I250" i="3"/>
  <c r="AG250" i="3" s="1"/>
  <c r="H250" i="3"/>
  <c r="E250" i="3"/>
  <c r="D250" i="3"/>
  <c r="P249" i="3"/>
  <c r="K249" i="3"/>
  <c r="AI249" i="3" s="1"/>
  <c r="J249" i="3"/>
  <c r="AH249" i="3" s="1"/>
  <c r="I249" i="3"/>
  <c r="AG249" i="3" s="1"/>
  <c r="H249" i="3"/>
  <c r="E249" i="3"/>
  <c r="D249" i="3"/>
  <c r="K248" i="3"/>
  <c r="AI248" i="3" s="1"/>
  <c r="J248" i="3"/>
  <c r="AH248" i="3" s="1"/>
  <c r="I248" i="3"/>
  <c r="AG248" i="3" s="1"/>
  <c r="H248" i="3"/>
  <c r="E248" i="3"/>
  <c r="D248" i="3"/>
  <c r="K247" i="3"/>
  <c r="AI247" i="3" s="1"/>
  <c r="J247" i="3"/>
  <c r="AH247" i="3" s="1"/>
  <c r="I247" i="3"/>
  <c r="AG247" i="3" s="1"/>
  <c r="H247" i="3"/>
  <c r="E247" i="3"/>
  <c r="D247" i="3"/>
  <c r="K246" i="3"/>
  <c r="AI246" i="3" s="1"/>
  <c r="J246" i="3"/>
  <c r="AH246" i="3" s="1"/>
  <c r="I246" i="3"/>
  <c r="AG246" i="3" s="1"/>
  <c r="H246" i="3"/>
  <c r="E246" i="3"/>
  <c r="D246" i="3"/>
  <c r="K245" i="3"/>
  <c r="AI245" i="3" s="1"/>
  <c r="J245" i="3"/>
  <c r="AH245" i="3" s="1"/>
  <c r="I245" i="3"/>
  <c r="AG245" i="3" s="1"/>
  <c r="H245" i="3"/>
  <c r="E245" i="3"/>
  <c r="D245" i="3"/>
  <c r="K244" i="3"/>
  <c r="AI244" i="3" s="1"/>
  <c r="J244" i="3"/>
  <c r="AH244" i="3" s="1"/>
  <c r="I244" i="3"/>
  <c r="AG244" i="3" s="1"/>
  <c r="H244" i="3"/>
  <c r="E244" i="3"/>
  <c r="D244" i="3"/>
  <c r="K243" i="3"/>
  <c r="AI243" i="3" s="1"/>
  <c r="J243" i="3"/>
  <c r="AH243" i="3" s="1"/>
  <c r="I243" i="3"/>
  <c r="AG243" i="3" s="1"/>
  <c r="H243" i="3"/>
  <c r="E243" i="3"/>
  <c r="D243" i="3"/>
  <c r="K242" i="3"/>
  <c r="AI242" i="3" s="1"/>
  <c r="J242" i="3"/>
  <c r="AH242" i="3" s="1"/>
  <c r="I242" i="3"/>
  <c r="AG242" i="3" s="1"/>
  <c r="H242" i="3"/>
  <c r="D242" i="3"/>
  <c r="AI241" i="3"/>
  <c r="AH241" i="3"/>
  <c r="AG241" i="3"/>
  <c r="AI240" i="3"/>
  <c r="AH240" i="3"/>
  <c r="AG240" i="3"/>
  <c r="R240" i="3"/>
  <c r="AI239" i="3"/>
  <c r="AH239" i="3"/>
  <c r="AG239" i="3"/>
  <c r="R239" i="3"/>
  <c r="AI238" i="3"/>
  <c r="AH238" i="3"/>
  <c r="AG238" i="3"/>
  <c r="R238" i="3"/>
  <c r="AI237" i="3"/>
  <c r="AH237" i="3"/>
  <c r="AG237" i="3"/>
  <c r="AI236" i="3"/>
  <c r="AH236" i="3"/>
  <c r="AG236" i="3"/>
  <c r="AI235" i="3"/>
  <c r="AH235" i="3"/>
  <c r="AG235" i="3"/>
  <c r="R235" i="3"/>
  <c r="AI234" i="3"/>
  <c r="AH234" i="3"/>
  <c r="AG234" i="3"/>
  <c r="R234" i="3"/>
  <c r="K233" i="3"/>
  <c r="AI233" i="3" s="1"/>
  <c r="J233" i="3"/>
  <c r="AH233" i="3" s="1"/>
  <c r="I233" i="3"/>
  <c r="AG233" i="3" s="1"/>
  <c r="H233" i="3"/>
  <c r="E233" i="3"/>
  <c r="D233" i="3"/>
  <c r="K231" i="3"/>
  <c r="AI231" i="3" s="1"/>
  <c r="J231" i="3"/>
  <c r="AH231" i="3" s="1"/>
  <c r="I231" i="3"/>
  <c r="AG231" i="3" s="1"/>
  <c r="H231" i="3"/>
  <c r="E231" i="3"/>
  <c r="D231" i="3"/>
  <c r="K230" i="3"/>
  <c r="AI230" i="3" s="1"/>
  <c r="J230" i="3"/>
  <c r="AH230" i="3" s="1"/>
  <c r="I230" i="3"/>
  <c r="AG230" i="3" s="1"/>
  <c r="H230" i="3"/>
  <c r="E230" i="3"/>
  <c r="D230" i="3"/>
  <c r="K229" i="3"/>
  <c r="AI229" i="3" s="1"/>
  <c r="J229" i="3"/>
  <c r="AH229" i="3" s="1"/>
  <c r="I229" i="3"/>
  <c r="AG229" i="3" s="1"/>
  <c r="H229" i="3"/>
  <c r="E229" i="3"/>
  <c r="D229" i="3"/>
  <c r="K228" i="3"/>
  <c r="AI228" i="3" s="1"/>
  <c r="J228" i="3"/>
  <c r="AH228" i="3" s="1"/>
  <c r="I228" i="3"/>
  <c r="AG228" i="3" s="1"/>
  <c r="H228" i="3"/>
  <c r="E228" i="3"/>
  <c r="D228" i="3"/>
  <c r="AI227" i="3"/>
  <c r="AH227" i="3"/>
  <c r="AG227" i="3"/>
  <c r="P226" i="3"/>
  <c r="K226" i="3"/>
  <c r="AI226" i="3" s="1"/>
  <c r="J226" i="3"/>
  <c r="AH226" i="3" s="1"/>
  <c r="I226" i="3"/>
  <c r="AG226" i="3" s="1"/>
  <c r="H226" i="3"/>
  <c r="E226" i="3"/>
  <c r="D226" i="3"/>
  <c r="C226" i="3"/>
  <c r="P225" i="3"/>
  <c r="K225" i="3"/>
  <c r="AI225" i="3" s="1"/>
  <c r="J225" i="3"/>
  <c r="AH225" i="3" s="1"/>
  <c r="I225" i="3"/>
  <c r="AG225" i="3" s="1"/>
  <c r="H225" i="3"/>
  <c r="E225" i="3"/>
  <c r="D225" i="3"/>
  <c r="K224" i="3"/>
  <c r="AI224" i="3" s="1"/>
  <c r="J224" i="3"/>
  <c r="AH224" i="3" s="1"/>
  <c r="I224" i="3"/>
  <c r="AG224" i="3" s="1"/>
  <c r="H224" i="3"/>
  <c r="E224" i="3"/>
  <c r="D224" i="3"/>
  <c r="X223" i="3"/>
  <c r="W223" i="3"/>
  <c r="V223" i="3"/>
  <c r="K223" i="3"/>
  <c r="AI223" i="3" s="1"/>
  <c r="J223" i="3"/>
  <c r="AH223" i="3" s="1"/>
  <c r="I223" i="3"/>
  <c r="AG223" i="3" s="1"/>
  <c r="H223" i="3"/>
  <c r="E223" i="3"/>
  <c r="D223" i="3"/>
  <c r="K222" i="3"/>
  <c r="AI222" i="3" s="1"/>
  <c r="J222" i="3"/>
  <c r="AH222" i="3" s="1"/>
  <c r="I222" i="3"/>
  <c r="AG222" i="3" s="1"/>
  <c r="H222" i="3"/>
  <c r="E222" i="3"/>
  <c r="D222" i="3"/>
  <c r="K221" i="3"/>
  <c r="AI221" i="3" s="1"/>
  <c r="J221" i="3"/>
  <c r="AH221" i="3" s="1"/>
  <c r="I221" i="3"/>
  <c r="AG221" i="3" s="1"/>
  <c r="H221" i="3"/>
  <c r="E221" i="3"/>
  <c r="D221" i="3"/>
  <c r="K220" i="3"/>
  <c r="AI220" i="3" s="1"/>
  <c r="J220" i="3"/>
  <c r="AH220" i="3" s="1"/>
  <c r="I220" i="3"/>
  <c r="AG220" i="3" s="1"/>
  <c r="H220" i="3"/>
  <c r="E220" i="3"/>
  <c r="D220" i="3"/>
  <c r="K219" i="3"/>
  <c r="AI219" i="3" s="1"/>
  <c r="J219" i="3"/>
  <c r="AH219" i="3" s="1"/>
  <c r="I219" i="3"/>
  <c r="AG219" i="3" s="1"/>
  <c r="H219" i="3"/>
  <c r="E219" i="3"/>
  <c r="D219" i="3"/>
  <c r="K218" i="3"/>
  <c r="AI218" i="3" s="1"/>
  <c r="J218" i="3"/>
  <c r="AH218" i="3" s="1"/>
  <c r="I218" i="3"/>
  <c r="AG218" i="3" s="1"/>
  <c r="H218" i="3"/>
  <c r="E218" i="3"/>
  <c r="D218" i="3"/>
  <c r="K217" i="3"/>
  <c r="AI217" i="3" s="1"/>
  <c r="J217" i="3"/>
  <c r="AH217" i="3" s="1"/>
  <c r="I217" i="3"/>
  <c r="AG217" i="3" s="1"/>
  <c r="H217" i="3"/>
  <c r="E217" i="3"/>
  <c r="D217" i="3"/>
  <c r="K216" i="3"/>
  <c r="AI216" i="3" s="1"/>
  <c r="J216" i="3"/>
  <c r="AH216" i="3" s="1"/>
  <c r="I216" i="3"/>
  <c r="AG216" i="3" s="1"/>
  <c r="H216" i="3"/>
  <c r="E216" i="3"/>
  <c r="D216" i="3"/>
  <c r="K215" i="3"/>
  <c r="AI215" i="3" s="1"/>
  <c r="J215" i="3"/>
  <c r="AH215" i="3" s="1"/>
  <c r="I215" i="3"/>
  <c r="AG215" i="3" s="1"/>
  <c r="H215" i="3"/>
  <c r="E215" i="3"/>
  <c r="D215" i="3"/>
  <c r="K214" i="3"/>
  <c r="AI214" i="3" s="1"/>
  <c r="J214" i="3"/>
  <c r="AH214" i="3" s="1"/>
  <c r="I214" i="3"/>
  <c r="AG214" i="3" s="1"/>
  <c r="H214" i="3"/>
  <c r="E214" i="3"/>
  <c r="D214" i="3"/>
  <c r="K213" i="3"/>
  <c r="AI213" i="3" s="1"/>
  <c r="J213" i="3"/>
  <c r="AH213" i="3" s="1"/>
  <c r="I213" i="3"/>
  <c r="AG213" i="3" s="1"/>
  <c r="H213" i="3"/>
  <c r="E213" i="3"/>
  <c r="D213" i="3"/>
  <c r="K212" i="3"/>
  <c r="AI212" i="3" s="1"/>
  <c r="J212" i="3"/>
  <c r="AH212" i="3" s="1"/>
  <c r="I212" i="3"/>
  <c r="AG212" i="3" s="1"/>
  <c r="H212" i="3"/>
  <c r="E212" i="3"/>
  <c r="D212" i="3"/>
  <c r="K211" i="3"/>
  <c r="AI211" i="3" s="1"/>
  <c r="J211" i="3"/>
  <c r="I211" i="3"/>
  <c r="AG211" i="3" s="1"/>
  <c r="H211" i="3"/>
  <c r="E211" i="3"/>
  <c r="D211" i="3"/>
  <c r="AC210" i="3"/>
  <c r="AB210" i="3"/>
  <c r="AA210" i="3"/>
  <c r="X210" i="3"/>
  <c r="W210" i="3"/>
  <c r="V210" i="3"/>
  <c r="K210" i="3"/>
  <c r="AI210" i="3" s="1"/>
  <c r="J210" i="3"/>
  <c r="AH210" i="3" s="1"/>
  <c r="I210" i="3"/>
  <c r="AG210" i="3" s="1"/>
  <c r="H210" i="3"/>
  <c r="E210" i="3"/>
  <c r="D210" i="3"/>
  <c r="K209" i="3"/>
  <c r="AI209" i="3" s="1"/>
  <c r="J209" i="3"/>
  <c r="AH209" i="3" s="1"/>
  <c r="I209" i="3"/>
  <c r="AG209" i="3" s="1"/>
  <c r="H209" i="3"/>
  <c r="E209" i="3"/>
  <c r="D209" i="3"/>
  <c r="K208" i="3"/>
  <c r="AI208" i="3" s="1"/>
  <c r="J208" i="3"/>
  <c r="AH208" i="3" s="1"/>
  <c r="I208" i="3"/>
  <c r="AG208" i="3" s="1"/>
  <c r="H208" i="3"/>
  <c r="E208" i="3"/>
  <c r="D208" i="3"/>
  <c r="K207" i="3"/>
  <c r="AI207" i="3" s="1"/>
  <c r="J207" i="3"/>
  <c r="AH207" i="3" s="1"/>
  <c r="I207" i="3"/>
  <c r="AG207" i="3" s="1"/>
  <c r="H207" i="3"/>
  <c r="E207" i="3"/>
  <c r="D207" i="3"/>
  <c r="K206" i="3"/>
  <c r="AI206" i="3" s="1"/>
  <c r="J206" i="3"/>
  <c r="AH206" i="3" s="1"/>
  <c r="I206" i="3"/>
  <c r="AG206" i="3" s="1"/>
  <c r="H206" i="3"/>
  <c r="E206" i="3"/>
  <c r="D206" i="3"/>
  <c r="K205" i="3"/>
  <c r="AI205" i="3" s="1"/>
  <c r="J205" i="3"/>
  <c r="AH205" i="3" s="1"/>
  <c r="I205" i="3"/>
  <c r="AG205" i="3" s="1"/>
  <c r="H205" i="3"/>
  <c r="E205" i="3"/>
  <c r="D205" i="3"/>
  <c r="K204" i="3"/>
  <c r="AI204" i="3" s="1"/>
  <c r="J204" i="3"/>
  <c r="AH204" i="3" s="1"/>
  <c r="I204" i="3"/>
  <c r="AG204" i="3" s="1"/>
  <c r="H204" i="3"/>
  <c r="E204" i="3"/>
  <c r="D204" i="3"/>
  <c r="K203" i="3"/>
  <c r="AI203" i="3" s="1"/>
  <c r="J203" i="3"/>
  <c r="AH203" i="3" s="1"/>
  <c r="I203" i="3"/>
  <c r="AG203" i="3" s="1"/>
  <c r="H203" i="3"/>
  <c r="E203" i="3"/>
  <c r="D203" i="3"/>
  <c r="K202" i="3"/>
  <c r="AI202" i="3" s="1"/>
  <c r="J202" i="3"/>
  <c r="AH202" i="3" s="1"/>
  <c r="I202" i="3"/>
  <c r="AG202" i="3" s="1"/>
  <c r="H202" i="3"/>
  <c r="E202" i="3"/>
  <c r="D202" i="3"/>
  <c r="K201" i="3"/>
  <c r="AI201" i="3" s="1"/>
  <c r="J201" i="3"/>
  <c r="AH201" i="3" s="1"/>
  <c r="I201" i="3"/>
  <c r="H201" i="3"/>
  <c r="E201" i="3"/>
  <c r="D201" i="3"/>
  <c r="K200" i="3"/>
  <c r="AI200" i="3" s="1"/>
  <c r="J200" i="3"/>
  <c r="AH200" i="3" s="1"/>
  <c r="I200" i="3"/>
  <c r="AG200" i="3" s="1"/>
  <c r="H200" i="3"/>
  <c r="E200" i="3"/>
  <c r="D200" i="3"/>
  <c r="C200" i="3"/>
  <c r="K199" i="3"/>
  <c r="AI199" i="3" s="1"/>
  <c r="J199" i="3"/>
  <c r="AH199" i="3" s="1"/>
  <c r="I199" i="3"/>
  <c r="AG199" i="3" s="1"/>
  <c r="H199" i="3"/>
  <c r="E199" i="3"/>
  <c r="D199" i="3"/>
  <c r="C199" i="3"/>
  <c r="K198" i="3"/>
  <c r="AI198" i="3" s="1"/>
  <c r="J198" i="3"/>
  <c r="AH198" i="3" s="1"/>
  <c r="I198" i="3"/>
  <c r="AG198" i="3" s="1"/>
  <c r="H198" i="3"/>
  <c r="E198" i="3"/>
  <c r="D198" i="3"/>
  <c r="X197" i="3"/>
  <c r="W197" i="3"/>
  <c r="V197" i="3"/>
  <c r="K197" i="3"/>
  <c r="AI197" i="3" s="1"/>
  <c r="J197" i="3"/>
  <c r="AH197" i="3" s="1"/>
  <c r="I197" i="3"/>
  <c r="AG197" i="3" s="1"/>
  <c r="H197" i="3"/>
  <c r="E197" i="3"/>
  <c r="D197" i="3"/>
  <c r="K196" i="3"/>
  <c r="AI196" i="3" s="1"/>
  <c r="J196" i="3"/>
  <c r="AH196" i="3" s="1"/>
  <c r="I196" i="3"/>
  <c r="AG196" i="3" s="1"/>
  <c r="H196" i="3"/>
  <c r="E196" i="3"/>
  <c r="D196" i="3"/>
  <c r="K195" i="3"/>
  <c r="J195" i="3"/>
  <c r="AH195" i="3" s="1"/>
  <c r="I195" i="3"/>
  <c r="AG195" i="3" s="1"/>
  <c r="H195" i="3"/>
  <c r="E195" i="3"/>
  <c r="D195" i="3"/>
  <c r="K194" i="3"/>
  <c r="AI194" i="3" s="1"/>
  <c r="J194" i="3"/>
  <c r="AH194" i="3" s="1"/>
  <c r="I194" i="3"/>
  <c r="AG194" i="3" s="1"/>
  <c r="H194" i="3"/>
  <c r="E194" i="3"/>
  <c r="D194" i="3"/>
  <c r="K193" i="3"/>
  <c r="AI193" i="3" s="1"/>
  <c r="J193" i="3"/>
  <c r="AH193" i="3" s="1"/>
  <c r="I193" i="3"/>
  <c r="AG193" i="3" s="1"/>
  <c r="H193" i="3"/>
  <c r="E193" i="3"/>
  <c r="D193" i="3"/>
  <c r="K192" i="3"/>
  <c r="AI192" i="3" s="1"/>
  <c r="J192" i="3"/>
  <c r="AH192" i="3" s="1"/>
  <c r="I192" i="3"/>
  <c r="AG192" i="3" s="1"/>
  <c r="H192" i="3"/>
  <c r="E192" i="3"/>
  <c r="D192" i="3"/>
  <c r="K191" i="3"/>
  <c r="AI191" i="3" s="1"/>
  <c r="J191" i="3"/>
  <c r="AH191" i="3" s="1"/>
  <c r="I191" i="3"/>
  <c r="AG191" i="3" s="1"/>
  <c r="H191" i="3"/>
  <c r="E191" i="3"/>
  <c r="D191" i="3"/>
  <c r="AI190" i="3"/>
  <c r="AH190" i="3"/>
  <c r="AG190" i="3"/>
  <c r="R190" i="3"/>
  <c r="AI189" i="3"/>
  <c r="AH189" i="3"/>
  <c r="AG189" i="3"/>
  <c r="R189" i="3"/>
  <c r="AI188" i="3"/>
  <c r="AH188" i="3"/>
  <c r="AG188" i="3"/>
  <c r="R188" i="3"/>
  <c r="AI187" i="3"/>
  <c r="AH187" i="3"/>
  <c r="AG187" i="3"/>
  <c r="R187" i="3"/>
  <c r="AI186" i="3"/>
  <c r="AH186" i="3"/>
  <c r="AG186" i="3"/>
  <c r="R186" i="3"/>
  <c r="AI185" i="3"/>
  <c r="AH185" i="3"/>
  <c r="AG185" i="3"/>
  <c r="R185" i="3"/>
  <c r="AI184" i="3"/>
  <c r="AH184" i="3"/>
  <c r="AG184" i="3"/>
  <c r="R184" i="3"/>
  <c r="AI183" i="3"/>
  <c r="AH183" i="3"/>
  <c r="AG183" i="3"/>
  <c r="R183" i="3"/>
  <c r="AI182" i="3"/>
  <c r="AH182" i="3"/>
  <c r="AG182" i="3"/>
  <c r="R182" i="3"/>
  <c r="AI181" i="3"/>
  <c r="AH181" i="3"/>
  <c r="AG181" i="3"/>
  <c r="R181" i="3"/>
  <c r="K180" i="3"/>
  <c r="AI180" i="3" s="1"/>
  <c r="J180" i="3"/>
  <c r="AH180" i="3" s="1"/>
  <c r="I180" i="3"/>
  <c r="AG180" i="3" s="1"/>
  <c r="H180" i="3"/>
  <c r="E180" i="3"/>
  <c r="K179" i="3"/>
  <c r="AI179" i="3" s="1"/>
  <c r="J179" i="3"/>
  <c r="AH179" i="3" s="1"/>
  <c r="I179" i="3"/>
  <c r="AG179" i="3" s="1"/>
  <c r="H179" i="3"/>
  <c r="E179" i="3"/>
  <c r="D179" i="3"/>
  <c r="K178" i="3"/>
  <c r="AI178" i="3" s="1"/>
  <c r="J178" i="3"/>
  <c r="AH178" i="3" s="1"/>
  <c r="I178" i="3"/>
  <c r="AG178" i="3" s="1"/>
  <c r="H178" i="3"/>
  <c r="E178" i="3"/>
  <c r="D178" i="3"/>
  <c r="X177" i="3"/>
  <c r="W177" i="3"/>
  <c r="V177" i="3"/>
  <c r="K177" i="3"/>
  <c r="AI177" i="3" s="1"/>
  <c r="J177" i="3"/>
  <c r="AH177" i="3" s="1"/>
  <c r="I177" i="3"/>
  <c r="AG177" i="3" s="1"/>
  <c r="H177" i="3"/>
  <c r="E177" i="3"/>
  <c r="D177" i="3"/>
  <c r="K176" i="3"/>
  <c r="AI176" i="3" s="1"/>
  <c r="J176" i="3"/>
  <c r="AH176" i="3" s="1"/>
  <c r="I176" i="3"/>
  <c r="AG176" i="3" s="1"/>
  <c r="H176" i="3"/>
  <c r="E176" i="3"/>
  <c r="D176" i="3"/>
  <c r="K175" i="3"/>
  <c r="J175" i="3"/>
  <c r="AH175" i="3" s="1"/>
  <c r="I175" i="3"/>
  <c r="AG175" i="3" s="1"/>
  <c r="H175" i="3"/>
  <c r="E175" i="3"/>
  <c r="D175" i="3"/>
  <c r="K174" i="3"/>
  <c r="AI174" i="3" s="1"/>
  <c r="J174" i="3"/>
  <c r="AH174" i="3" s="1"/>
  <c r="I174" i="3"/>
  <c r="AG174" i="3" s="1"/>
  <c r="H174" i="3"/>
  <c r="E174" i="3"/>
  <c r="D174" i="3"/>
  <c r="C174" i="3"/>
  <c r="K173" i="3"/>
  <c r="AI173" i="3" s="1"/>
  <c r="J173" i="3"/>
  <c r="AH173" i="3" s="1"/>
  <c r="I173" i="3"/>
  <c r="AG173" i="3" s="1"/>
  <c r="H173" i="3"/>
  <c r="E173" i="3"/>
  <c r="D173" i="3"/>
  <c r="K172" i="3"/>
  <c r="AI172" i="3" s="1"/>
  <c r="J172" i="3"/>
  <c r="AH172" i="3" s="1"/>
  <c r="I172" i="3"/>
  <c r="AG172" i="3" s="1"/>
  <c r="H172" i="3"/>
  <c r="E172" i="3"/>
  <c r="D172" i="3"/>
  <c r="C172" i="3"/>
  <c r="L364" i="3"/>
  <c r="K171" i="3"/>
  <c r="AI171" i="3" s="1"/>
  <c r="J171" i="3"/>
  <c r="AH171" i="3" s="1"/>
  <c r="I171" i="3"/>
  <c r="AG171" i="3" s="1"/>
  <c r="H171" i="3"/>
  <c r="E171" i="3"/>
  <c r="D171" i="3"/>
  <c r="K170" i="3"/>
  <c r="AI170" i="3" s="1"/>
  <c r="J170" i="3"/>
  <c r="AH170" i="3" s="1"/>
  <c r="I170" i="3"/>
  <c r="AG170" i="3" s="1"/>
  <c r="H170" i="3"/>
  <c r="E170" i="3"/>
  <c r="D170" i="3"/>
  <c r="C170" i="3"/>
  <c r="K165" i="3"/>
  <c r="AI165" i="3" s="1"/>
  <c r="J165" i="3"/>
  <c r="AH165" i="3" s="1"/>
  <c r="I165" i="3"/>
  <c r="AG165" i="3" s="1"/>
  <c r="H165" i="3"/>
  <c r="E165" i="3"/>
  <c r="D165" i="3"/>
  <c r="K164" i="3"/>
  <c r="AI164" i="3" s="1"/>
  <c r="J164" i="3"/>
  <c r="AH164" i="3" s="1"/>
  <c r="I164" i="3"/>
  <c r="AG164" i="3" s="1"/>
  <c r="H164" i="3"/>
  <c r="E164" i="3"/>
  <c r="D164" i="3"/>
  <c r="C164" i="3"/>
  <c r="K163" i="3"/>
  <c r="AI163" i="3" s="1"/>
  <c r="J163" i="3"/>
  <c r="AH163" i="3" s="1"/>
  <c r="I163" i="3"/>
  <c r="AG163" i="3" s="1"/>
  <c r="H163" i="3"/>
  <c r="E163" i="3"/>
  <c r="D163" i="3"/>
  <c r="AI162" i="3"/>
  <c r="AH162" i="3"/>
  <c r="AG162" i="3"/>
  <c r="AI161" i="3"/>
  <c r="AH161" i="3"/>
  <c r="AG161" i="3"/>
  <c r="R161" i="3"/>
  <c r="AI160" i="3"/>
  <c r="AH160" i="3"/>
  <c r="AG160" i="3"/>
  <c r="R160" i="3"/>
  <c r="AI159" i="3"/>
  <c r="AH159" i="3"/>
  <c r="AG159" i="3"/>
  <c r="K158" i="3"/>
  <c r="AI158" i="3" s="1"/>
  <c r="J158" i="3"/>
  <c r="AH158" i="3" s="1"/>
  <c r="I158" i="3"/>
  <c r="AG158" i="3" s="1"/>
  <c r="H158" i="3"/>
  <c r="E158" i="3"/>
  <c r="D158" i="3"/>
  <c r="AI157" i="3"/>
  <c r="AH157" i="3"/>
  <c r="AG157" i="3"/>
  <c r="K156" i="3"/>
  <c r="AI156" i="3" s="1"/>
  <c r="J156" i="3"/>
  <c r="AH156" i="3" s="1"/>
  <c r="I156" i="3"/>
  <c r="AG156" i="3" s="1"/>
  <c r="H156" i="3"/>
  <c r="E156" i="3"/>
  <c r="D156" i="3"/>
  <c r="AI155" i="3"/>
  <c r="AH155" i="3"/>
  <c r="AG155" i="3"/>
  <c r="K154" i="3"/>
  <c r="AI154" i="3" s="1"/>
  <c r="J154" i="3"/>
  <c r="AH154" i="3" s="1"/>
  <c r="I154" i="3"/>
  <c r="AG154" i="3" s="1"/>
  <c r="H154" i="3"/>
  <c r="E154" i="3"/>
  <c r="D154" i="3"/>
  <c r="AI153" i="3"/>
  <c r="AH153" i="3"/>
  <c r="AG153" i="3"/>
  <c r="C153" i="3"/>
  <c r="K152" i="3"/>
  <c r="AI152" i="3" s="1"/>
  <c r="J152" i="3"/>
  <c r="AH152" i="3" s="1"/>
  <c r="I152" i="3"/>
  <c r="AG152" i="3" s="1"/>
  <c r="H152" i="3"/>
  <c r="E152" i="3"/>
  <c r="D152" i="3"/>
  <c r="AI151" i="3"/>
  <c r="AH151" i="3"/>
  <c r="AG151" i="3"/>
  <c r="C151" i="3"/>
  <c r="K150" i="3"/>
  <c r="AI150" i="3" s="1"/>
  <c r="J150" i="3"/>
  <c r="AH150" i="3" s="1"/>
  <c r="I150" i="3"/>
  <c r="AG150" i="3" s="1"/>
  <c r="H150" i="3"/>
  <c r="E150" i="3"/>
  <c r="D150" i="3"/>
  <c r="AI149" i="3"/>
  <c r="AH149" i="3"/>
  <c r="AG149" i="3"/>
  <c r="C149" i="3"/>
  <c r="K148" i="3"/>
  <c r="AI148" i="3" s="1"/>
  <c r="J148" i="3"/>
  <c r="AH148" i="3" s="1"/>
  <c r="I148" i="3"/>
  <c r="AG148" i="3" s="1"/>
  <c r="H148" i="3"/>
  <c r="E148" i="3"/>
  <c r="D148" i="3"/>
  <c r="AI147" i="3"/>
  <c r="AH147" i="3"/>
  <c r="AG147" i="3"/>
  <c r="R147" i="3"/>
  <c r="C147" i="3"/>
  <c r="AI146" i="3"/>
  <c r="AH146" i="3"/>
  <c r="AG146" i="3"/>
  <c r="R146" i="3"/>
  <c r="AI145" i="3"/>
  <c r="AH145" i="3"/>
  <c r="AG145" i="3"/>
  <c r="C145" i="3"/>
  <c r="K144" i="3"/>
  <c r="AI144" i="3" s="1"/>
  <c r="J144" i="3"/>
  <c r="AH144" i="3" s="1"/>
  <c r="I144" i="3"/>
  <c r="AG144" i="3" s="1"/>
  <c r="H144" i="3"/>
  <c r="E144" i="3"/>
  <c r="D144" i="3"/>
  <c r="AI143" i="3"/>
  <c r="AH143" i="3"/>
  <c r="AG143" i="3"/>
  <c r="R143" i="3"/>
  <c r="C143" i="3"/>
  <c r="AI142" i="3"/>
  <c r="AH142" i="3"/>
  <c r="AG142" i="3"/>
  <c r="R142" i="3"/>
  <c r="AI141" i="3"/>
  <c r="AH141" i="3"/>
  <c r="AG141" i="3"/>
  <c r="C141" i="3"/>
  <c r="X140" i="3"/>
  <c r="W140" i="3"/>
  <c r="V140" i="3"/>
  <c r="K140" i="3"/>
  <c r="AI140" i="3" s="1"/>
  <c r="J140" i="3"/>
  <c r="AH140" i="3" s="1"/>
  <c r="I140" i="3"/>
  <c r="AG140" i="3" s="1"/>
  <c r="H140" i="3"/>
  <c r="E140" i="3"/>
  <c r="D140" i="3"/>
  <c r="AI139" i="3"/>
  <c r="AH139" i="3"/>
  <c r="AG139" i="3"/>
  <c r="C139" i="3"/>
  <c r="K138" i="3"/>
  <c r="AI138" i="3" s="1"/>
  <c r="J138" i="3"/>
  <c r="AH138" i="3" s="1"/>
  <c r="I138" i="3"/>
  <c r="AG138" i="3" s="1"/>
  <c r="H138" i="3"/>
  <c r="E138" i="3"/>
  <c r="D138" i="3"/>
  <c r="AI137" i="3"/>
  <c r="AH137" i="3"/>
  <c r="AG137" i="3"/>
  <c r="AI136" i="3"/>
  <c r="AH136" i="3"/>
  <c r="AG136" i="3"/>
  <c r="AI135" i="3"/>
  <c r="AH135" i="3"/>
  <c r="AG135" i="3"/>
  <c r="AI134" i="3"/>
  <c r="AH134" i="3"/>
  <c r="AG134" i="3"/>
  <c r="R134" i="3"/>
  <c r="AI133" i="3"/>
  <c r="AH133" i="3"/>
  <c r="AG133" i="3"/>
  <c r="R133" i="3"/>
  <c r="AI132" i="3"/>
  <c r="AH132" i="3"/>
  <c r="AG132" i="3"/>
  <c r="R132" i="3"/>
  <c r="AI131" i="3"/>
  <c r="AH131" i="3"/>
  <c r="AG131" i="3"/>
  <c r="R131" i="3"/>
  <c r="AI130" i="3"/>
  <c r="AH130" i="3"/>
  <c r="AG130" i="3"/>
  <c r="R130" i="3"/>
  <c r="AI129" i="3"/>
  <c r="AH129" i="3"/>
  <c r="AG129" i="3"/>
  <c r="R129" i="3"/>
  <c r="AI128" i="3"/>
  <c r="AH128" i="3"/>
  <c r="AG128" i="3"/>
  <c r="R128" i="3"/>
  <c r="AI127" i="3"/>
  <c r="AH127" i="3"/>
  <c r="AG127" i="3"/>
  <c r="R127" i="3"/>
  <c r="AI126" i="3"/>
  <c r="AH126" i="3"/>
  <c r="AG126" i="3"/>
  <c r="R126" i="3"/>
  <c r="AI125" i="3"/>
  <c r="AH125" i="3"/>
  <c r="AG125" i="3"/>
  <c r="R125" i="3"/>
  <c r="AI124" i="3"/>
  <c r="AH124" i="3"/>
  <c r="AG124" i="3"/>
  <c r="R124" i="3"/>
  <c r="AI123" i="3"/>
  <c r="AH123" i="3"/>
  <c r="AG123" i="3"/>
  <c r="R123" i="3"/>
  <c r="AI122" i="3"/>
  <c r="AH122" i="3"/>
  <c r="AG122" i="3"/>
  <c r="R122" i="3"/>
  <c r="AI121" i="3"/>
  <c r="AH121" i="3"/>
  <c r="AG121" i="3"/>
  <c r="R121" i="3"/>
  <c r="AI120" i="3"/>
  <c r="AH120" i="3"/>
  <c r="AG120" i="3"/>
  <c r="R120" i="3"/>
  <c r="AI119" i="3"/>
  <c r="AH119" i="3"/>
  <c r="AG119" i="3"/>
  <c r="R119" i="3"/>
  <c r="AI118" i="3"/>
  <c r="AH118" i="3"/>
  <c r="AG118" i="3"/>
  <c r="R118" i="3"/>
  <c r="AI117" i="3"/>
  <c r="AH117" i="3"/>
  <c r="AG117" i="3"/>
  <c r="R117" i="3"/>
  <c r="AI116" i="3"/>
  <c r="AH116" i="3"/>
  <c r="AG116" i="3"/>
  <c r="R116" i="3"/>
  <c r="AI115" i="3"/>
  <c r="AH115" i="3"/>
  <c r="AG115" i="3"/>
  <c r="R115" i="3"/>
  <c r="AI114" i="3"/>
  <c r="AH114" i="3"/>
  <c r="AG114" i="3"/>
  <c r="R114" i="3"/>
  <c r="AI113" i="3"/>
  <c r="AH113" i="3"/>
  <c r="AG113" i="3"/>
  <c r="R113" i="3"/>
  <c r="AI112" i="3"/>
  <c r="AH112" i="3"/>
  <c r="AG112" i="3"/>
  <c r="R112" i="3"/>
  <c r="AI111" i="3"/>
  <c r="AH111" i="3"/>
  <c r="AG111" i="3"/>
  <c r="R111" i="3"/>
  <c r="AI110" i="3"/>
  <c r="AH110" i="3"/>
  <c r="AG110" i="3"/>
  <c r="R110" i="3"/>
  <c r="AI109" i="3"/>
  <c r="AH109" i="3"/>
  <c r="AG109" i="3"/>
  <c r="R109" i="3"/>
  <c r="AI108" i="3"/>
  <c r="AH108" i="3"/>
  <c r="AG108" i="3"/>
  <c r="R108" i="3"/>
  <c r="AI107" i="3"/>
  <c r="AH107" i="3"/>
  <c r="AG107" i="3"/>
  <c r="R107" i="3"/>
  <c r="AI106" i="3"/>
  <c r="AH106" i="3"/>
  <c r="AG106" i="3"/>
  <c r="R106" i="3"/>
  <c r="AI105" i="3"/>
  <c r="AH105" i="3"/>
  <c r="AG105" i="3"/>
  <c r="R105" i="3"/>
  <c r="AI104" i="3"/>
  <c r="AH104" i="3"/>
  <c r="AG104" i="3"/>
  <c r="R104" i="3"/>
  <c r="AI103" i="3"/>
  <c r="AH103" i="3"/>
  <c r="AG103" i="3"/>
  <c r="R103" i="3"/>
  <c r="AI102" i="3"/>
  <c r="AH102" i="3"/>
  <c r="AG102" i="3"/>
  <c r="R102" i="3"/>
  <c r="AI101" i="3"/>
  <c r="AH101" i="3"/>
  <c r="AG101" i="3"/>
  <c r="R101" i="3"/>
  <c r="AI100" i="3"/>
  <c r="AH100" i="3"/>
  <c r="AG100" i="3"/>
  <c r="R100" i="3"/>
  <c r="AI99" i="3"/>
  <c r="AH99" i="3"/>
  <c r="AG99" i="3"/>
  <c r="R99" i="3"/>
  <c r="AI98" i="3"/>
  <c r="AH98" i="3"/>
  <c r="AG98" i="3"/>
  <c r="R98" i="3"/>
  <c r="AI97" i="3"/>
  <c r="AH97" i="3"/>
  <c r="AG97" i="3"/>
  <c r="R97" i="3"/>
  <c r="AI96" i="3"/>
  <c r="AH96" i="3"/>
  <c r="AG96" i="3"/>
  <c r="R96" i="3"/>
  <c r="AI95" i="3"/>
  <c r="AH95" i="3"/>
  <c r="AG95" i="3"/>
  <c r="R95" i="3"/>
  <c r="AI94" i="3"/>
  <c r="AH94" i="3"/>
  <c r="AG94" i="3"/>
  <c r="R94" i="3"/>
  <c r="AI93" i="3"/>
  <c r="AH93" i="3"/>
  <c r="AG93" i="3"/>
  <c r="R93" i="3"/>
  <c r="AI92" i="3"/>
  <c r="AH92" i="3"/>
  <c r="AG92" i="3"/>
  <c r="R92" i="3"/>
  <c r="AI91" i="3"/>
  <c r="AH91" i="3"/>
  <c r="AG91" i="3"/>
  <c r="R91" i="3"/>
  <c r="AI90" i="3"/>
  <c r="AH90" i="3"/>
  <c r="AG90" i="3"/>
  <c r="R90" i="3"/>
  <c r="AI89" i="3"/>
  <c r="AH89" i="3"/>
  <c r="AG89" i="3"/>
  <c r="R89" i="3"/>
  <c r="AI88" i="3"/>
  <c r="AH88" i="3"/>
  <c r="AG88" i="3"/>
  <c r="R88" i="3"/>
  <c r="AI87" i="3"/>
  <c r="AH87" i="3"/>
  <c r="AG87" i="3"/>
  <c r="R87" i="3"/>
  <c r="AI86" i="3"/>
  <c r="AH86" i="3"/>
  <c r="AG86" i="3"/>
  <c r="R86" i="3"/>
  <c r="AI85" i="3"/>
  <c r="AH85" i="3"/>
  <c r="AG85" i="3"/>
  <c r="R85" i="3"/>
  <c r="AI84" i="3"/>
  <c r="AH84" i="3"/>
  <c r="AG84" i="3"/>
  <c r="R84" i="3"/>
  <c r="AI83" i="3"/>
  <c r="AH83" i="3"/>
  <c r="AG83" i="3"/>
  <c r="R83" i="3"/>
  <c r="AI82" i="3"/>
  <c r="AH82" i="3"/>
  <c r="AG82" i="3"/>
  <c r="R82" i="3"/>
  <c r="AI81" i="3"/>
  <c r="AH81" i="3"/>
  <c r="AG81" i="3"/>
  <c r="R81" i="3"/>
  <c r="AI80" i="3"/>
  <c r="AH80" i="3"/>
  <c r="AG80" i="3"/>
  <c r="R80" i="3"/>
  <c r="AI79" i="3"/>
  <c r="AH79" i="3"/>
  <c r="AG79" i="3"/>
  <c r="R79" i="3"/>
  <c r="AI78" i="3"/>
  <c r="AH78" i="3"/>
  <c r="AG78" i="3"/>
  <c r="R78" i="3"/>
  <c r="AI77" i="3"/>
  <c r="AH77" i="3"/>
  <c r="AG77" i="3"/>
  <c r="R77" i="3"/>
  <c r="AI76" i="3"/>
  <c r="AH76" i="3"/>
  <c r="AG76" i="3"/>
  <c r="R76" i="3"/>
  <c r="AI75" i="3"/>
  <c r="AH75" i="3"/>
  <c r="AG75" i="3"/>
  <c r="R75" i="3"/>
  <c r="P74" i="3"/>
  <c r="K74" i="3"/>
  <c r="AI74" i="3" s="1"/>
  <c r="J74" i="3"/>
  <c r="AH74" i="3" s="1"/>
  <c r="I74" i="3"/>
  <c r="AG74" i="3" s="1"/>
  <c r="H74" i="3"/>
  <c r="E74" i="3"/>
  <c r="D74" i="3"/>
  <c r="P73" i="3"/>
  <c r="K73" i="3"/>
  <c r="AI73" i="3" s="1"/>
  <c r="J73" i="3"/>
  <c r="AH73" i="3" s="1"/>
  <c r="I73" i="3"/>
  <c r="AG73" i="3" s="1"/>
  <c r="H73" i="3"/>
  <c r="E73" i="3"/>
  <c r="D73" i="3"/>
  <c r="P72" i="3"/>
  <c r="K72" i="3"/>
  <c r="AI72" i="3" s="1"/>
  <c r="J72" i="3"/>
  <c r="AH72" i="3" s="1"/>
  <c r="I72" i="3"/>
  <c r="AG72" i="3" s="1"/>
  <c r="H72" i="3"/>
  <c r="E72" i="3"/>
  <c r="D72" i="3"/>
  <c r="P71" i="3"/>
  <c r="K71" i="3"/>
  <c r="AI71" i="3" s="1"/>
  <c r="J71" i="3"/>
  <c r="AH71" i="3" s="1"/>
  <c r="I71" i="3"/>
  <c r="AG71" i="3" s="1"/>
  <c r="H71" i="3"/>
  <c r="E71" i="3"/>
  <c r="D71" i="3"/>
  <c r="P70" i="3"/>
  <c r="K70" i="3"/>
  <c r="AI70" i="3" s="1"/>
  <c r="J70" i="3"/>
  <c r="AH70" i="3" s="1"/>
  <c r="I70" i="3"/>
  <c r="AG70" i="3" s="1"/>
  <c r="H70" i="3"/>
  <c r="E70" i="3"/>
  <c r="D70" i="3"/>
  <c r="P69" i="3"/>
  <c r="K69" i="3"/>
  <c r="AI69" i="3" s="1"/>
  <c r="J69" i="3"/>
  <c r="AH69" i="3" s="1"/>
  <c r="I69" i="3"/>
  <c r="AG69" i="3" s="1"/>
  <c r="H69" i="3"/>
  <c r="E69" i="3"/>
  <c r="D69" i="3"/>
  <c r="P68" i="3"/>
  <c r="K68" i="3"/>
  <c r="AI68" i="3" s="1"/>
  <c r="J68" i="3"/>
  <c r="AH68" i="3" s="1"/>
  <c r="I68" i="3"/>
  <c r="AG68" i="3" s="1"/>
  <c r="H68" i="3"/>
  <c r="E68" i="3"/>
  <c r="D68" i="3"/>
  <c r="P67" i="3"/>
  <c r="K67" i="3"/>
  <c r="AI67" i="3" s="1"/>
  <c r="J67" i="3"/>
  <c r="AH67" i="3" s="1"/>
  <c r="I67" i="3"/>
  <c r="AG67" i="3" s="1"/>
  <c r="H67" i="3"/>
  <c r="E67" i="3"/>
  <c r="D67" i="3"/>
  <c r="P66" i="3"/>
  <c r="K66" i="3"/>
  <c r="AI66" i="3" s="1"/>
  <c r="J66" i="3"/>
  <c r="AH66" i="3" s="1"/>
  <c r="I66" i="3"/>
  <c r="AG66" i="3" s="1"/>
  <c r="H66" i="3"/>
  <c r="E66" i="3"/>
  <c r="D66" i="3"/>
  <c r="P65" i="3"/>
  <c r="K65" i="3"/>
  <c r="AI65" i="3" s="1"/>
  <c r="J65" i="3"/>
  <c r="AH65" i="3" s="1"/>
  <c r="I65" i="3"/>
  <c r="AG65" i="3" s="1"/>
  <c r="H65" i="3"/>
  <c r="E65" i="3"/>
  <c r="D65" i="3"/>
  <c r="P64" i="3"/>
  <c r="K64" i="3"/>
  <c r="AI64" i="3" s="1"/>
  <c r="J64" i="3"/>
  <c r="AH64" i="3" s="1"/>
  <c r="I64" i="3"/>
  <c r="AG64" i="3" s="1"/>
  <c r="H64" i="3"/>
  <c r="E64" i="3"/>
  <c r="D64" i="3"/>
  <c r="P63" i="3"/>
  <c r="K63" i="3"/>
  <c r="AI63" i="3" s="1"/>
  <c r="J63" i="3"/>
  <c r="AH63" i="3" s="1"/>
  <c r="I63" i="3"/>
  <c r="AG63" i="3" s="1"/>
  <c r="H63" i="3"/>
  <c r="E63" i="3"/>
  <c r="D63" i="3"/>
  <c r="P62" i="3"/>
  <c r="K62" i="3"/>
  <c r="AI62" i="3" s="1"/>
  <c r="J62" i="3"/>
  <c r="AH62" i="3" s="1"/>
  <c r="I62" i="3"/>
  <c r="AG62" i="3" s="1"/>
  <c r="H62" i="3"/>
  <c r="E62" i="3"/>
  <c r="D62" i="3"/>
  <c r="P61" i="3"/>
  <c r="K61" i="3"/>
  <c r="AI61" i="3" s="1"/>
  <c r="J61" i="3"/>
  <c r="AH61" i="3" s="1"/>
  <c r="I61" i="3"/>
  <c r="AG61" i="3" s="1"/>
  <c r="H61" i="3"/>
  <c r="E61" i="3"/>
  <c r="D61" i="3"/>
  <c r="P60" i="3"/>
  <c r="K60" i="3"/>
  <c r="AI60" i="3" s="1"/>
  <c r="J60" i="3"/>
  <c r="AH60" i="3" s="1"/>
  <c r="I60" i="3"/>
  <c r="AG60" i="3" s="1"/>
  <c r="H60" i="3"/>
  <c r="E60" i="3"/>
  <c r="D60" i="3"/>
  <c r="P59" i="3"/>
  <c r="K59" i="3"/>
  <c r="AI59" i="3" s="1"/>
  <c r="J59" i="3"/>
  <c r="AH59" i="3" s="1"/>
  <c r="I59" i="3"/>
  <c r="AG59" i="3" s="1"/>
  <c r="H59" i="3"/>
  <c r="E59" i="3"/>
  <c r="D59" i="3"/>
  <c r="P58" i="3"/>
  <c r="K58" i="3"/>
  <c r="AI58" i="3" s="1"/>
  <c r="J58" i="3"/>
  <c r="AH58" i="3" s="1"/>
  <c r="I58" i="3"/>
  <c r="AG58" i="3" s="1"/>
  <c r="H58" i="3"/>
  <c r="E58" i="3"/>
  <c r="D58" i="3"/>
  <c r="P57" i="3"/>
  <c r="K57" i="3"/>
  <c r="AI57" i="3" s="1"/>
  <c r="J57" i="3"/>
  <c r="AH57" i="3" s="1"/>
  <c r="I57" i="3"/>
  <c r="AG57" i="3" s="1"/>
  <c r="H57" i="3"/>
  <c r="E57" i="3"/>
  <c r="D57" i="3"/>
  <c r="P56" i="3"/>
  <c r="K56" i="3"/>
  <c r="AI56" i="3" s="1"/>
  <c r="J56" i="3"/>
  <c r="AH56" i="3" s="1"/>
  <c r="I56" i="3"/>
  <c r="AG56" i="3" s="1"/>
  <c r="H56" i="3"/>
  <c r="E56" i="3"/>
  <c r="D56" i="3"/>
  <c r="P55" i="3"/>
  <c r="K55" i="3"/>
  <c r="AI55" i="3" s="1"/>
  <c r="J55" i="3"/>
  <c r="AH55" i="3" s="1"/>
  <c r="I55" i="3"/>
  <c r="AG55" i="3" s="1"/>
  <c r="H55" i="3"/>
  <c r="E55" i="3"/>
  <c r="D55" i="3"/>
  <c r="P54" i="3"/>
  <c r="K54" i="3"/>
  <c r="AI54" i="3" s="1"/>
  <c r="J54" i="3"/>
  <c r="AH54" i="3" s="1"/>
  <c r="I54" i="3"/>
  <c r="AG54" i="3" s="1"/>
  <c r="H54" i="3"/>
  <c r="E54" i="3"/>
  <c r="D54" i="3"/>
  <c r="P53" i="3"/>
  <c r="K53" i="3"/>
  <c r="AI53" i="3" s="1"/>
  <c r="J53" i="3"/>
  <c r="AH53" i="3" s="1"/>
  <c r="I53" i="3"/>
  <c r="AG53" i="3" s="1"/>
  <c r="H53" i="3"/>
  <c r="E53" i="3"/>
  <c r="D53" i="3"/>
  <c r="P52" i="3"/>
  <c r="K52" i="3"/>
  <c r="AI52" i="3" s="1"/>
  <c r="J52" i="3"/>
  <c r="AH52" i="3" s="1"/>
  <c r="I52" i="3"/>
  <c r="AG52" i="3" s="1"/>
  <c r="H52" i="3"/>
  <c r="E52" i="3"/>
  <c r="D52" i="3"/>
  <c r="P51" i="3"/>
  <c r="K51" i="3"/>
  <c r="AI51" i="3" s="1"/>
  <c r="J51" i="3"/>
  <c r="AH51" i="3" s="1"/>
  <c r="I51" i="3"/>
  <c r="AG51" i="3" s="1"/>
  <c r="H51" i="3"/>
  <c r="E51" i="3"/>
  <c r="D51" i="3"/>
  <c r="P50" i="3"/>
  <c r="K50" i="3"/>
  <c r="AI50" i="3" s="1"/>
  <c r="J50" i="3"/>
  <c r="AH50" i="3" s="1"/>
  <c r="I50" i="3"/>
  <c r="AG50" i="3" s="1"/>
  <c r="H50" i="3"/>
  <c r="E50" i="3"/>
  <c r="D50" i="3"/>
  <c r="P49" i="3"/>
  <c r="K49" i="3"/>
  <c r="AI49" i="3" s="1"/>
  <c r="J49" i="3"/>
  <c r="AH49" i="3" s="1"/>
  <c r="I49" i="3"/>
  <c r="AG49" i="3" s="1"/>
  <c r="H49" i="3"/>
  <c r="E49" i="3"/>
  <c r="D49" i="3"/>
  <c r="P48" i="3"/>
  <c r="K48" i="3"/>
  <c r="AI48" i="3" s="1"/>
  <c r="J48" i="3"/>
  <c r="AH48" i="3" s="1"/>
  <c r="I48" i="3"/>
  <c r="AG48" i="3" s="1"/>
  <c r="H48" i="3"/>
  <c r="E48" i="3"/>
  <c r="D48" i="3"/>
  <c r="P47" i="3"/>
  <c r="K47" i="3"/>
  <c r="AI47" i="3" s="1"/>
  <c r="J47" i="3"/>
  <c r="AH47" i="3" s="1"/>
  <c r="I47" i="3"/>
  <c r="AG47" i="3" s="1"/>
  <c r="H47" i="3"/>
  <c r="E47" i="3"/>
  <c r="D47" i="3"/>
  <c r="P46" i="3"/>
  <c r="K46" i="3"/>
  <c r="AI46" i="3" s="1"/>
  <c r="J46" i="3"/>
  <c r="AH46" i="3" s="1"/>
  <c r="I46" i="3"/>
  <c r="AG46" i="3" s="1"/>
  <c r="H46" i="3"/>
  <c r="E46" i="3"/>
  <c r="D46" i="3"/>
  <c r="P45" i="3"/>
  <c r="K45" i="3"/>
  <c r="AI45" i="3" s="1"/>
  <c r="J45" i="3"/>
  <c r="AH45" i="3" s="1"/>
  <c r="I45" i="3"/>
  <c r="AG45" i="3" s="1"/>
  <c r="H45" i="3"/>
  <c r="E45" i="3"/>
  <c r="D45" i="3"/>
  <c r="P44" i="3"/>
  <c r="K44" i="3"/>
  <c r="AI44" i="3" s="1"/>
  <c r="J44" i="3"/>
  <c r="AH44" i="3" s="1"/>
  <c r="I44" i="3"/>
  <c r="AG44" i="3" s="1"/>
  <c r="H44" i="3"/>
  <c r="E44" i="3"/>
  <c r="D44" i="3"/>
  <c r="P43" i="3"/>
  <c r="K43" i="3"/>
  <c r="AI43" i="3" s="1"/>
  <c r="J43" i="3"/>
  <c r="AH43" i="3" s="1"/>
  <c r="I43" i="3"/>
  <c r="AG43" i="3" s="1"/>
  <c r="H43" i="3"/>
  <c r="E43" i="3"/>
  <c r="D43" i="3"/>
  <c r="P42" i="3"/>
  <c r="K42" i="3"/>
  <c r="AI42" i="3" s="1"/>
  <c r="J42" i="3"/>
  <c r="AH42" i="3" s="1"/>
  <c r="I42" i="3"/>
  <c r="AG42" i="3" s="1"/>
  <c r="H42" i="3"/>
  <c r="E42" i="3"/>
  <c r="D42" i="3"/>
  <c r="P41" i="3"/>
  <c r="K41" i="3"/>
  <c r="AI41" i="3" s="1"/>
  <c r="J41" i="3"/>
  <c r="AH41" i="3" s="1"/>
  <c r="I41" i="3"/>
  <c r="AG41" i="3" s="1"/>
  <c r="H41" i="3"/>
  <c r="E41" i="3"/>
  <c r="D41" i="3"/>
  <c r="P40" i="3"/>
  <c r="K40" i="3"/>
  <c r="AI40" i="3" s="1"/>
  <c r="J40" i="3"/>
  <c r="AH40" i="3" s="1"/>
  <c r="I40" i="3"/>
  <c r="AG40" i="3" s="1"/>
  <c r="H40" i="3"/>
  <c r="E40" i="3"/>
  <c r="D40" i="3"/>
  <c r="P39" i="3"/>
  <c r="K39" i="3"/>
  <c r="AI39" i="3" s="1"/>
  <c r="J39" i="3"/>
  <c r="AH39" i="3" s="1"/>
  <c r="I39" i="3"/>
  <c r="AG39" i="3" s="1"/>
  <c r="H39" i="3"/>
  <c r="E39" i="3"/>
  <c r="D39" i="3"/>
  <c r="P38" i="3"/>
  <c r="K38" i="3"/>
  <c r="AI38" i="3" s="1"/>
  <c r="J38" i="3"/>
  <c r="AH38" i="3" s="1"/>
  <c r="I38" i="3"/>
  <c r="AG38" i="3" s="1"/>
  <c r="H38" i="3"/>
  <c r="E38" i="3"/>
  <c r="D38" i="3"/>
  <c r="P37" i="3"/>
  <c r="K37" i="3"/>
  <c r="AI37" i="3" s="1"/>
  <c r="J37" i="3"/>
  <c r="AH37" i="3" s="1"/>
  <c r="I37" i="3"/>
  <c r="AG37" i="3" s="1"/>
  <c r="H37" i="3"/>
  <c r="E37" i="3"/>
  <c r="D37" i="3"/>
  <c r="P36" i="3"/>
  <c r="K36" i="3"/>
  <c r="AI36" i="3" s="1"/>
  <c r="J36" i="3"/>
  <c r="AH36" i="3" s="1"/>
  <c r="I36" i="3"/>
  <c r="AG36" i="3" s="1"/>
  <c r="H36" i="3"/>
  <c r="E36" i="3"/>
  <c r="D36" i="3"/>
  <c r="P35" i="3"/>
  <c r="K35" i="3"/>
  <c r="AI35" i="3" s="1"/>
  <c r="J35" i="3"/>
  <c r="AH35" i="3" s="1"/>
  <c r="I35" i="3"/>
  <c r="AG35" i="3" s="1"/>
  <c r="H35" i="3"/>
  <c r="E35" i="3"/>
  <c r="D35" i="3"/>
  <c r="K34" i="3"/>
  <c r="AI34" i="3" s="1"/>
  <c r="J34" i="3"/>
  <c r="AH34" i="3" s="1"/>
  <c r="I34" i="3"/>
  <c r="AG34" i="3" s="1"/>
  <c r="H34" i="3"/>
  <c r="E34" i="3"/>
  <c r="D34" i="3"/>
  <c r="P33" i="3"/>
  <c r="K33" i="3"/>
  <c r="AI33" i="3" s="1"/>
  <c r="J33" i="3"/>
  <c r="AH33" i="3" s="1"/>
  <c r="I33" i="3"/>
  <c r="AG33" i="3" s="1"/>
  <c r="H33" i="3"/>
  <c r="E33" i="3"/>
  <c r="D33" i="3"/>
  <c r="P32" i="3"/>
  <c r="K32" i="3"/>
  <c r="AI32" i="3" s="1"/>
  <c r="J32" i="3"/>
  <c r="AH32" i="3" s="1"/>
  <c r="I32" i="3"/>
  <c r="AG32" i="3" s="1"/>
  <c r="H32" i="3"/>
  <c r="E32" i="3"/>
  <c r="D32" i="3"/>
  <c r="P31" i="3"/>
  <c r="K31" i="3"/>
  <c r="AI31" i="3" s="1"/>
  <c r="J31" i="3"/>
  <c r="AH31" i="3" s="1"/>
  <c r="I31" i="3"/>
  <c r="AG31" i="3" s="1"/>
  <c r="H31" i="3"/>
  <c r="E31" i="3"/>
  <c r="D31" i="3"/>
  <c r="P30" i="3"/>
  <c r="K30" i="3"/>
  <c r="AI30" i="3" s="1"/>
  <c r="J30" i="3"/>
  <c r="AH30" i="3" s="1"/>
  <c r="I30" i="3"/>
  <c r="AG30" i="3" s="1"/>
  <c r="H30" i="3"/>
  <c r="E30" i="3"/>
  <c r="D30" i="3"/>
  <c r="P29" i="3"/>
  <c r="K29" i="3"/>
  <c r="AI29" i="3" s="1"/>
  <c r="J29" i="3"/>
  <c r="AH29" i="3" s="1"/>
  <c r="I29" i="3"/>
  <c r="AG29" i="3" s="1"/>
  <c r="H29" i="3"/>
  <c r="E29" i="3"/>
  <c r="D29" i="3"/>
  <c r="P28" i="3"/>
  <c r="K28" i="3"/>
  <c r="AI28" i="3" s="1"/>
  <c r="J28" i="3"/>
  <c r="AH28" i="3" s="1"/>
  <c r="I28" i="3"/>
  <c r="AG28" i="3" s="1"/>
  <c r="H28" i="3"/>
  <c r="E28" i="3"/>
  <c r="D28" i="3"/>
  <c r="X27" i="3"/>
  <c r="W27" i="3"/>
  <c r="V27" i="3"/>
  <c r="P27" i="3"/>
  <c r="K27" i="3"/>
  <c r="AI27" i="3" s="1"/>
  <c r="J27" i="3"/>
  <c r="AH27" i="3" s="1"/>
  <c r="I27" i="3"/>
  <c r="AG27" i="3" s="1"/>
  <c r="H27" i="3"/>
  <c r="E27" i="3"/>
  <c r="D27" i="3"/>
  <c r="P26" i="3"/>
  <c r="K26" i="3"/>
  <c r="AI26" i="3" s="1"/>
  <c r="J26" i="3"/>
  <c r="I26" i="3"/>
  <c r="AG26" i="3" s="1"/>
  <c r="H26" i="3"/>
  <c r="E26" i="3"/>
  <c r="D26" i="3"/>
  <c r="P25" i="3"/>
  <c r="K25" i="3"/>
  <c r="AI25" i="3" s="1"/>
  <c r="J25" i="3"/>
  <c r="AH25" i="3" s="1"/>
  <c r="I25" i="3"/>
  <c r="AG25" i="3" s="1"/>
  <c r="H25" i="3"/>
  <c r="E25" i="3"/>
  <c r="D25" i="3"/>
  <c r="P24" i="3"/>
  <c r="K24" i="3"/>
  <c r="AI24" i="3" s="1"/>
  <c r="J24" i="3"/>
  <c r="AH24" i="3" s="1"/>
  <c r="I24" i="3"/>
  <c r="AG24" i="3" s="1"/>
  <c r="H24" i="3"/>
  <c r="E24" i="3"/>
  <c r="D24" i="3"/>
  <c r="P23" i="3"/>
  <c r="K23" i="3"/>
  <c r="AI23" i="3" s="1"/>
  <c r="J23" i="3"/>
  <c r="AH23" i="3" s="1"/>
  <c r="I23" i="3"/>
  <c r="AG23" i="3" s="1"/>
  <c r="H23" i="3"/>
  <c r="E23" i="3"/>
  <c r="D23" i="3"/>
  <c r="P22" i="3"/>
  <c r="K22" i="3"/>
  <c r="AI22" i="3" s="1"/>
  <c r="J22" i="3"/>
  <c r="AH22" i="3" s="1"/>
  <c r="I22" i="3"/>
  <c r="AG22" i="3" s="1"/>
  <c r="H22" i="3"/>
  <c r="E22" i="3"/>
  <c r="D22" i="3"/>
  <c r="P21" i="3"/>
  <c r="K21" i="3"/>
  <c r="AI21" i="3" s="1"/>
  <c r="J21" i="3"/>
  <c r="AH21" i="3" s="1"/>
  <c r="I21" i="3"/>
  <c r="AG21" i="3" s="1"/>
  <c r="H21" i="3"/>
  <c r="E21" i="3"/>
  <c r="D21" i="3"/>
  <c r="P20" i="3"/>
  <c r="K20" i="3"/>
  <c r="AI20" i="3" s="1"/>
  <c r="J20" i="3"/>
  <c r="AH20" i="3" s="1"/>
  <c r="I20" i="3"/>
  <c r="AG20" i="3" s="1"/>
  <c r="H20" i="3"/>
  <c r="E20" i="3"/>
  <c r="D20" i="3"/>
  <c r="P19" i="3"/>
  <c r="K19" i="3"/>
  <c r="AI19" i="3" s="1"/>
  <c r="J19" i="3"/>
  <c r="I19" i="3"/>
  <c r="AG19" i="3" s="1"/>
  <c r="H19" i="3"/>
  <c r="E19" i="3"/>
  <c r="D19" i="3"/>
  <c r="P18" i="3"/>
  <c r="K18" i="3"/>
  <c r="AI18" i="3" s="1"/>
  <c r="J18" i="3"/>
  <c r="AH18" i="3" s="1"/>
  <c r="I18" i="3"/>
  <c r="H18" i="3"/>
  <c r="E18" i="3"/>
  <c r="D18" i="3"/>
  <c r="X17" i="3"/>
  <c r="W17" i="3"/>
  <c r="V17" i="3"/>
  <c r="P17" i="3"/>
  <c r="K17" i="3"/>
  <c r="AI17" i="3" s="1"/>
  <c r="J17" i="3"/>
  <c r="AH17" i="3" s="1"/>
  <c r="I17" i="3"/>
  <c r="AG17" i="3" s="1"/>
  <c r="H17" i="3"/>
  <c r="E17" i="3"/>
  <c r="D17" i="3"/>
  <c r="P16" i="3"/>
  <c r="K16" i="3"/>
  <c r="AI16" i="3" s="1"/>
  <c r="J16" i="3"/>
  <c r="AH16" i="3" s="1"/>
  <c r="I16" i="3"/>
  <c r="AG16" i="3" s="1"/>
  <c r="H16" i="3"/>
  <c r="E16" i="3"/>
  <c r="D16" i="3"/>
  <c r="P10" i="3"/>
  <c r="K10" i="3"/>
  <c r="AI10" i="3" s="1"/>
  <c r="J10" i="3"/>
  <c r="AH10" i="3" s="1"/>
  <c r="I10" i="3"/>
  <c r="AG10" i="3" s="1"/>
  <c r="H10" i="3"/>
  <c r="E10" i="3"/>
  <c r="D10" i="3"/>
  <c r="P9" i="3"/>
  <c r="K9" i="3"/>
  <c r="AI9" i="3" s="1"/>
  <c r="J9" i="3"/>
  <c r="AH9" i="3" s="1"/>
  <c r="I9" i="3"/>
  <c r="AG9" i="3" s="1"/>
  <c r="H9" i="3"/>
  <c r="E9" i="3"/>
  <c r="P8" i="3"/>
  <c r="K8" i="3"/>
  <c r="AI8" i="3" s="1"/>
  <c r="J8" i="3"/>
  <c r="AH8" i="3" s="1"/>
  <c r="I8" i="3"/>
  <c r="AG8" i="3" s="1"/>
  <c r="H8" i="3"/>
  <c r="E8" i="3"/>
  <c r="D8" i="3"/>
  <c r="P7" i="3"/>
  <c r="K7" i="3"/>
  <c r="AI7" i="3" s="1"/>
  <c r="J7" i="3"/>
  <c r="AH7" i="3" s="1"/>
  <c r="I7" i="3"/>
  <c r="AG7" i="3" s="1"/>
  <c r="H7" i="3"/>
  <c r="E7" i="3"/>
  <c r="D7" i="3"/>
  <c r="P6" i="3"/>
  <c r="K6" i="3"/>
  <c r="J6" i="3"/>
  <c r="AH6" i="3" s="1"/>
  <c r="I6" i="3"/>
  <c r="H6" i="3"/>
  <c r="E6" i="3"/>
  <c r="D6" i="3"/>
  <c r="P5" i="3"/>
  <c r="K5" i="3"/>
  <c r="AI5" i="3" s="1"/>
  <c r="J5" i="3"/>
  <c r="AH5" i="3" s="1"/>
  <c r="I5" i="3"/>
  <c r="AG5" i="3" s="1"/>
  <c r="H5" i="3"/>
  <c r="E5" i="3"/>
  <c r="D5" i="3"/>
  <c r="O200" i="1"/>
  <c r="AB124" i="1"/>
  <c r="AB361" i="1"/>
  <c r="AB331" i="1"/>
  <c r="AB551" i="1"/>
  <c r="AB518" i="1"/>
  <c r="AB441" i="1"/>
  <c r="AD441" i="1" s="1"/>
  <c r="AB376" i="1"/>
  <c r="AB371" i="1"/>
  <c r="AB342" i="1"/>
  <c r="AB328" i="1"/>
  <c r="AB319" i="1"/>
  <c r="AB307" i="1"/>
  <c r="AB301" i="1"/>
  <c r="AB288" i="1"/>
  <c r="AB280" i="1"/>
  <c r="AB263" i="1"/>
  <c r="AB257" i="1"/>
  <c r="AB225" i="1"/>
  <c r="AB215" i="1"/>
  <c r="AB207" i="1"/>
  <c r="AB201" i="1"/>
  <c r="AB191" i="1"/>
  <c r="AB188" i="1"/>
  <c r="AB182" i="1"/>
  <c r="AB168" i="1"/>
  <c r="AB164" i="1"/>
  <c r="AB159" i="1"/>
  <c r="AB156" i="1"/>
  <c r="AB151" i="1"/>
  <c r="AB144" i="1"/>
  <c r="AB141" i="1"/>
  <c r="AB135" i="1"/>
  <c r="AB130" i="1"/>
  <c r="AB111" i="1"/>
  <c r="AB102" i="1"/>
  <c r="AB90" i="1"/>
  <c r="AB84" i="1"/>
  <c r="AB71" i="1"/>
  <c r="AB62" i="1"/>
  <c r="AB45" i="1"/>
  <c r="AB39" i="1"/>
  <c r="AB15" i="1"/>
  <c r="P81" i="1"/>
  <c r="Q81" i="1"/>
  <c r="Z551" i="1"/>
  <c r="Z547" i="1"/>
  <c r="Z518" i="1"/>
  <c r="Z488" i="1"/>
  <c r="Z479" i="1"/>
  <c r="Z469" i="1"/>
  <c r="Z464" i="1"/>
  <c r="Z454" i="1"/>
  <c r="Z455" i="1" s="1"/>
  <c r="Z441" i="1"/>
  <c r="Z423" i="1"/>
  <c r="Z428" i="1" s="1"/>
  <c r="Z376" i="1"/>
  <c r="Z371" i="1"/>
  <c r="Z361" i="1"/>
  <c r="Z342" i="1"/>
  <c r="Z363" i="1" s="1"/>
  <c r="Z328" i="1"/>
  <c r="Z319" i="1"/>
  <c r="Z307" i="1"/>
  <c r="Z301" i="1"/>
  <c r="Z288" i="1"/>
  <c r="Z280" i="1"/>
  <c r="Z263" i="1"/>
  <c r="Z257" i="1"/>
  <c r="Z234" i="1"/>
  <c r="Z225" i="1"/>
  <c r="Z215" i="1"/>
  <c r="Z219" i="1" s="1"/>
  <c r="Z207" i="1"/>
  <c r="Z201" i="1"/>
  <c r="Z198" i="1"/>
  <c r="AC198" i="1" s="1"/>
  <c r="Z191" i="1"/>
  <c r="Z188" i="1"/>
  <c r="Z182" i="1"/>
  <c r="Z168" i="1"/>
  <c r="Z164" i="1"/>
  <c r="Z159" i="1"/>
  <c r="Z156" i="1"/>
  <c r="Z151" i="1"/>
  <c r="Z144" i="1"/>
  <c r="Z141" i="1"/>
  <c r="Z135" i="1"/>
  <c r="Z130" i="1"/>
  <c r="Z124" i="1"/>
  <c r="Z111" i="1"/>
  <c r="Z102" i="1"/>
  <c r="Z90" i="1"/>
  <c r="Z84" i="1"/>
  <c r="Z71" i="1"/>
  <c r="Z62" i="1"/>
  <c r="Z45" i="1"/>
  <c r="Z39" i="1"/>
  <c r="Z15" i="1"/>
  <c r="R351" i="3" l="1"/>
  <c r="AD453" i="1"/>
  <c r="AB453" i="9"/>
  <c r="AB453" i="8"/>
  <c r="AB453" i="6"/>
  <c r="AB453" i="5"/>
  <c r="AB453" i="2"/>
  <c r="AB478" i="1"/>
  <c r="AD478" i="1" s="1"/>
  <c r="AE478" i="9"/>
  <c r="AD478" i="9"/>
  <c r="AF478" i="9"/>
  <c r="AC478" i="9"/>
  <c r="AB478" i="9"/>
  <c r="AG478" i="9"/>
  <c r="AF478" i="8"/>
  <c r="AD478" i="8"/>
  <c r="AE478" i="8"/>
  <c r="AM478" i="8" s="1"/>
  <c r="AC478" i="8"/>
  <c r="AB478" i="8"/>
  <c r="AI478" i="8" s="1"/>
  <c r="AC478" i="6"/>
  <c r="AB478" i="6"/>
  <c r="AH478" i="6" s="1"/>
  <c r="AD478" i="6"/>
  <c r="AE478" i="6"/>
  <c r="AC478" i="5"/>
  <c r="AB478" i="5"/>
  <c r="AG478" i="5" s="1"/>
  <c r="AD478" i="5"/>
  <c r="AB478" i="2"/>
  <c r="AE478" i="2" s="1"/>
  <c r="AC478" i="2"/>
  <c r="AF478" i="2" s="1"/>
  <c r="AB487" i="1"/>
  <c r="AD487" i="1" s="1"/>
  <c r="AG487" i="9"/>
  <c r="AF487" i="9"/>
  <c r="AE487" i="9"/>
  <c r="AD487" i="9"/>
  <c r="AC487" i="9"/>
  <c r="AB487" i="9"/>
  <c r="AF487" i="8"/>
  <c r="AE487" i="8"/>
  <c r="AD487" i="8"/>
  <c r="AC487" i="8"/>
  <c r="AB487" i="8"/>
  <c r="AI487" i="8" s="1"/>
  <c r="AE487" i="6"/>
  <c r="AD487" i="6"/>
  <c r="AC487" i="6"/>
  <c r="AB487" i="6"/>
  <c r="AH487" i="6" s="1"/>
  <c r="AD487" i="5"/>
  <c r="AC487" i="5"/>
  <c r="AB487" i="5"/>
  <c r="AG487" i="5" s="1"/>
  <c r="AC487" i="2"/>
  <c r="AF487" i="2" s="1"/>
  <c r="AB487" i="2"/>
  <c r="AE487" i="2" s="1"/>
  <c r="R64" i="3"/>
  <c r="AB477" i="1"/>
  <c r="AD477" i="1" s="1"/>
  <c r="AF477" i="9"/>
  <c r="AE477" i="9"/>
  <c r="AD477" i="9"/>
  <c r="AC477" i="9"/>
  <c r="AB477" i="9"/>
  <c r="AG477" i="9"/>
  <c r="AF477" i="8"/>
  <c r="AE477" i="8"/>
  <c r="AM477" i="8" s="1"/>
  <c r="AD477" i="8"/>
  <c r="AC477" i="8"/>
  <c r="AB477" i="8"/>
  <c r="AI477" i="8" s="1"/>
  <c r="AD477" i="6"/>
  <c r="AC477" i="6"/>
  <c r="AB477" i="6"/>
  <c r="AH477" i="6" s="1"/>
  <c r="AE477" i="6"/>
  <c r="AB477" i="5"/>
  <c r="AG477" i="5" s="1"/>
  <c r="AC477" i="5"/>
  <c r="AH477" i="5" s="1"/>
  <c r="AD477" i="5"/>
  <c r="AC477" i="2"/>
  <c r="AB477" i="2"/>
  <c r="AE477" i="2" s="1"/>
  <c r="AB474" i="1"/>
  <c r="AD474" i="1" s="1"/>
  <c r="AF474" i="9"/>
  <c r="AE474" i="9"/>
  <c r="AD474" i="9"/>
  <c r="AC474" i="9"/>
  <c r="AB474" i="9"/>
  <c r="AG474" i="9"/>
  <c r="AF474" i="8"/>
  <c r="AE474" i="8"/>
  <c r="AD474" i="8"/>
  <c r="AC474" i="8"/>
  <c r="AB474" i="8"/>
  <c r="AI474" i="8" s="1"/>
  <c r="AD474" i="6"/>
  <c r="AC474" i="6"/>
  <c r="AB474" i="6"/>
  <c r="AH474" i="6" s="1"/>
  <c r="AE474" i="6"/>
  <c r="AC474" i="5"/>
  <c r="AB474" i="5"/>
  <c r="AG474" i="5" s="1"/>
  <c r="AD474" i="5"/>
  <c r="AB474" i="2"/>
  <c r="AE474" i="2" s="1"/>
  <c r="AC474" i="2"/>
  <c r="AB475" i="1"/>
  <c r="AD475" i="1" s="1"/>
  <c r="AE475" i="9"/>
  <c r="AC475" i="9"/>
  <c r="AD475" i="9"/>
  <c r="AB475" i="9"/>
  <c r="AG475" i="9"/>
  <c r="AF475" i="8"/>
  <c r="AE475" i="8"/>
  <c r="AC475" i="8"/>
  <c r="AB475" i="8"/>
  <c r="AI475" i="8" s="1"/>
  <c r="AD475" i="8"/>
  <c r="AB475" i="6"/>
  <c r="AH475" i="6" s="1"/>
  <c r="AD475" i="6"/>
  <c r="AC475" i="6"/>
  <c r="AI475" i="6" s="1"/>
  <c r="AE475" i="6"/>
  <c r="AC475" i="5"/>
  <c r="AB475" i="5"/>
  <c r="AG475" i="5" s="1"/>
  <c r="AD475" i="5"/>
  <c r="AB475" i="2"/>
  <c r="AE475" i="2" s="1"/>
  <c r="AC475" i="2"/>
  <c r="AB219" i="1"/>
  <c r="AC215" i="1"/>
  <c r="R170" i="3"/>
  <c r="R250" i="3"/>
  <c r="R46" i="3"/>
  <c r="R237" i="3"/>
  <c r="R172" i="3"/>
  <c r="R244" i="3"/>
  <c r="R248" i="3"/>
  <c r="R303" i="3"/>
  <c r="R37" i="3"/>
  <c r="R10" i="3"/>
  <c r="R342" i="3"/>
  <c r="R207" i="3"/>
  <c r="R28" i="3"/>
  <c r="R204" i="3"/>
  <c r="R59" i="3"/>
  <c r="R49" i="3"/>
  <c r="R165" i="3"/>
  <c r="R339" i="3"/>
  <c r="R41" i="3"/>
  <c r="R332" i="3"/>
  <c r="R225" i="3"/>
  <c r="R299" i="3"/>
  <c r="R360" i="3"/>
  <c r="R151" i="3"/>
  <c r="R312" i="3"/>
  <c r="R210" i="3"/>
  <c r="R229" i="3"/>
  <c r="R333" i="3"/>
  <c r="R358" i="3"/>
  <c r="R214" i="3"/>
  <c r="R279" i="3"/>
  <c r="R282" i="3"/>
  <c r="R329" i="3"/>
  <c r="R343" i="3"/>
  <c r="R359" i="3"/>
  <c r="R6" i="3"/>
  <c r="R254" i="3"/>
  <c r="R191" i="3"/>
  <c r="R317" i="3"/>
  <c r="R24" i="3"/>
  <c r="R264" i="3"/>
  <c r="R346" i="3"/>
  <c r="R55" i="3"/>
  <c r="R180" i="3"/>
  <c r="R33" i="3"/>
  <c r="R215" i="3"/>
  <c r="R30" i="3"/>
  <c r="R139" i="3"/>
  <c r="R39" i="3"/>
  <c r="R298" i="3"/>
  <c r="R145" i="3"/>
  <c r="R295" i="3"/>
  <c r="R62" i="3"/>
  <c r="R321" i="3"/>
  <c r="R258" i="3"/>
  <c r="R309" i="3"/>
  <c r="R61" i="3"/>
  <c r="R69" i="3"/>
  <c r="R38" i="3"/>
  <c r="R7" i="3"/>
  <c r="R259" i="3"/>
  <c r="R313" i="3"/>
  <c r="R337" i="3"/>
  <c r="R50" i="3"/>
  <c r="R226" i="3"/>
  <c r="R251" i="3"/>
  <c r="R23" i="3"/>
  <c r="R208" i="3"/>
  <c r="R296" i="3"/>
  <c r="R310" i="3"/>
  <c r="R355" i="3"/>
  <c r="R58" i="3"/>
  <c r="R306" i="3"/>
  <c r="I364" i="3"/>
  <c r="R72" i="3"/>
  <c r="R336" i="3"/>
  <c r="R205" i="3"/>
  <c r="R268" i="3"/>
  <c r="R213" i="3"/>
  <c r="R242" i="3"/>
  <c r="R260" i="3"/>
  <c r="R274" i="3"/>
  <c r="R325" i="3"/>
  <c r="R54" i="3"/>
  <c r="R247" i="3"/>
  <c r="R42" i="3"/>
  <c r="R67" i="3"/>
  <c r="R70" i="3"/>
  <c r="R73" i="3"/>
  <c r="R159" i="3"/>
  <c r="R246" i="3"/>
  <c r="R257" i="3"/>
  <c r="E364" i="3"/>
  <c r="R74" i="3"/>
  <c r="R66" i="3"/>
  <c r="S135" i="3"/>
  <c r="AG6" i="3"/>
  <c r="R48" i="3"/>
  <c r="R192" i="3"/>
  <c r="R249" i="3"/>
  <c r="R302" i="3"/>
  <c r="R45" i="3"/>
  <c r="R65" i="3"/>
  <c r="R68" i="3"/>
  <c r="R219" i="3"/>
  <c r="R263" i="3"/>
  <c r="R331" i="3"/>
  <c r="R29" i="3"/>
  <c r="R243" i="3"/>
  <c r="R255" i="3"/>
  <c r="R272" i="3"/>
  <c r="R305" i="3"/>
  <c r="R308" i="3"/>
  <c r="R328" i="3"/>
  <c r="R347" i="3"/>
  <c r="R16" i="3"/>
  <c r="R300" i="3"/>
  <c r="R40" i="3"/>
  <c r="R51" i="3"/>
  <c r="R283" i="3"/>
  <c r="R286" i="3"/>
  <c r="AG302" i="3"/>
  <c r="R179" i="3"/>
  <c r="R206" i="3"/>
  <c r="R209" i="3"/>
  <c r="R341" i="3"/>
  <c r="R35" i="3"/>
  <c r="R261" i="3"/>
  <c r="R297" i="3"/>
  <c r="R311" i="3"/>
  <c r="R320" i="3"/>
  <c r="R149" i="3"/>
  <c r="R163" i="3"/>
  <c r="R217" i="3"/>
  <c r="R175" i="3"/>
  <c r="R178" i="3"/>
  <c r="R267" i="3"/>
  <c r="R345" i="3"/>
  <c r="R164" i="3"/>
  <c r="R327" i="3"/>
  <c r="R21" i="3"/>
  <c r="R34" i="3"/>
  <c r="T34" i="3" s="1"/>
  <c r="R31" i="3"/>
  <c r="R287" i="3"/>
  <c r="R349" i="3"/>
  <c r="R289" i="3"/>
  <c r="R193" i="3"/>
  <c r="R201" i="3"/>
  <c r="R211" i="3"/>
  <c r="R223" i="3"/>
  <c r="R26" i="3"/>
  <c r="R222" i="3"/>
  <c r="R218" i="3"/>
  <c r="R271" i="3"/>
  <c r="R195" i="3"/>
  <c r="R19" i="3"/>
  <c r="R157" i="3"/>
  <c r="R174" i="3"/>
  <c r="R17" i="3"/>
  <c r="R203" i="3"/>
  <c r="R322" i="3"/>
  <c r="R354" i="3"/>
  <c r="R269" i="3"/>
  <c r="R148" i="3"/>
  <c r="R141" i="3"/>
  <c r="R324" i="3"/>
  <c r="R216" i="3"/>
  <c r="R280" i="3"/>
  <c r="R314" i="3"/>
  <c r="R344" i="3"/>
  <c r="D364" i="3"/>
  <c r="D366" i="3" s="1"/>
  <c r="R231" i="3"/>
  <c r="R281" i="3"/>
  <c r="R323" i="3"/>
  <c r="R22" i="3"/>
  <c r="R150" i="3"/>
  <c r="R156" i="3"/>
  <c r="R8" i="3"/>
  <c r="R18" i="3"/>
  <c r="AB428" i="1"/>
  <c r="AC423" i="1"/>
  <c r="R47" i="3"/>
  <c r="R284" i="3"/>
  <c r="R353" i="3"/>
  <c r="R25" i="3"/>
  <c r="R256" i="3"/>
  <c r="R315" i="3"/>
  <c r="P364" i="3"/>
  <c r="R171" i="3"/>
  <c r="R196" i="3"/>
  <c r="R224" i="3"/>
  <c r="R245" i="3"/>
  <c r="R348" i="3"/>
  <c r="R356" i="3"/>
  <c r="R5" i="3"/>
  <c r="R153" i="3"/>
  <c r="R194" i="3"/>
  <c r="R326" i="3"/>
  <c r="R334" i="3"/>
  <c r="R350" i="3"/>
  <c r="R20" i="3"/>
  <c r="R177" i="3"/>
  <c r="AG201" i="3"/>
  <c r="R221" i="3"/>
  <c r="R236" i="3"/>
  <c r="R60" i="3"/>
  <c r="R285" i="3"/>
  <c r="R63" i="3"/>
  <c r="AG251" i="3"/>
  <c r="R9" i="3"/>
  <c r="R199" i="3"/>
  <c r="R270" i="3"/>
  <c r="R275" i="3"/>
  <c r="R277" i="3"/>
  <c r="R288" i="3"/>
  <c r="AG18" i="3"/>
  <c r="R71" i="3"/>
  <c r="R197" i="3"/>
  <c r="R301" i="3"/>
  <c r="R53" i="3"/>
  <c r="AH211" i="3"/>
  <c r="AH26" i="3"/>
  <c r="AI195" i="3"/>
  <c r="R202" i="3"/>
  <c r="R276" i="3"/>
  <c r="R319" i="3"/>
  <c r="AI341" i="3"/>
  <c r="J364" i="3"/>
  <c r="R36" i="3"/>
  <c r="R56" i="3"/>
  <c r="R338" i="3"/>
  <c r="R43" i="3"/>
  <c r="R154" i="3"/>
  <c r="AI296" i="3"/>
  <c r="R316" i="3"/>
  <c r="R278" i="3"/>
  <c r="AH19" i="3"/>
  <c r="R32" i="3"/>
  <c r="AI175" i="3"/>
  <c r="R198" i="3"/>
  <c r="R253" i="3"/>
  <c r="R307" i="3"/>
  <c r="H364" i="3"/>
  <c r="R57" i="3"/>
  <c r="R144" i="3"/>
  <c r="R173" i="3"/>
  <c r="R176" i="3"/>
  <c r="R200" i="3"/>
  <c r="R230" i="3"/>
  <c r="R233" i="3"/>
  <c r="R361" i="3"/>
  <c r="R262" i="3"/>
  <c r="R27" i="3"/>
  <c r="R152" i="3"/>
  <c r="R155" i="3"/>
  <c r="R158" i="3"/>
  <c r="R220" i="3"/>
  <c r="AI336" i="3"/>
  <c r="AI6" i="3"/>
  <c r="K364" i="3"/>
  <c r="R52" i="3"/>
  <c r="R265" i="3"/>
  <c r="R140" i="3"/>
  <c r="R228" i="3"/>
  <c r="T228" i="3" s="1"/>
  <c r="R138" i="3"/>
  <c r="R212" i="3"/>
  <c r="R44" i="3"/>
  <c r="R252" i="3"/>
  <c r="R266" i="3"/>
  <c r="R273" i="3"/>
  <c r="R304" i="3"/>
  <c r="R318" i="3"/>
  <c r="R330" i="3"/>
  <c r="R335" i="3"/>
  <c r="R340" i="3"/>
  <c r="R352" i="3"/>
  <c r="R357" i="3"/>
  <c r="AB363" i="1"/>
  <c r="AB333" i="1"/>
  <c r="AB170" i="1"/>
  <c r="AB116" i="1"/>
  <c r="Z548" i="1"/>
  <c r="Z170" i="1"/>
  <c r="Z489" i="1"/>
  <c r="Z333" i="1"/>
  <c r="Z364" i="1" s="1"/>
  <c r="Z116" i="1"/>
  <c r="AJ475" i="6" l="1"/>
  <c r="AH487" i="5"/>
  <c r="AJ478" i="6"/>
  <c r="AI477" i="5"/>
  <c r="AF475" i="2"/>
  <c r="AM475" i="8"/>
  <c r="AK487" i="8"/>
  <c r="AH475" i="5"/>
  <c r="AM487" i="8"/>
  <c r="AJ475" i="8"/>
  <c r="T164" i="3"/>
  <c r="AJ477" i="8"/>
  <c r="AI478" i="6"/>
  <c r="AI475" i="5"/>
  <c r="AJ477" i="6"/>
  <c r="AJ487" i="8"/>
  <c r="AI487" i="6"/>
  <c r="AI474" i="5"/>
  <c r="AD479" i="5"/>
  <c r="AH474" i="5"/>
  <c r="AC479" i="5"/>
  <c r="AJ487" i="6"/>
  <c r="AK478" i="8"/>
  <c r="AI474" i="6"/>
  <c r="AC479" i="6"/>
  <c r="AD479" i="6"/>
  <c r="AJ479" i="6" s="1"/>
  <c r="AJ474" i="6"/>
  <c r="T237" i="3"/>
  <c r="AK475" i="8"/>
  <c r="AM474" i="8"/>
  <c r="AE479" i="8"/>
  <c r="AI487" i="5"/>
  <c r="T172" i="3"/>
  <c r="AD479" i="8"/>
  <c r="AK474" i="8"/>
  <c r="AE453" i="2"/>
  <c r="AF453" i="2"/>
  <c r="AI453" i="6"/>
  <c r="AH453" i="6"/>
  <c r="AF474" i="2"/>
  <c r="AC479" i="2"/>
  <c r="AJ478" i="8"/>
  <c r="AK477" i="8"/>
  <c r="AC479" i="9"/>
  <c r="AJ453" i="8"/>
  <c r="AI453" i="8"/>
  <c r="AH478" i="5"/>
  <c r="AB466" i="1"/>
  <c r="AD466" i="1" s="1"/>
  <c r="AD466" i="9"/>
  <c r="AB466" i="9"/>
  <c r="AE466" i="9"/>
  <c r="AC466" i="9"/>
  <c r="AG466" i="9"/>
  <c r="AF466" i="9"/>
  <c r="AF466" i="8"/>
  <c r="AC466" i="8"/>
  <c r="AD466" i="8"/>
  <c r="AE466" i="8"/>
  <c r="AB466" i="8"/>
  <c r="AD466" i="6"/>
  <c r="AC466" i="6"/>
  <c r="AE466" i="6"/>
  <c r="AB466" i="6"/>
  <c r="AC466" i="5"/>
  <c r="AD466" i="5"/>
  <c r="AB466" i="5"/>
  <c r="AB466" i="2"/>
  <c r="AC466" i="2"/>
  <c r="AE479" i="6"/>
  <c r="AI477" i="6"/>
  <c r="AH453" i="5"/>
  <c r="AG453" i="5"/>
  <c r="AD479" i="9"/>
  <c r="AF477" i="2"/>
  <c r="AJ474" i="8"/>
  <c r="AC479" i="8"/>
  <c r="AE479" i="9"/>
  <c r="AI478" i="5"/>
  <c r="T170" i="3"/>
  <c r="T159" i="3"/>
  <c r="T151" i="3"/>
  <c r="T149" i="3"/>
  <c r="T248" i="3"/>
  <c r="T226" i="3"/>
  <c r="T300" i="3"/>
  <c r="T145" i="3"/>
  <c r="T262" i="3"/>
  <c r="T74" i="3"/>
  <c r="T336" i="3"/>
  <c r="T269" i="3"/>
  <c r="T233" i="3"/>
  <c r="S241" i="3" s="1"/>
  <c r="T224" i="3"/>
  <c r="T352" i="3"/>
  <c r="T200" i="3"/>
  <c r="T157" i="3"/>
  <c r="T332" i="3"/>
  <c r="T141" i="3"/>
  <c r="T155" i="3"/>
  <c r="T312" i="3"/>
  <c r="R364" i="3"/>
  <c r="T289" i="3"/>
  <c r="T153" i="3"/>
  <c r="T361" i="3"/>
  <c r="T180" i="3"/>
  <c r="S162" i="3"/>
  <c r="T139" i="3"/>
  <c r="AB364" i="1"/>
  <c r="AB183" i="1"/>
  <c r="AB220" i="1" s="1"/>
  <c r="Z183" i="1"/>
  <c r="Z220" i="1" s="1"/>
  <c r="Z552" i="1"/>
  <c r="AD462" i="15" l="1"/>
  <c r="AD464" i="15" s="1"/>
  <c r="AK464" i="15"/>
  <c r="AJ462" i="15"/>
  <c r="AJ464" i="15" s="1"/>
  <c r="AI462" i="15"/>
  <c r="AI464" i="15" s="1"/>
  <c r="AM462" i="15"/>
  <c r="AM464" i="15" s="1"/>
  <c r="AG462" i="15"/>
  <c r="AG464" i="15" s="1"/>
  <c r="AB462" i="15"/>
  <c r="AB464" i="15" s="1"/>
  <c r="AF462" i="15"/>
  <c r="AF464" i="15" s="1"/>
  <c r="AE462" i="15"/>
  <c r="AE464" i="15" s="1"/>
  <c r="AC462" i="15"/>
  <c r="AC464" i="15" s="1"/>
  <c r="AJ462" i="13"/>
  <c r="AJ464" i="13" s="1"/>
  <c r="AI462" i="13"/>
  <c r="AI464" i="13" s="1"/>
  <c r="AG462" i="13"/>
  <c r="AG464" i="13" s="1"/>
  <c r="AF462" i="13"/>
  <c r="AF464" i="13" s="1"/>
  <c r="AK462" i="13"/>
  <c r="AK464" i="13" s="1"/>
  <c r="AE462" i="13"/>
  <c r="AE464" i="13" s="1"/>
  <c r="AD462" i="13"/>
  <c r="AD464" i="13" s="1"/>
  <c r="AC462" i="13"/>
  <c r="AC464" i="13" s="1"/>
  <c r="AB462" i="13"/>
  <c r="AB464" i="13" s="1"/>
  <c r="AJ462" i="12"/>
  <c r="AJ464" i="12" s="1"/>
  <c r="AI462" i="12"/>
  <c r="AI464" i="12" s="1"/>
  <c r="AG462" i="12"/>
  <c r="AG464" i="12" s="1"/>
  <c r="AF462" i="12"/>
  <c r="AF464" i="12" s="1"/>
  <c r="AE462" i="12"/>
  <c r="AE464" i="12" s="1"/>
  <c r="AD462" i="12"/>
  <c r="AD464" i="12" s="1"/>
  <c r="AC462" i="12"/>
  <c r="AC464" i="12" s="1"/>
  <c r="AB462" i="12"/>
  <c r="AB464" i="12" s="1"/>
  <c r="AG462" i="11"/>
  <c r="AM452" i="15"/>
  <c r="AJ452" i="15"/>
  <c r="AI452" i="15"/>
  <c r="AE452" i="15"/>
  <c r="AD452" i="15"/>
  <c r="AC452" i="15"/>
  <c r="AB452" i="15"/>
  <c r="AJ452" i="13"/>
  <c r="AI452" i="13"/>
  <c r="AE452" i="13"/>
  <c r="AD452" i="13"/>
  <c r="AC452" i="13"/>
  <c r="AB452" i="13"/>
  <c r="AK452" i="13"/>
  <c r="AC452" i="12"/>
  <c r="AB452" i="12"/>
  <c r="AJ452" i="12"/>
  <c r="AI452" i="12"/>
  <c r="AE452" i="12"/>
  <c r="AD452" i="12"/>
  <c r="AM451" i="15"/>
  <c r="AJ451" i="15"/>
  <c r="AD451" i="15"/>
  <c r="AC451" i="15"/>
  <c r="AI451" i="15"/>
  <c r="AE451" i="15"/>
  <c r="AB451" i="15"/>
  <c r="AK451" i="13"/>
  <c r="AE451" i="13"/>
  <c r="AD451" i="13"/>
  <c r="AI451" i="13"/>
  <c r="AC451" i="13"/>
  <c r="AB451" i="13"/>
  <c r="AJ451" i="13"/>
  <c r="AD451" i="12"/>
  <c r="AI451" i="12"/>
  <c r="AE451" i="12"/>
  <c r="AJ451" i="12"/>
  <c r="AC451" i="12"/>
  <c r="AB451" i="12"/>
  <c r="AJ450" i="15"/>
  <c r="AM450" i="15"/>
  <c r="AI450" i="15"/>
  <c r="AE450" i="15"/>
  <c r="AD450" i="15"/>
  <c r="AC450" i="15"/>
  <c r="AB450" i="15"/>
  <c r="AB450" i="13"/>
  <c r="AK450" i="13"/>
  <c r="AJ450" i="13"/>
  <c r="AI450" i="13"/>
  <c r="AE450" i="13"/>
  <c r="AD450" i="13"/>
  <c r="AC450" i="13"/>
  <c r="AI450" i="12"/>
  <c r="AE450" i="12"/>
  <c r="AJ450" i="12"/>
  <c r="AD450" i="12"/>
  <c r="AC450" i="12"/>
  <c r="AB450" i="12"/>
  <c r="AM449" i="15"/>
  <c r="AJ449" i="15"/>
  <c r="AI449" i="15"/>
  <c r="AD449" i="15"/>
  <c r="AC449" i="15"/>
  <c r="AE449" i="15"/>
  <c r="AB449" i="15"/>
  <c r="AJ449" i="13"/>
  <c r="AI449" i="13"/>
  <c r="AK449" i="13"/>
  <c r="AE449" i="13"/>
  <c r="AD449" i="13"/>
  <c r="AC449" i="13"/>
  <c r="AB449" i="13"/>
  <c r="AC449" i="12"/>
  <c r="AD449" i="12"/>
  <c r="AB449" i="12"/>
  <c r="AJ449" i="12"/>
  <c r="AI449" i="12"/>
  <c r="AE449" i="12"/>
  <c r="AI448" i="15"/>
  <c r="AE448" i="15"/>
  <c r="AD448" i="15"/>
  <c r="AC448" i="15"/>
  <c r="AB448" i="15"/>
  <c r="AM448" i="15"/>
  <c r="AJ448" i="15"/>
  <c r="AI448" i="13"/>
  <c r="AK448" i="13"/>
  <c r="AE448" i="13"/>
  <c r="AD448" i="13"/>
  <c r="AC448" i="13"/>
  <c r="AB448" i="13"/>
  <c r="AJ448" i="13"/>
  <c r="AJ448" i="12"/>
  <c r="AI448" i="12"/>
  <c r="AE448" i="12"/>
  <c r="AD448" i="12"/>
  <c r="AC448" i="12"/>
  <c r="AB448" i="12"/>
  <c r="AD447" i="15"/>
  <c r="AC447" i="15"/>
  <c r="AB447" i="15"/>
  <c r="AJ447" i="15"/>
  <c r="AM447" i="15"/>
  <c r="AI447" i="15"/>
  <c r="AE447" i="15"/>
  <c r="AE447" i="13"/>
  <c r="AD447" i="13"/>
  <c r="AC447" i="13"/>
  <c r="AB447" i="13"/>
  <c r="AK447" i="13"/>
  <c r="AI447" i="13"/>
  <c r="AJ447" i="13"/>
  <c r="AJ447" i="12"/>
  <c r="AI447" i="12"/>
  <c r="AE447" i="12"/>
  <c r="AD447" i="12"/>
  <c r="AC447" i="12"/>
  <c r="AB447" i="12"/>
  <c r="AB446" i="15"/>
  <c r="AC446" i="15"/>
  <c r="AE446" i="15"/>
  <c r="AD446" i="15"/>
  <c r="AM446" i="15"/>
  <c r="AJ446" i="15"/>
  <c r="AI446" i="15"/>
  <c r="AB446" i="13"/>
  <c r="AK446" i="13"/>
  <c r="AJ446" i="13"/>
  <c r="AE446" i="13"/>
  <c r="AI446" i="13"/>
  <c r="AD446" i="13"/>
  <c r="AC446" i="13"/>
  <c r="AC446" i="12"/>
  <c r="AJ446" i="12"/>
  <c r="AB446" i="12"/>
  <c r="AI446" i="12"/>
  <c r="AE446" i="12"/>
  <c r="AD446" i="12"/>
  <c r="AJ445" i="15"/>
  <c r="AI445" i="15"/>
  <c r="AE445" i="15"/>
  <c r="AM445" i="15"/>
  <c r="AD445" i="15"/>
  <c r="AC445" i="15"/>
  <c r="AB445" i="15"/>
  <c r="AJ445" i="13"/>
  <c r="AI445" i="13"/>
  <c r="AK445" i="13"/>
  <c r="AE445" i="13"/>
  <c r="AD445" i="13"/>
  <c r="AC445" i="13"/>
  <c r="AB445" i="13"/>
  <c r="AI445" i="12"/>
  <c r="AE445" i="12"/>
  <c r="AC445" i="12"/>
  <c r="AD445" i="12"/>
  <c r="AB445" i="12"/>
  <c r="AJ445" i="12"/>
  <c r="AJ444" i="15"/>
  <c r="AI444" i="15"/>
  <c r="AC444" i="15"/>
  <c r="AE444" i="15"/>
  <c r="AD444" i="15"/>
  <c r="AB444" i="15"/>
  <c r="AM444" i="15"/>
  <c r="AK444" i="13"/>
  <c r="AI444" i="13"/>
  <c r="AE444" i="13"/>
  <c r="AD444" i="13"/>
  <c r="AJ444" i="13"/>
  <c r="AC444" i="13"/>
  <c r="AB444" i="13"/>
  <c r="AB444" i="12"/>
  <c r="AJ444" i="12"/>
  <c r="AD444" i="12"/>
  <c r="AI444" i="12"/>
  <c r="AC444" i="12"/>
  <c r="AE444" i="12"/>
  <c r="AE462" i="11"/>
  <c r="AD462" i="11"/>
  <c r="AD464" i="11" s="1"/>
  <c r="AI462" i="11"/>
  <c r="AC462" i="11"/>
  <c r="AC464" i="11" s="1"/>
  <c r="AF462" i="11"/>
  <c r="AB462" i="11"/>
  <c r="AH462" i="10"/>
  <c r="AE462" i="10"/>
  <c r="AD462" i="10"/>
  <c r="AD464" i="10" s="1"/>
  <c r="AF462" i="10"/>
  <c r="AC462" i="10"/>
  <c r="AC464" i="10" s="1"/>
  <c r="AG462" i="10"/>
  <c r="AB462" i="10"/>
  <c r="AH457" i="10"/>
  <c r="AI457" i="11"/>
  <c r="AF457" i="11"/>
  <c r="AB457" i="11"/>
  <c r="AG457" i="10"/>
  <c r="AB457" i="10"/>
  <c r="AF457" i="10"/>
  <c r="AI458" i="11"/>
  <c r="AF458" i="11"/>
  <c r="AE458" i="11"/>
  <c r="AE464" i="11" s="1"/>
  <c r="AB458" i="11"/>
  <c r="AG458" i="10"/>
  <c r="AF458" i="10"/>
  <c r="AE458" i="10"/>
  <c r="AB458" i="10"/>
  <c r="AH458" i="10"/>
  <c r="AG463" i="9"/>
  <c r="AI463" i="11"/>
  <c r="AG464" i="11"/>
  <c r="AH463" i="10"/>
  <c r="AH464" i="10" s="1"/>
  <c r="AG463" i="10"/>
  <c r="AE452" i="11"/>
  <c r="AB452" i="11"/>
  <c r="AC452" i="11"/>
  <c r="AI452" i="11"/>
  <c r="AH452" i="10"/>
  <c r="AD452" i="11"/>
  <c r="AG452" i="10"/>
  <c r="AF452" i="10"/>
  <c r="AE452" i="10"/>
  <c r="AC452" i="10"/>
  <c r="AD452" i="10"/>
  <c r="AB452" i="10"/>
  <c r="AC451" i="11"/>
  <c r="AE451" i="11"/>
  <c r="AD451" i="11"/>
  <c r="AB451" i="11"/>
  <c r="AI451" i="11"/>
  <c r="AH451" i="10"/>
  <c r="AG451" i="10"/>
  <c r="AE451" i="10"/>
  <c r="AC451" i="10"/>
  <c r="AF451" i="10"/>
  <c r="AD451" i="10"/>
  <c r="AB451" i="10"/>
  <c r="AH450" i="10"/>
  <c r="AE450" i="11"/>
  <c r="AD450" i="11"/>
  <c r="AC450" i="11"/>
  <c r="AB450" i="11"/>
  <c r="AI450" i="11"/>
  <c r="AC450" i="10"/>
  <c r="AF450" i="10"/>
  <c r="AB450" i="10"/>
  <c r="AE450" i="10"/>
  <c r="AG450" i="10"/>
  <c r="AD450" i="10"/>
  <c r="AE449" i="11"/>
  <c r="AH449" i="10"/>
  <c r="AC449" i="11"/>
  <c r="AI449" i="11"/>
  <c r="AD449" i="11"/>
  <c r="AB449" i="11"/>
  <c r="AF449" i="10"/>
  <c r="AG449" i="10"/>
  <c r="AE449" i="10"/>
  <c r="AD449" i="10"/>
  <c r="AC449" i="10"/>
  <c r="AB449" i="10"/>
  <c r="AE448" i="11"/>
  <c r="AC448" i="11"/>
  <c r="AB448" i="11"/>
  <c r="AI448" i="11"/>
  <c r="AH448" i="10"/>
  <c r="AD448" i="11"/>
  <c r="AC448" i="10"/>
  <c r="AE448" i="10"/>
  <c r="AD448" i="10"/>
  <c r="AB448" i="10"/>
  <c r="AG448" i="10"/>
  <c r="AF448" i="10"/>
  <c r="AI447" i="11"/>
  <c r="AE447" i="11"/>
  <c r="AD447" i="11"/>
  <c r="AC447" i="11"/>
  <c r="AB447" i="11"/>
  <c r="AH447" i="10"/>
  <c r="AC447" i="10"/>
  <c r="AB447" i="10"/>
  <c r="AG447" i="10"/>
  <c r="AF447" i="10"/>
  <c r="AE447" i="10"/>
  <c r="AD447" i="10"/>
  <c r="AI446" i="11"/>
  <c r="AH446" i="10"/>
  <c r="AD446" i="11"/>
  <c r="AE446" i="11"/>
  <c r="AC446" i="11"/>
  <c r="AB446" i="11"/>
  <c r="AE446" i="10"/>
  <c r="AC446" i="10"/>
  <c r="AB446" i="10"/>
  <c r="AG446" i="10"/>
  <c r="AF446" i="10"/>
  <c r="AD446" i="10"/>
  <c r="AH445" i="10"/>
  <c r="AE445" i="11"/>
  <c r="AC445" i="11"/>
  <c r="AD445" i="11"/>
  <c r="AB445" i="11"/>
  <c r="AI445" i="11"/>
  <c r="AE445" i="10"/>
  <c r="AC445" i="10"/>
  <c r="AG445" i="10"/>
  <c r="AF445" i="10"/>
  <c r="AD445" i="10"/>
  <c r="AB445" i="10"/>
  <c r="AH444" i="10"/>
  <c r="AE444" i="11"/>
  <c r="AD444" i="11"/>
  <c r="AB444" i="11"/>
  <c r="AC444" i="11"/>
  <c r="AI444" i="11"/>
  <c r="AG444" i="10"/>
  <c r="AF444" i="10"/>
  <c r="AE444" i="10"/>
  <c r="AD444" i="10"/>
  <c r="AC444" i="10"/>
  <c r="AB444" i="10"/>
  <c r="AF459" i="9"/>
  <c r="AG459" i="9"/>
  <c r="AK479" i="8"/>
  <c r="AG461" i="9"/>
  <c r="AF461" i="9"/>
  <c r="AF460" i="9"/>
  <c r="AG460" i="9"/>
  <c r="AD448" i="1"/>
  <c r="AG448" i="9"/>
  <c r="AF448" i="9"/>
  <c r="AE448" i="9"/>
  <c r="AD448" i="9"/>
  <c r="AC448" i="9"/>
  <c r="AB448" i="9"/>
  <c r="AF448" i="8"/>
  <c r="AE448" i="8"/>
  <c r="AD448" i="8"/>
  <c r="AC448" i="8"/>
  <c r="AB448" i="8"/>
  <c r="AI448" i="8" s="1"/>
  <c r="AB448" i="6"/>
  <c r="AH448" i="6" s="1"/>
  <c r="AE448" i="6"/>
  <c r="AC448" i="6"/>
  <c r="AD448" i="6"/>
  <c r="AC448" i="5"/>
  <c r="AB448" i="5"/>
  <c r="AG448" i="5" s="1"/>
  <c r="AD448" i="5"/>
  <c r="AC448" i="2"/>
  <c r="AB448" i="2"/>
  <c r="AE448" i="2" s="1"/>
  <c r="AB473" i="1"/>
  <c r="AD473" i="1" s="1"/>
  <c r="AG473" i="9"/>
  <c r="AF473" i="9"/>
  <c r="AB473" i="9"/>
  <c r="AF473" i="8"/>
  <c r="AM473" i="8" s="1"/>
  <c r="AB473" i="8"/>
  <c r="AB473" i="6"/>
  <c r="AB473" i="5"/>
  <c r="AB473" i="2"/>
  <c r="AG457" i="9"/>
  <c r="AB457" i="9"/>
  <c r="AF457" i="9"/>
  <c r="AB457" i="8"/>
  <c r="AF457" i="8"/>
  <c r="AB457" i="6"/>
  <c r="AB457" i="5"/>
  <c r="AB457" i="2"/>
  <c r="AB457" i="1"/>
  <c r="AD457" i="1" s="1"/>
  <c r="AD460" i="1"/>
  <c r="AB460" i="9"/>
  <c r="AB460" i="8"/>
  <c r="AB460" i="6"/>
  <c r="AB460" i="5"/>
  <c r="AB460" i="2"/>
  <c r="AD449" i="1"/>
  <c r="AF449" i="9"/>
  <c r="AE449" i="9"/>
  <c r="AD449" i="9"/>
  <c r="AC449" i="9"/>
  <c r="AG449" i="9"/>
  <c r="AB449" i="9"/>
  <c r="AF449" i="8"/>
  <c r="AE449" i="8"/>
  <c r="AD449" i="8"/>
  <c r="AC449" i="8"/>
  <c r="AB449" i="8"/>
  <c r="AI449" i="8" s="1"/>
  <c r="AC449" i="6"/>
  <c r="AB449" i="6"/>
  <c r="AH449" i="6" s="1"/>
  <c r="AE449" i="6"/>
  <c r="AD449" i="6"/>
  <c r="AB449" i="5"/>
  <c r="AG449" i="5" s="1"/>
  <c r="AD449" i="5"/>
  <c r="AC449" i="5"/>
  <c r="AC449" i="2"/>
  <c r="AB449" i="2"/>
  <c r="AE449" i="2" s="1"/>
  <c r="AK466" i="8"/>
  <c r="AD458" i="1"/>
  <c r="AG458" i="9"/>
  <c r="AF458" i="9"/>
  <c r="AE458" i="9"/>
  <c r="AB458" i="9"/>
  <c r="AB458" i="8"/>
  <c r="AF458" i="8"/>
  <c r="AE458" i="8"/>
  <c r="AE458" i="6"/>
  <c r="AB458" i="6"/>
  <c r="AB458" i="5"/>
  <c r="AB458" i="2"/>
  <c r="AD452" i="1"/>
  <c r="AG452" i="9"/>
  <c r="AF452" i="9"/>
  <c r="AE452" i="9"/>
  <c r="AD452" i="9"/>
  <c r="AC452" i="9"/>
  <c r="AB452" i="9"/>
  <c r="AE452" i="8"/>
  <c r="AD452" i="8"/>
  <c r="AC452" i="8"/>
  <c r="AF452" i="8"/>
  <c r="AB452" i="8"/>
  <c r="AI452" i="8" s="1"/>
  <c r="AC452" i="6"/>
  <c r="AB452" i="6"/>
  <c r="AD452" i="6"/>
  <c r="AE452" i="6"/>
  <c r="AC452" i="5"/>
  <c r="AB452" i="5"/>
  <c r="AG452" i="5" s="1"/>
  <c r="AD452" i="5"/>
  <c r="AB452" i="2"/>
  <c r="AE452" i="2" s="1"/>
  <c r="AC452" i="2"/>
  <c r="AB482" i="1"/>
  <c r="AD482" i="1" s="1"/>
  <c r="AF482" i="9"/>
  <c r="AB482" i="9"/>
  <c r="AG482" i="9"/>
  <c r="AF482" i="8"/>
  <c r="AM482" i="8" s="1"/>
  <c r="AB482" i="8"/>
  <c r="AB482" i="6"/>
  <c r="AB482" i="5"/>
  <c r="AB482" i="2"/>
  <c r="AD445" i="1"/>
  <c r="AF445" i="9"/>
  <c r="AE445" i="9"/>
  <c r="AG445" i="9"/>
  <c r="AD445" i="9"/>
  <c r="AC445" i="9"/>
  <c r="AB445" i="9"/>
  <c r="AF445" i="8"/>
  <c r="AE445" i="8"/>
  <c r="AD445" i="8"/>
  <c r="AC445" i="8"/>
  <c r="AB445" i="8"/>
  <c r="AI445" i="8" s="1"/>
  <c r="AB445" i="6"/>
  <c r="AH445" i="6" s="1"/>
  <c r="AE445" i="6"/>
  <c r="AD445" i="6"/>
  <c r="AC445" i="6"/>
  <c r="AB445" i="5"/>
  <c r="AG445" i="5" s="1"/>
  <c r="AD445" i="5"/>
  <c r="AC445" i="5"/>
  <c r="AB445" i="2"/>
  <c r="AE445" i="2" s="1"/>
  <c r="AC445" i="2"/>
  <c r="AB483" i="1"/>
  <c r="AD483" i="1" s="1"/>
  <c r="AF483" i="9"/>
  <c r="AB483" i="9"/>
  <c r="AG483" i="9"/>
  <c r="AF483" i="8"/>
  <c r="AM483" i="8" s="1"/>
  <c r="AB483" i="8"/>
  <c r="AB483" i="6"/>
  <c r="AB483" i="5"/>
  <c r="AB483" i="2"/>
  <c r="AB484" i="1"/>
  <c r="AD484" i="1" s="1"/>
  <c r="AE484" i="9"/>
  <c r="AC484" i="9"/>
  <c r="AB484" i="9"/>
  <c r="AF484" i="9"/>
  <c r="AD484" i="9"/>
  <c r="AG484" i="9"/>
  <c r="AF484" i="8"/>
  <c r="AE484" i="8"/>
  <c r="AM484" i="8" s="1"/>
  <c r="AC484" i="8"/>
  <c r="AD484" i="8"/>
  <c r="AB484" i="8"/>
  <c r="AI484" i="8" s="1"/>
  <c r="AC484" i="6"/>
  <c r="AD484" i="6"/>
  <c r="AB484" i="6"/>
  <c r="AH484" i="6" s="1"/>
  <c r="AE484" i="6"/>
  <c r="AC484" i="5"/>
  <c r="AB484" i="5"/>
  <c r="AG484" i="5" s="1"/>
  <c r="AD484" i="5"/>
  <c r="AB484" i="2"/>
  <c r="AE484" i="2" s="1"/>
  <c r="AC484" i="2"/>
  <c r="AG466" i="5"/>
  <c r="AD447" i="1"/>
  <c r="AC447" i="9"/>
  <c r="AE447" i="9"/>
  <c r="AB447" i="9"/>
  <c r="AF447" i="9"/>
  <c r="AD447" i="9"/>
  <c r="AG447" i="9"/>
  <c r="AE447" i="8"/>
  <c r="AC447" i="8"/>
  <c r="AB447" i="8"/>
  <c r="AI447" i="8" s="1"/>
  <c r="AD447" i="8"/>
  <c r="AF447" i="8"/>
  <c r="AE447" i="6"/>
  <c r="AD447" i="6"/>
  <c r="AC447" i="6"/>
  <c r="AB447" i="6"/>
  <c r="AH447" i="6" s="1"/>
  <c r="AD447" i="5"/>
  <c r="AC447" i="5"/>
  <c r="AB447" i="5"/>
  <c r="AG447" i="5" s="1"/>
  <c r="AC447" i="2"/>
  <c r="AB447" i="2"/>
  <c r="AE447" i="2" s="1"/>
  <c r="AJ466" i="8"/>
  <c r="AD450" i="1"/>
  <c r="AF450" i="9"/>
  <c r="AD450" i="9"/>
  <c r="AB450" i="9"/>
  <c r="AE450" i="9"/>
  <c r="AC450" i="9"/>
  <c r="AG450" i="9"/>
  <c r="AE450" i="8"/>
  <c r="AD450" i="8"/>
  <c r="AB450" i="8"/>
  <c r="AI450" i="8" s="1"/>
  <c r="AF450" i="8"/>
  <c r="AC450" i="8"/>
  <c r="AE450" i="6"/>
  <c r="AD450" i="6"/>
  <c r="AC450" i="6"/>
  <c r="AB450" i="6"/>
  <c r="AH450" i="6" s="1"/>
  <c r="AC450" i="5"/>
  <c r="AB450" i="5"/>
  <c r="AG450" i="5" s="1"/>
  <c r="AD450" i="5"/>
  <c r="AB450" i="2"/>
  <c r="AE450" i="2" s="1"/>
  <c r="AC450" i="2"/>
  <c r="AF466" i="2"/>
  <c r="AB459" i="9"/>
  <c r="AB459" i="8"/>
  <c r="AB459" i="6"/>
  <c r="AB459" i="5"/>
  <c r="AB459" i="2"/>
  <c r="AM466" i="8"/>
  <c r="AE469" i="8"/>
  <c r="AD451" i="1"/>
  <c r="AD451" i="9"/>
  <c r="AB451" i="9"/>
  <c r="AC451" i="9"/>
  <c r="AG451" i="9"/>
  <c r="AF451" i="9"/>
  <c r="AE451" i="9"/>
  <c r="AF451" i="8"/>
  <c r="AE451" i="8"/>
  <c r="AD451" i="8"/>
  <c r="AC451" i="8"/>
  <c r="AB451" i="8"/>
  <c r="AI451" i="8" s="1"/>
  <c r="AD451" i="6"/>
  <c r="AC451" i="6"/>
  <c r="AB451" i="6"/>
  <c r="AH451" i="6" s="1"/>
  <c r="AE451" i="6"/>
  <c r="AD451" i="5"/>
  <c r="AB451" i="5"/>
  <c r="AG451" i="5" s="1"/>
  <c r="AC451" i="5"/>
  <c r="AB451" i="2"/>
  <c r="AE451" i="2" s="1"/>
  <c r="AC451" i="2"/>
  <c r="AB467" i="1"/>
  <c r="AD467" i="1" s="1"/>
  <c r="AG467" i="9"/>
  <c r="AF467" i="9"/>
  <c r="AB467" i="9"/>
  <c r="AF467" i="8"/>
  <c r="AM467" i="8" s="1"/>
  <c r="AB467" i="8"/>
  <c r="AB467" i="6"/>
  <c r="AB467" i="5"/>
  <c r="AB467" i="2"/>
  <c r="AI466" i="5"/>
  <c r="AD469" i="5"/>
  <c r="AH466" i="5"/>
  <c r="AH466" i="6"/>
  <c r="AB481" i="1"/>
  <c r="AD481" i="1" s="1"/>
  <c r="AG481" i="9"/>
  <c r="AF481" i="9"/>
  <c r="AE481" i="9"/>
  <c r="AD481" i="9"/>
  <c r="AC481" i="9"/>
  <c r="AB481" i="9"/>
  <c r="AF481" i="8"/>
  <c r="AM481" i="8" s="1"/>
  <c r="AE481" i="8"/>
  <c r="AD481" i="8"/>
  <c r="AC481" i="8"/>
  <c r="AB481" i="8"/>
  <c r="AI481" i="8" s="1"/>
  <c r="AE481" i="6"/>
  <c r="AD481" i="6"/>
  <c r="AC481" i="6"/>
  <c r="AB481" i="6"/>
  <c r="AH481" i="6" s="1"/>
  <c r="AC481" i="5"/>
  <c r="AD481" i="5"/>
  <c r="AB481" i="5"/>
  <c r="AG481" i="5" s="1"/>
  <c r="AC481" i="2"/>
  <c r="AB481" i="2"/>
  <c r="AE481" i="2" s="1"/>
  <c r="AD444" i="1"/>
  <c r="AB444" i="9"/>
  <c r="AC444" i="9"/>
  <c r="AD444" i="9"/>
  <c r="AG444" i="9"/>
  <c r="AF444" i="9"/>
  <c r="AE444" i="9"/>
  <c r="AF444" i="8"/>
  <c r="AC444" i="8"/>
  <c r="AB444" i="8"/>
  <c r="AE444" i="8"/>
  <c r="AD444" i="8"/>
  <c r="AD444" i="6"/>
  <c r="AC444" i="6"/>
  <c r="AE444" i="6"/>
  <c r="AB444" i="6"/>
  <c r="AD444" i="5"/>
  <c r="AB444" i="5"/>
  <c r="AC444" i="5"/>
  <c r="AB444" i="2"/>
  <c r="AC444" i="2"/>
  <c r="AD462" i="1"/>
  <c r="AG462" i="9"/>
  <c r="AC462" i="9"/>
  <c r="AC464" i="9" s="1"/>
  <c r="AF462" i="9"/>
  <c r="AE462" i="9"/>
  <c r="AD462" i="9"/>
  <c r="AD464" i="9" s="1"/>
  <c r="AB462" i="9"/>
  <c r="AD462" i="8"/>
  <c r="AC462" i="8"/>
  <c r="AB462" i="8"/>
  <c r="AI462" i="8" s="1"/>
  <c r="AF462" i="8"/>
  <c r="AE462" i="8"/>
  <c r="AC462" i="6"/>
  <c r="AD462" i="6"/>
  <c r="AB462" i="6"/>
  <c r="AH462" i="6" s="1"/>
  <c r="AE462" i="6"/>
  <c r="AC462" i="5"/>
  <c r="AB462" i="5"/>
  <c r="AG462" i="5" s="1"/>
  <c r="AD462" i="5"/>
  <c r="AB462" i="2"/>
  <c r="AE462" i="2" s="1"/>
  <c r="AC462" i="2"/>
  <c r="AI466" i="6"/>
  <c r="AI466" i="8"/>
  <c r="AB469" i="8"/>
  <c r="AI469" i="8" s="1"/>
  <c r="AB468" i="1"/>
  <c r="AD468" i="1" s="1"/>
  <c r="AG468" i="9"/>
  <c r="AE469" i="9"/>
  <c r="AD468" i="9"/>
  <c r="AD469" i="9" s="1"/>
  <c r="AC468" i="9"/>
  <c r="AC469" i="9" s="1"/>
  <c r="AB468" i="9"/>
  <c r="AF468" i="8"/>
  <c r="AE468" i="8"/>
  <c r="AD468" i="8"/>
  <c r="AD469" i="8" s="1"/>
  <c r="AC468" i="8"/>
  <c r="AB468" i="8"/>
  <c r="AI468" i="8" s="1"/>
  <c r="AB468" i="6"/>
  <c r="AH468" i="6" s="1"/>
  <c r="AD468" i="6"/>
  <c r="AD469" i="6" s="1"/>
  <c r="AC468" i="6"/>
  <c r="AC469" i="6" s="1"/>
  <c r="AE468" i="6"/>
  <c r="AE469" i="6" s="1"/>
  <c r="AC468" i="5"/>
  <c r="AH468" i="5" s="1"/>
  <c r="AB468" i="5"/>
  <c r="AG468" i="5" s="1"/>
  <c r="AD468" i="5"/>
  <c r="AB468" i="2"/>
  <c r="AE468" i="2" s="1"/>
  <c r="AC468" i="2"/>
  <c r="AB485" i="1"/>
  <c r="AD485" i="1" s="1"/>
  <c r="AF485" i="9"/>
  <c r="AB485" i="9"/>
  <c r="AG485" i="9"/>
  <c r="AF485" i="8"/>
  <c r="AM485" i="8" s="1"/>
  <c r="AB485" i="8"/>
  <c r="AB485" i="6"/>
  <c r="AB485" i="5"/>
  <c r="AB485" i="2"/>
  <c r="AB461" i="9"/>
  <c r="AB461" i="8"/>
  <c r="AB461" i="6"/>
  <c r="AB461" i="5"/>
  <c r="AB461" i="2"/>
  <c r="AE466" i="2"/>
  <c r="AI479" i="5"/>
  <c r="AB472" i="1"/>
  <c r="AD472" i="1" s="1"/>
  <c r="AG472" i="9"/>
  <c r="AF472" i="9"/>
  <c r="AB472" i="9"/>
  <c r="AF472" i="8"/>
  <c r="AM472" i="8" s="1"/>
  <c r="AB472" i="8"/>
  <c r="AB472" i="6"/>
  <c r="AB472" i="5"/>
  <c r="AB472" i="2"/>
  <c r="AD446" i="1"/>
  <c r="AF446" i="9"/>
  <c r="AC446" i="9"/>
  <c r="AE446" i="9"/>
  <c r="AD446" i="9"/>
  <c r="AB446" i="9"/>
  <c r="AG446" i="9"/>
  <c r="AE446" i="8"/>
  <c r="AC446" i="8"/>
  <c r="AD446" i="8"/>
  <c r="AB446" i="8"/>
  <c r="AI446" i="8" s="1"/>
  <c r="AF446" i="8"/>
  <c r="AE446" i="6"/>
  <c r="AD446" i="6"/>
  <c r="AC446" i="6"/>
  <c r="AB446" i="6"/>
  <c r="AH446" i="6" s="1"/>
  <c r="AD446" i="5"/>
  <c r="AC446" i="5"/>
  <c r="AB446" i="5"/>
  <c r="AG446" i="5" s="1"/>
  <c r="AB446" i="2"/>
  <c r="AE446" i="2" s="1"/>
  <c r="AC446" i="2"/>
  <c r="AF446" i="2" s="1"/>
  <c r="AB471" i="1"/>
  <c r="AD471" i="1" s="1"/>
  <c r="AB471" i="9"/>
  <c r="AG471" i="9"/>
  <c r="AF471" i="9"/>
  <c r="AF471" i="8"/>
  <c r="AB471" i="8"/>
  <c r="AB471" i="6"/>
  <c r="AB471" i="5"/>
  <c r="AB471" i="2"/>
  <c r="AJ466" i="6"/>
  <c r="AG486" i="9"/>
  <c r="AB486" i="9"/>
  <c r="AF486" i="9"/>
  <c r="AF486" i="8"/>
  <c r="AB486" i="8"/>
  <c r="AB486" i="6"/>
  <c r="AB486" i="5"/>
  <c r="AB486" i="2"/>
  <c r="AC220" i="1"/>
  <c r="AB495" i="1"/>
  <c r="AB548" i="1" s="1"/>
  <c r="AD463" i="1"/>
  <c r="AB461" i="1"/>
  <c r="AD461" i="1" s="1"/>
  <c r="U268" i="3"/>
  <c r="U269" i="3" s="1"/>
  <c r="U270" i="3" s="1"/>
  <c r="U182" i="3"/>
  <c r="V182" i="3" s="1"/>
  <c r="U361" i="3"/>
  <c r="V361" i="3" s="1"/>
  <c r="AB486" i="1"/>
  <c r="R367" i="3"/>
  <c r="S363" i="3"/>
  <c r="AE34" i="3"/>
  <c r="S294" i="3"/>
  <c r="S227" i="3"/>
  <c r="Z553" i="1"/>
  <c r="Z580" i="1" s="1"/>
  <c r="Z1" i="1" s="1"/>
  <c r="AG476" i="15" l="1"/>
  <c r="AG479" i="15" s="1"/>
  <c r="AF476" i="15"/>
  <c r="AF479" i="15" s="1"/>
  <c r="AF489" i="15" s="1"/>
  <c r="AF554" i="15" s="1"/>
  <c r="AF555" i="15" s="1"/>
  <c r="AF582" i="15" s="1"/>
  <c r="AF1" i="15" s="1"/>
  <c r="AB476" i="15"/>
  <c r="AB479" i="15" s="1"/>
  <c r="AJ476" i="15"/>
  <c r="AJ479" i="15" s="1"/>
  <c r="AM476" i="15"/>
  <c r="AM479" i="15" s="1"/>
  <c r="AK479" i="15"/>
  <c r="AI476" i="15"/>
  <c r="AI479" i="15" s="1"/>
  <c r="AH476" i="15"/>
  <c r="AH479" i="15" s="1"/>
  <c r="AH489" i="15" s="1"/>
  <c r="AH554" i="15" s="1"/>
  <c r="AH555" i="15" s="1"/>
  <c r="AH582" i="15" s="1"/>
  <c r="AH1" i="15" s="1"/>
  <c r="AG476" i="13"/>
  <c r="AG479" i="13" s="1"/>
  <c r="AB476" i="13"/>
  <c r="AB479" i="13" s="1"/>
  <c r="AK476" i="13"/>
  <c r="AK479" i="13" s="1"/>
  <c r="AJ476" i="13"/>
  <c r="AJ479" i="13" s="1"/>
  <c r="AI476" i="13"/>
  <c r="AI479" i="13" s="1"/>
  <c r="AH476" i="13"/>
  <c r="AH479" i="13" s="1"/>
  <c r="AH489" i="13" s="1"/>
  <c r="AH554" i="13" s="1"/>
  <c r="AH555" i="13" s="1"/>
  <c r="AH582" i="13" s="1"/>
  <c r="AH1" i="13" s="1"/>
  <c r="AF476" i="13"/>
  <c r="AF479" i="13" s="1"/>
  <c r="AJ476" i="12"/>
  <c r="AJ479" i="12" s="1"/>
  <c r="AH476" i="12"/>
  <c r="AH479" i="12" s="1"/>
  <c r="AH489" i="12" s="1"/>
  <c r="AH554" i="12" s="1"/>
  <c r="AH555" i="12" s="1"/>
  <c r="AH582" i="12" s="1"/>
  <c r="AH1" i="12" s="1"/>
  <c r="AG476" i="12"/>
  <c r="AG479" i="12" s="1"/>
  <c r="AF476" i="12"/>
  <c r="AF479" i="12" s="1"/>
  <c r="AF489" i="12" s="1"/>
  <c r="AF554" i="12" s="1"/>
  <c r="AF555" i="12" s="1"/>
  <c r="AF582" i="12" s="1"/>
  <c r="AF1" i="12" s="1"/>
  <c r="AB476" i="12"/>
  <c r="AB479" i="12" s="1"/>
  <c r="AI476" i="12"/>
  <c r="AI479" i="12" s="1"/>
  <c r="AH476" i="10"/>
  <c r="AH479" i="10" s="1"/>
  <c r="AH476" i="11"/>
  <c r="AH479" i="11" s="1"/>
  <c r="AH489" i="11" s="1"/>
  <c r="AH554" i="11" s="1"/>
  <c r="AH555" i="11" s="1"/>
  <c r="AH582" i="11" s="1"/>
  <c r="AH1" i="11" s="1"/>
  <c r="AI476" i="11"/>
  <c r="AI479" i="11" s="1"/>
  <c r="AG476" i="11"/>
  <c r="AG479" i="11" s="1"/>
  <c r="AF476" i="11"/>
  <c r="AF479" i="11" s="1"/>
  <c r="AB476" i="11"/>
  <c r="AB479" i="11" s="1"/>
  <c r="AG476" i="10"/>
  <c r="AG479" i="10" s="1"/>
  <c r="AF476" i="10"/>
  <c r="AF479" i="10" s="1"/>
  <c r="AB476" i="10"/>
  <c r="AB479" i="10" s="1"/>
  <c r="AG489" i="15"/>
  <c r="AG554" i="15" s="1"/>
  <c r="AG555" i="15" s="1"/>
  <c r="AG582" i="15" s="1"/>
  <c r="AG1" i="15" s="1"/>
  <c r="AG489" i="12"/>
  <c r="AG554" i="12" s="1"/>
  <c r="AG555" i="12" s="1"/>
  <c r="AG582" i="12" s="1"/>
  <c r="AG1" i="12" s="1"/>
  <c r="AF489" i="13"/>
  <c r="AF554" i="13" s="1"/>
  <c r="AF555" i="13" s="1"/>
  <c r="AF582" i="13" s="1"/>
  <c r="AF1" i="13" s="1"/>
  <c r="AG489" i="11"/>
  <c r="AG554" i="11" s="1"/>
  <c r="AG555" i="11" s="1"/>
  <c r="AG582" i="11" s="1"/>
  <c r="AG1" i="11" s="1"/>
  <c r="AG489" i="13"/>
  <c r="AG554" i="13" s="1"/>
  <c r="AG555" i="13" s="1"/>
  <c r="AG582" i="13" s="1"/>
  <c r="AG1" i="13" s="1"/>
  <c r="AJ454" i="12"/>
  <c r="AJ455" i="12" s="1"/>
  <c r="AB454" i="13"/>
  <c r="AB455" i="13" s="1"/>
  <c r="AI454" i="15"/>
  <c r="AI455" i="15" s="1"/>
  <c r="AI489" i="15" s="1"/>
  <c r="AI554" i="15" s="1"/>
  <c r="AI555" i="15" s="1"/>
  <c r="AI582" i="15" s="1"/>
  <c r="AI1" i="15" s="1"/>
  <c r="AE454" i="15"/>
  <c r="AE455" i="15" s="1"/>
  <c r="AE489" i="15" s="1"/>
  <c r="AE554" i="15" s="1"/>
  <c r="AE555" i="15" s="1"/>
  <c r="AE582" i="15" s="1"/>
  <c r="AE1" i="15" s="1"/>
  <c r="AB454" i="15"/>
  <c r="AB455" i="15" s="1"/>
  <c r="AB489" i="15" s="1"/>
  <c r="AB554" i="15" s="1"/>
  <c r="AB555" i="15" s="1"/>
  <c r="AB582" i="15" s="1"/>
  <c r="AB1" i="15" s="1"/>
  <c r="AI454" i="12"/>
  <c r="AI455" i="12" s="1"/>
  <c r="AI489" i="12" s="1"/>
  <c r="AI554" i="12" s="1"/>
  <c r="AI555" i="12" s="1"/>
  <c r="AI582" i="12" s="1"/>
  <c r="AI1" i="12" s="1"/>
  <c r="AF464" i="10"/>
  <c r="AJ489" i="12"/>
  <c r="AJ554" i="12" s="1"/>
  <c r="AJ555" i="12" s="1"/>
  <c r="AJ582" i="12" s="1"/>
  <c r="AJ1" i="12" s="1"/>
  <c r="AE464" i="10"/>
  <c r="AD454" i="12"/>
  <c r="AD455" i="12" s="1"/>
  <c r="AD489" i="12" s="1"/>
  <c r="AD554" i="12" s="1"/>
  <c r="AD555" i="12" s="1"/>
  <c r="AD582" i="12" s="1"/>
  <c r="AD1" i="12" s="1"/>
  <c r="AD454" i="15"/>
  <c r="AD455" i="15" s="1"/>
  <c r="AD489" i="15" s="1"/>
  <c r="AD554" i="15" s="1"/>
  <c r="AD555" i="15" s="1"/>
  <c r="AD582" i="15" s="1"/>
  <c r="AD1" i="15" s="1"/>
  <c r="AC454" i="12"/>
  <c r="AC455" i="12" s="1"/>
  <c r="AC489" i="12" s="1"/>
  <c r="AC554" i="12" s="1"/>
  <c r="AC555" i="12" s="1"/>
  <c r="AC582" i="12" s="1"/>
  <c r="AC1" i="12" s="1"/>
  <c r="AE454" i="12"/>
  <c r="AE455" i="12" s="1"/>
  <c r="AE489" i="12" s="1"/>
  <c r="AE554" i="12" s="1"/>
  <c r="AE555" i="12" s="1"/>
  <c r="AE582" i="12" s="1"/>
  <c r="AE1" i="12" s="1"/>
  <c r="AI454" i="13"/>
  <c r="AI455" i="13" s="1"/>
  <c r="AI489" i="13" s="1"/>
  <c r="AI554" i="13" s="1"/>
  <c r="AI555" i="13" s="1"/>
  <c r="AI582" i="13" s="1"/>
  <c r="AI1" i="13" s="1"/>
  <c r="AJ454" i="15"/>
  <c r="AJ455" i="15" s="1"/>
  <c r="AJ489" i="15" s="1"/>
  <c r="AJ554" i="15" s="1"/>
  <c r="AJ555" i="15" s="1"/>
  <c r="AJ582" i="15" s="1"/>
  <c r="AJ1" i="15" s="1"/>
  <c r="AK454" i="15"/>
  <c r="AK455" i="15" s="1"/>
  <c r="AB454" i="12"/>
  <c r="AB455" i="12" s="1"/>
  <c r="AD454" i="13"/>
  <c r="AD455" i="13" s="1"/>
  <c r="AD489" i="13" s="1"/>
  <c r="AD554" i="13" s="1"/>
  <c r="AD555" i="13" s="1"/>
  <c r="AD582" i="13" s="1"/>
  <c r="AD1" i="13" s="1"/>
  <c r="AC454" i="13"/>
  <c r="AC455" i="13" s="1"/>
  <c r="AC489" i="13" s="1"/>
  <c r="AC554" i="13" s="1"/>
  <c r="AC555" i="13" s="1"/>
  <c r="AC582" i="13" s="1"/>
  <c r="AC1" i="13" s="1"/>
  <c r="AJ454" i="13"/>
  <c r="AJ455" i="13" s="1"/>
  <c r="AJ489" i="13" s="1"/>
  <c r="AJ554" i="13" s="1"/>
  <c r="AJ555" i="13" s="1"/>
  <c r="AJ582" i="13" s="1"/>
  <c r="AJ1" i="13" s="1"/>
  <c r="AB454" i="10"/>
  <c r="AB455" i="10" s="1"/>
  <c r="AM454" i="15"/>
  <c r="AM455" i="15" s="1"/>
  <c r="AM489" i="15" s="1"/>
  <c r="AM554" i="15" s="1"/>
  <c r="AM555" i="15" s="1"/>
  <c r="AM582" i="15" s="1"/>
  <c r="AM1" i="15" s="1"/>
  <c r="AF445" i="2"/>
  <c r="AH445" i="5"/>
  <c r="AE454" i="13"/>
  <c r="AE455" i="13" s="1"/>
  <c r="AE489" i="13" s="1"/>
  <c r="AE554" i="13" s="1"/>
  <c r="AE555" i="13" s="1"/>
  <c r="AE582" i="13" s="1"/>
  <c r="AE1" i="13" s="1"/>
  <c r="AK454" i="13"/>
  <c r="AK455" i="13" s="1"/>
  <c r="AK489" i="13" s="1"/>
  <c r="AK554" i="13" s="1"/>
  <c r="AK555" i="13" s="1"/>
  <c r="AK582" i="13" s="1"/>
  <c r="AK1" i="13" s="1"/>
  <c r="AC454" i="10"/>
  <c r="AC455" i="10" s="1"/>
  <c r="AC489" i="10" s="1"/>
  <c r="AC554" i="10" s="1"/>
  <c r="AC555" i="10" s="1"/>
  <c r="AC582" i="10" s="1"/>
  <c r="AC1" i="10" s="1"/>
  <c r="AE454" i="10"/>
  <c r="AE455" i="10" s="1"/>
  <c r="AE489" i="10" s="1"/>
  <c r="AE554" i="10" s="1"/>
  <c r="AE555" i="10" s="1"/>
  <c r="AE582" i="10" s="1"/>
  <c r="AE1" i="10" s="1"/>
  <c r="AK445" i="8"/>
  <c r="AC454" i="15"/>
  <c r="AC455" i="15" s="1"/>
  <c r="AC489" i="15" s="1"/>
  <c r="AC554" i="15" s="1"/>
  <c r="AC555" i="15" s="1"/>
  <c r="AC582" i="15" s="1"/>
  <c r="AC1" i="15" s="1"/>
  <c r="AI454" i="11"/>
  <c r="AI455" i="11" s="1"/>
  <c r="AI489" i="11" s="1"/>
  <c r="AI554" i="11" s="1"/>
  <c r="AI555" i="11" s="1"/>
  <c r="AI582" i="11" s="1"/>
  <c r="AI1" i="11" s="1"/>
  <c r="AC454" i="11"/>
  <c r="AC455" i="11" s="1"/>
  <c r="AC489" i="11" s="1"/>
  <c r="AC554" i="11" s="1"/>
  <c r="AC555" i="11" s="1"/>
  <c r="AC582" i="11" s="1"/>
  <c r="AC1" i="11" s="1"/>
  <c r="AI464" i="11"/>
  <c r="AB464" i="10"/>
  <c r="AF464" i="11"/>
  <c r="AF489" i="11" s="1"/>
  <c r="AF554" i="11" s="1"/>
  <c r="AF555" i="11" s="1"/>
  <c r="AF582" i="11" s="1"/>
  <c r="AF1" i="11" s="1"/>
  <c r="AB464" i="11"/>
  <c r="AG464" i="10"/>
  <c r="AK452" i="8"/>
  <c r="AI451" i="5"/>
  <c r="AD454" i="11"/>
  <c r="AD455" i="11" s="1"/>
  <c r="AD489" i="11" s="1"/>
  <c r="AD554" i="11" s="1"/>
  <c r="AD555" i="11" s="1"/>
  <c r="AD582" i="11" s="1"/>
  <c r="AD1" i="11" s="1"/>
  <c r="AH454" i="10"/>
  <c r="AH455" i="10" s="1"/>
  <c r="AD454" i="10"/>
  <c r="AD455" i="10" s="1"/>
  <c r="AD489" i="10" s="1"/>
  <c r="AD554" i="10" s="1"/>
  <c r="AD555" i="10" s="1"/>
  <c r="AD582" i="10" s="1"/>
  <c r="AD1" i="10" s="1"/>
  <c r="AG454" i="10"/>
  <c r="AG455" i="10" s="1"/>
  <c r="AI446" i="5"/>
  <c r="AB454" i="11"/>
  <c r="AB455" i="11" s="1"/>
  <c r="AF454" i="10"/>
  <c r="AF455" i="10" s="1"/>
  <c r="AF489" i="10" s="1"/>
  <c r="AF554" i="10" s="1"/>
  <c r="AF555" i="10" s="1"/>
  <c r="AF582" i="10" s="1"/>
  <c r="AF1" i="10" s="1"/>
  <c r="AE454" i="11"/>
  <c r="AE455" i="11" s="1"/>
  <c r="AE489" i="11" s="1"/>
  <c r="AE554" i="11" s="1"/>
  <c r="AE555" i="11" s="1"/>
  <c r="AE582" i="11" s="1"/>
  <c r="AE1" i="11" s="1"/>
  <c r="AF468" i="2"/>
  <c r="AI451" i="6"/>
  <c r="AI450" i="5"/>
  <c r="AJ452" i="6"/>
  <c r="AK448" i="8"/>
  <c r="AB469" i="6"/>
  <c r="AH469" i="6" s="1"/>
  <c r="AC469" i="5"/>
  <c r="AK484" i="8"/>
  <c r="AJ484" i="6"/>
  <c r="AJ468" i="8"/>
  <c r="AI468" i="5"/>
  <c r="AB469" i="9"/>
  <c r="AF444" i="2"/>
  <c r="AI445" i="6"/>
  <c r="AK446" i="8"/>
  <c r="AJ449" i="8"/>
  <c r="AI448" i="5"/>
  <c r="AJ448" i="6"/>
  <c r="AI449" i="6"/>
  <c r="AJ448" i="8"/>
  <c r="AI450" i="6"/>
  <c r="AM452" i="8"/>
  <c r="AM447" i="8"/>
  <c r="AJ452" i="8"/>
  <c r="AF452" i="2"/>
  <c r="AF449" i="2"/>
  <c r="AJ450" i="8"/>
  <c r="AH449" i="5"/>
  <c r="AM450" i="8"/>
  <c r="AI448" i="6"/>
  <c r="AK450" i="8"/>
  <c r="AJ449" i="6"/>
  <c r="AJ447" i="6"/>
  <c r="AH451" i="5"/>
  <c r="AJ451" i="6"/>
  <c r="AE464" i="6"/>
  <c r="AE464" i="8"/>
  <c r="AG454" i="9"/>
  <c r="AG455" i="9" s="1"/>
  <c r="AE488" i="9"/>
  <c r="AB454" i="9"/>
  <c r="AB455" i="9" s="1"/>
  <c r="AC454" i="9"/>
  <c r="AC455" i="9" s="1"/>
  <c r="AF469" i="9"/>
  <c r="AG469" i="9"/>
  <c r="AH471" i="6"/>
  <c r="AI471" i="6"/>
  <c r="AH471" i="5"/>
  <c r="AG471" i="5"/>
  <c r="AI485" i="6"/>
  <c r="AH485" i="6"/>
  <c r="AD454" i="9"/>
  <c r="AD455" i="9" s="1"/>
  <c r="AF450" i="2"/>
  <c r="AF484" i="2"/>
  <c r="AH483" i="6"/>
  <c r="AI483" i="6"/>
  <c r="AF447" i="2"/>
  <c r="AI484" i="5"/>
  <c r="AH460" i="5"/>
  <c r="AG460" i="5"/>
  <c r="AJ485" i="8"/>
  <c r="AI485" i="8"/>
  <c r="AH460" i="6"/>
  <c r="AI460" i="6"/>
  <c r="AH450" i="5"/>
  <c r="AC488" i="2"/>
  <c r="AF481" i="2"/>
  <c r="AM451" i="8"/>
  <c r="AH472" i="6"/>
  <c r="AI472" i="6"/>
  <c r="AH482" i="5"/>
  <c r="AG482" i="5"/>
  <c r="AI482" i="6"/>
  <c r="AH482" i="6"/>
  <c r="AB469" i="1"/>
  <c r="AD469" i="1" s="1"/>
  <c r="AI469" i="6"/>
  <c r="AH444" i="5"/>
  <c r="AC454" i="5"/>
  <c r="AC488" i="5"/>
  <c r="AH481" i="5"/>
  <c r="AG467" i="5"/>
  <c r="AH467" i="5"/>
  <c r="AI482" i="8"/>
  <c r="AJ482" i="8"/>
  <c r="AE457" i="2"/>
  <c r="AF457" i="2"/>
  <c r="AB464" i="2"/>
  <c r="AE464" i="2" s="1"/>
  <c r="AH484" i="5"/>
  <c r="AJ450" i="6"/>
  <c r="AK451" i="8"/>
  <c r="AI447" i="5"/>
  <c r="AE482" i="2"/>
  <c r="AF482" i="2"/>
  <c r="AD454" i="5"/>
  <c r="AI445" i="5"/>
  <c r="AH457" i="5"/>
  <c r="AG457" i="5"/>
  <c r="AB464" i="5"/>
  <c r="AG464" i="5" s="1"/>
  <c r="AH446" i="5"/>
  <c r="AI444" i="5"/>
  <c r="AI481" i="6"/>
  <c r="AC488" i="6"/>
  <c r="AJ467" i="8"/>
  <c r="AI467" i="8"/>
  <c r="AK447" i="8"/>
  <c r="AJ484" i="8"/>
  <c r="AI457" i="6"/>
  <c r="AB464" i="6"/>
  <c r="AH464" i="6" s="1"/>
  <c r="AH457" i="6"/>
  <c r="AC454" i="2"/>
  <c r="AF448" i="2"/>
  <c r="AI449" i="5"/>
  <c r="AH472" i="5"/>
  <c r="AG472" i="5"/>
  <c r="AH448" i="5"/>
  <c r="AI483" i="8"/>
  <c r="AJ483" i="8"/>
  <c r="AJ451" i="8"/>
  <c r="AH447" i="5"/>
  <c r="AI460" i="8"/>
  <c r="AJ460" i="8"/>
  <c r="AB454" i="1"/>
  <c r="AB455" i="1" s="1"/>
  <c r="AD455" i="1" s="1"/>
  <c r="AI469" i="5"/>
  <c r="AE467" i="2"/>
  <c r="AF467" i="2"/>
  <c r="AE454" i="6"/>
  <c r="AE455" i="6" s="1"/>
  <c r="AE460" i="2"/>
  <c r="AF460" i="2"/>
  <c r="AJ471" i="8"/>
  <c r="AI471" i="8"/>
  <c r="AM471" i="8"/>
  <c r="AI447" i="6"/>
  <c r="AJ472" i="8"/>
  <c r="AI472" i="8"/>
  <c r="AE444" i="2"/>
  <c r="AB454" i="2"/>
  <c r="AC464" i="2"/>
  <c r="AF462" i="2"/>
  <c r="AI467" i="6"/>
  <c r="AH467" i="6"/>
  <c r="AE458" i="2"/>
  <c r="AF458" i="2"/>
  <c r="AM457" i="8"/>
  <c r="AF464" i="8"/>
  <c r="AJ447" i="8"/>
  <c r="AJ445" i="6"/>
  <c r="AK449" i="8"/>
  <c r="AI458" i="6"/>
  <c r="AH458" i="6"/>
  <c r="AJ444" i="6"/>
  <c r="AD454" i="6"/>
  <c r="AM448" i="8"/>
  <c r="AM446" i="8"/>
  <c r="AE461" i="2"/>
  <c r="AF461" i="2"/>
  <c r="AD464" i="6"/>
  <c r="AJ462" i="6"/>
  <c r="AE454" i="8"/>
  <c r="AE455" i="8" s="1"/>
  <c r="AE488" i="8"/>
  <c r="AF451" i="2"/>
  <c r="AH459" i="5"/>
  <c r="AG459" i="5"/>
  <c r="AJ445" i="8"/>
  <c r="AI452" i="5"/>
  <c r="AM458" i="8"/>
  <c r="AE473" i="2"/>
  <c r="AF473" i="2"/>
  <c r="AI446" i="6"/>
  <c r="AJ468" i="6"/>
  <c r="AI468" i="6"/>
  <c r="AC464" i="5"/>
  <c r="AH462" i="5"/>
  <c r="AC454" i="6"/>
  <c r="AI444" i="6"/>
  <c r="AJ446" i="6"/>
  <c r="AM449" i="8"/>
  <c r="AD454" i="8"/>
  <c r="AK444" i="8"/>
  <c r="AD488" i="8"/>
  <c r="AK488" i="8" s="1"/>
  <c r="AK481" i="8"/>
  <c r="AJ457" i="8"/>
  <c r="AI457" i="8"/>
  <c r="AB464" i="8"/>
  <c r="AI464" i="8" s="1"/>
  <c r="AF464" i="9"/>
  <c r="AB469" i="2"/>
  <c r="AE469" i="2" s="1"/>
  <c r="AE459" i="2"/>
  <c r="AF459" i="2"/>
  <c r="AF488" i="9"/>
  <c r="AH461" i="5"/>
  <c r="AG461" i="5"/>
  <c r="AC464" i="6"/>
  <c r="AI462" i="6"/>
  <c r="AI459" i="6"/>
  <c r="AH459" i="6"/>
  <c r="AH473" i="5"/>
  <c r="AG473" i="5"/>
  <c r="AB488" i="9"/>
  <c r="AD488" i="5"/>
  <c r="AI488" i="5" s="1"/>
  <c r="AI481" i="5"/>
  <c r="AG444" i="5"/>
  <c r="AB454" i="5"/>
  <c r="AC488" i="8"/>
  <c r="AJ481" i="8"/>
  <c r="AB464" i="9"/>
  <c r="AG464" i="9"/>
  <c r="AB454" i="8"/>
  <c r="AI444" i="8"/>
  <c r="AJ458" i="8"/>
  <c r="AI458" i="8"/>
  <c r="AI461" i="6"/>
  <c r="AH461" i="6"/>
  <c r="AK468" i="8"/>
  <c r="AJ444" i="8"/>
  <c r="AC454" i="8"/>
  <c r="AI459" i="8"/>
  <c r="AJ459" i="8"/>
  <c r="AH452" i="5"/>
  <c r="AH473" i="6"/>
  <c r="AI473" i="6"/>
  <c r="AG488" i="9"/>
  <c r="AJ446" i="8"/>
  <c r="AJ461" i="8"/>
  <c r="AI461" i="8"/>
  <c r="AM468" i="8"/>
  <c r="AM462" i="8"/>
  <c r="AF454" i="8"/>
  <c r="AM444" i="8"/>
  <c r="AC488" i="9"/>
  <c r="AM445" i="8"/>
  <c r="AE464" i="9"/>
  <c r="AJ473" i="8"/>
  <c r="AI473" i="8"/>
  <c r="AD464" i="5"/>
  <c r="AI462" i="5"/>
  <c r="AH444" i="6"/>
  <c r="AB454" i="6"/>
  <c r="AD488" i="6"/>
  <c r="AJ481" i="6"/>
  <c r="AE488" i="6"/>
  <c r="AH458" i="5"/>
  <c r="AG458" i="5"/>
  <c r="AE454" i="9"/>
  <c r="AE455" i="9" s="1"/>
  <c r="AD488" i="9"/>
  <c r="AI484" i="6"/>
  <c r="AB469" i="5"/>
  <c r="AG469" i="5" s="1"/>
  <c r="AE483" i="2"/>
  <c r="AF483" i="2"/>
  <c r="AI452" i="6"/>
  <c r="AH452" i="6"/>
  <c r="AF472" i="2"/>
  <c r="AE472" i="2"/>
  <c r="AB476" i="1"/>
  <c r="AB479" i="1" s="1"/>
  <c r="AD479" i="1" s="1"/>
  <c r="AB476" i="9"/>
  <c r="AB479" i="9" s="1"/>
  <c r="AF476" i="9"/>
  <c r="AF479" i="9" s="1"/>
  <c r="AG476" i="9"/>
  <c r="AG479" i="9" s="1"/>
  <c r="AF476" i="8"/>
  <c r="AM476" i="8" s="1"/>
  <c r="AB476" i="8"/>
  <c r="AB479" i="8" s="1"/>
  <c r="AB476" i="6"/>
  <c r="AB476" i="5"/>
  <c r="AB479" i="5" s="1"/>
  <c r="AB476" i="2"/>
  <c r="AB479" i="2" s="1"/>
  <c r="AJ469" i="6"/>
  <c r="AE485" i="2"/>
  <c r="AF485" i="2"/>
  <c r="AJ462" i="8"/>
  <c r="AC464" i="8"/>
  <c r="AF454" i="9"/>
  <c r="AF455" i="9" s="1"/>
  <c r="AC469" i="2"/>
  <c r="AE471" i="2"/>
  <c r="AF471" i="2"/>
  <c r="AH485" i="5"/>
  <c r="AG485" i="5"/>
  <c r="AK462" i="8"/>
  <c r="AD464" i="8"/>
  <c r="AC469" i="8"/>
  <c r="AJ469" i="8" s="1"/>
  <c r="AG483" i="5"/>
  <c r="AH483" i="5"/>
  <c r="AF469" i="8"/>
  <c r="AM469" i="8" s="1"/>
  <c r="S364" i="3"/>
  <c r="S365" i="3" s="1"/>
  <c r="AI486" i="6"/>
  <c r="AH486" i="6"/>
  <c r="AB488" i="6"/>
  <c r="AB488" i="8"/>
  <c r="AJ486" i="8"/>
  <c r="AI486" i="8"/>
  <c r="AE486" i="2"/>
  <c r="AF486" i="2"/>
  <c r="AB488" i="2"/>
  <c r="AG486" i="5"/>
  <c r="AH486" i="5"/>
  <c r="AB488" i="5"/>
  <c r="AM486" i="8"/>
  <c r="AF488" i="8"/>
  <c r="AB488" i="1"/>
  <c r="AD488" i="1" s="1"/>
  <c r="AD486" i="1"/>
  <c r="AB464" i="1"/>
  <c r="AD464" i="1" s="1"/>
  <c r="AD459" i="1"/>
  <c r="O357" i="1"/>
  <c r="Q357" i="1" s="1"/>
  <c r="O326" i="1"/>
  <c r="Q326" i="1" s="1"/>
  <c r="O318" i="1"/>
  <c r="Q318" i="1" s="1"/>
  <c r="O298" i="1"/>
  <c r="Q298" i="1" s="1"/>
  <c r="O110" i="1"/>
  <c r="O26" i="1"/>
  <c r="Q26" i="1" s="1"/>
  <c r="O23" i="1"/>
  <c r="Q23" i="1" s="1"/>
  <c r="O32" i="1"/>
  <c r="Q32" i="1" s="1"/>
  <c r="Q36" i="1"/>
  <c r="P103" i="1"/>
  <c r="Q103" i="1"/>
  <c r="Q110" i="1"/>
  <c r="P112" i="1"/>
  <c r="Q112" i="1"/>
  <c r="P117" i="1"/>
  <c r="Q117" i="1"/>
  <c r="P118" i="1"/>
  <c r="Q118" i="1"/>
  <c r="P125" i="1"/>
  <c r="Q125" i="1"/>
  <c r="P131" i="1"/>
  <c r="Q131" i="1"/>
  <c r="P136" i="1"/>
  <c r="Q136" i="1"/>
  <c r="P142" i="1"/>
  <c r="Q142" i="1"/>
  <c r="P145" i="1"/>
  <c r="Q145" i="1"/>
  <c r="P152" i="1"/>
  <c r="Q152" i="1"/>
  <c r="P157" i="1"/>
  <c r="Q157" i="1"/>
  <c r="P160" i="1"/>
  <c r="Q160" i="1"/>
  <c r="P165" i="1"/>
  <c r="Q165" i="1"/>
  <c r="P171" i="1"/>
  <c r="Q171" i="1"/>
  <c r="P184" i="1"/>
  <c r="Q184" i="1"/>
  <c r="P189" i="1"/>
  <c r="Q189" i="1"/>
  <c r="Q204" i="1"/>
  <c r="Q212" i="1"/>
  <c r="Q217" i="1"/>
  <c r="Q218" i="1"/>
  <c r="P229" i="1"/>
  <c r="Q229" i="1"/>
  <c r="Q244" i="1"/>
  <c r="Q250" i="1"/>
  <c r="Q254" i="1"/>
  <c r="P258" i="1"/>
  <c r="Q258" i="1"/>
  <c r="P281" i="1"/>
  <c r="Q281" i="1"/>
  <c r="Q336" i="1"/>
  <c r="Q338" i="1"/>
  <c r="Q345" i="1"/>
  <c r="P372" i="1"/>
  <c r="Q372" i="1"/>
  <c r="Q383" i="1"/>
  <c r="Q406" i="1"/>
  <c r="Q413" i="1"/>
  <c r="Q425" i="1"/>
  <c r="Q426" i="1"/>
  <c r="Q427" i="1"/>
  <c r="P429" i="1"/>
  <c r="Q429" i="1"/>
  <c r="P430" i="1"/>
  <c r="Q430" i="1"/>
  <c r="P465" i="1"/>
  <c r="Q465" i="1"/>
  <c r="P490" i="1"/>
  <c r="Q490" i="1"/>
  <c r="Q523" i="1"/>
  <c r="Q541" i="1"/>
  <c r="AK489" i="15" l="1"/>
  <c r="AK554" i="15" s="1"/>
  <c r="AK555" i="15" s="1"/>
  <c r="AK582" i="15" s="1"/>
  <c r="AK1" i="15" s="1"/>
  <c r="AH489" i="10"/>
  <c r="AH554" i="10" s="1"/>
  <c r="AH555" i="10" s="1"/>
  <c r="AH582" i="10" s="1"/>
  <c r="AH1" i="10" s="1"/>
  <c r="AB489" i="12"/>
  <c r="AB554" i="12" s="1"/>
  <c r="AB555" i="12" s="1"/>
  <c r="AB582" i="12" s="1"/>
  <c r="AB1" i="12" s="1"/>
  <c r="AB489" i="13"/>
  <c r="AB554" i="13" s="1"/>
  <c r="AB555" i="13" s="1"/>
  <c r="AB582" i="13" s="1"/>
  <c r="AB1" i="13" s="1"/>
  <c r="AG489" i="10"/>
  <c r="AG554" i="10" s="1"/>
  <c r="AG555" i="10" s="1"/>
  <c r="AG582" i="10" s="1"/>
  <c r="AG1" i="10" s="1"/>
  <c r="AM464" i="8"/>
  <c r="AB489" i="11"/>
  <c r="AB554" i="11" s="1"/>
  <c r="AB555" i="11" s="1"/>
  <c r="AB582" i="11" s="1"/>
  <c r="AB1" i="11" s="1"/>
  <c r="AB489" i="10"/>
  <c r="AB554" i="10" s="1"/>
  <c r="AB555" i="10" s="1"/>
  <c r="AB582" i="10" s="1"/>
  <c r="AB1" i="10" s="1"/>
  <c r="AE489" i="9"/>
  <c r="AE554" i="9" s="1"/>
  <c r="AE555" i="9" s="1"/>
  <c r="AE582" i="9" s="1"/>
  <c r="AE1" i="9" s="1"/>
  <c r="AD476" i="1"/>
  <c r="AF479" i="8"/>
  <c r="AM479" i="8" s="1"/>
  <c r="AF469" i="2"/>
  <c r="AE489" i="6"/>
  <c r="AE552" i="6" s="1"/>
  <c r="AE553" i="6" s="1"/>
  <c r="AE580" i="6" s="1"/>
  <c r="AE1" i="6" s="1"/>
  <c r="AH464" i="5"/>
  <c r="AK464" i="8"/>
  <c r="AJ464" i="8"/>
  <c r="AD454" i="1"/>
  <c r="AB489" i="9"/>
  <c r="AB554" i="9" s="1"/>
  <c r="AB555" i="9" s="1"/>
  <c r="AB582" i="9" s="1"/>
  <c r="AB1" i="9" s="1"/>
  <c r="AC489" i="9"/>
  <c r="AC554" i="9" s="1"/>
  <c r="AC555" i="9" s="1"/>
  <c r="AC582" i="9" s="1"/>
  <c r="AC1" i="9" s="1"/>
  <c r="AG479" i="5"/>
  <c r="AH479" i="5"/>
  <c r="AC455" i="2"/>
  <c r="AF454" i="2"/>
  <c r="AK454" i="8"/>
  <c r="AD455" i="8"/>
  <c r="AJ454" i="6"/>
  <c r="AD455" i="6"/>
  <c r="AB455" i="5"/>
  <c r="AG455" i="5" s="1"/>
  <c r="AG454" i="5"/>
  <c r="AG489" i="9"/>
  <c r="AG554" i="9" s="1"/>
  <c r="AC455" i="5"/>
  <c r="AH454" i="5"/>
  <c r="AI464" i="6"/>
  <c r="AJ488" i="6"/>
  <c r="AD489" i="9"/>
  <c r="AD554" i="9" s="1"/>
  <c r="AD555" i="9" s="1"/>
  <c r="AD582" i="9" s="1"/>
  <c r="AD1" i="9" s="1"/>
  <c r="AD455" i="5"/>
  <c r="AI454" i="5"/>
  <c r="AH476" i="6"/>
  <c r="AI476" i="6"/>
  <c r="AJ454" i="8"/>
  <c r="AC455" i="8"/>
  <c r="AE476" i="2"/>
  <c r="AF476" i="2"/>
  <c r="AH454" i="6"/>
  <c r="AB455" i="6"/>
  <c r="AH455" i="6" s="1"/>
  <c r="AJ476" i="8"/>
  <c r="AI476" i="8"/>
  <c r="AI464" i="5"/>
  <c r="AF464" i="2"/>
  <c r="AI479" i="8"/>
  <c r="AJ479" i="8"/>
  <c r="AF489" i="9"/>
  <c r="AF554" i="9" s="1"/>
  <c r="AF555" i="9" s="1"/>
  <c r="AF582" i="9" s="1"/>
  <c r="AF1" i="9" s="1"/>
  <c r="AF455" i="8"/>
  <c r="AM455" i="8" s="1"/>
  <c r="AM454" i="8"/>
  <c r="AI454" i="6"/>
  <c r="AC455" i="6"/>
  <c r="AH469" i="5"/>
  <c r="AB455" i="8"/>
  <c r="AI455" i="8" s="1"/>
  <c r="AI454" i="8"/>
  <c r="AE489" i="8"/>
  <c r="AE552" i="8" s="1"/>
  <c r="AE553" i="8" s="1"/>
  <c r="AE580" i="8" s="1"/>
  <c r="AE1" i="8" s="1"/>
  <c r="AK469" i="8"/>
  <c r="AB479" i="6"/>
  <c r="AE479" i="2"/>
  <c r="AF479" i="2"/>
  <c r="AH476" i="5"/>
  <c r="AG476" i="5"/>
  <c r="AE454" i="2"/>
  <c r="AB455" i="2"/>
  <c r="AE455" i="2" s="1"/>
  <c r="AJ464" i="6"/>
  <c r="AG488" i="5"/>
  <c r="AH488" i="5"/>
  <c r="AM488" i="8"/>
  <c r="AI488" i="8"/>
  <c r="AJ488" i="8"/>
  <c r="AH488" i="6"/>
  <c r="AI488" i="6"/>
  <c r="AE488" i="2"/>
  <c r="AF488" i="2"/>
  <c r="AB489" i="1"/>
  <c r="M578" i="1"/>
  <c r="K578" i="1"/>
  <c r="O577" i="1"/>
  <c r="Q577" i="1" s="1"/>
  <c r="N577" i="1"/>
  <c r="P577" i="1" s="1"/>
  <c r="L576" i="1"/>
  <c r="L578" i="1" s="1"/>
  <c r="J576" i="1"/>
  <c r="J578" i="1" s="1"/>
  <c r="I576" i="1"/>
  <c r="H576" i="1"/>
  <c r="O575" i="1"/>
  <c r="Q575" i="1" s="1"/>
  <c r="N575" i="1"/>
  <c r="P575" i="1" s="1"/>
  <c r="O574" i="1"/>
  <c r="Q574" i="1" s="1"/>
  <c r="N574" i="1"/>
  <c r="P574" i="1" s="1"/>
  <c r="O573" i="1"/>
  <c r="Q573" i="1" s="1"/>
  <c r="N573" i="1"/>
  <c r="P573" i="1" s="1"/>
  <c r="O572" i="1"/>
  <c r="Q572" i="1" s="1"/>
  <c r="N572" i="1"/>
  <c r="P572" i="1" s="1"/>
  <c r="M569" i="1"/>
  <c r="K569" i="1"/>
  <c r="L568" i="1"/>
  <c r="J568" i="1"/>
  <c r="I568" i="1"/>
  <c r="O568" i="1" s="1"/>
  <c r="Q568" i="1" s="1"/>
  <c r="H568" i="1"/>
  <c r="O567" i="1"/>
  <c r="Q567" i="1" s="1"/>
  <c r="N567" i="1"/>
  <c r="P567" i="1" s="1"/>
  <c r="O566" i="1"/>
  <c r="Q566" i="1" s="1"/>
  <c r="N566" i="1"/>
  <c r="P566" i="1" s="1"/>
  <c r="O565" i="1"/>
  <c r="Q565" i="1" s="1"/>
  <c r="N565" i="1"/>
  <c r="P565" i="1" s="1"/>
  <c r="L563" i="1"/>
  <c r="J563" i="1"/>
  <c r="I563" i="1"/>
  <c r="H563" i="1"/>
  <c r="O562" i="1"/>
  <c r="Q562" i="1" s="1"/>
  <c r="N562" i="1"/>
  <c r="P562" i="1" s="1"/>
  <c r="O561" i="1"/>
  <c r="Q561" i="1" s="1"/>
  <c r="N561" i="1"/>
  <c r="P561" i="1" s="1"/>
  <c r="O560" i="1"/>
  <c r="Q560" i="1" s="1"/>
  <c r="N560" i="1"/>
  <c r="P560" i="1" s="1"/>
  <c r="O559" i="1"/>
  <c r="Q559" i="1" s="1"/>
  <c r="N559" i="1"/>
  <c r="P559" i="1" s="1"/>
  <c r="O558" i="1"/>
  <c r="Q558" i="1" s="1"/>
  <c r="N558" i="1"/>
  <c r="P558" i="1" s="1"/>
  <c r="O556" i="1"/>
  <c r="Q556" i="1" s="1"/>
  <c r="N556" i="1"/>
  <c r="P556" i="1" s="1"/>
  <c r="M551" i="1"/>
  <c r="L551" i="1"/>
  <c r="K551" i="1"/>
  <c r="J551" i="1"/>
  <c r="I551" i="1"/>
  <c r="H551" i="1"/>
  <c r="O550" i="1"/>
  <c r="Q550" i="1" s="1"/>
  <c r="N550" i="1"/>
  <c r="P550" i="1" s="1"/>
  <c r="M547" i="1"/>
  <c r="L547" i="1"/>
  <c r="K547" i="1"/>
  <c r="J547" i="1"/>
  <c r="I547" i="1"/>
  <c r="H547" i="1"/>
  <c r="O546" i="1"/>
  <c r="Q546" i="1" s="1"/>
  <c r="N546" i="1"/>
  <c r="P546" i="1" s="1"/>
  <c r="O545" i="1"/>
  <c r="Q545" i="1" s="1"/>
  <c r="N545" i="1"/>
  <c r="P545" i="1" s="1"/>
  <c r="O544" i="1"/>
  <c r="Q544" i="1" s="1"/>
  <c r="N544" i="1"/>
  <c r="P544" i="1" s="1"/>
  <c r="O542" i="1"/>
  <c r="Q542" i="1" s="1"/>
  <c r="N542" i="1"/>
  <c r="P542" i="1" s="1"/>
  <c r="N541" i="1"/>
  <c r="P541" i="1" s="1"/>
  <c r="O540" i="1"/>
  <c r="Q540" i="1" s="1"/>
  <c r="N540" i="1"/>
  <c r="P540" i="1" s="1"/>
  <c r="O539" i="1"/>
  <c r="Q539" i="1" s="1"/>
  <c r="N539" i="1"/>
  <c r="P539" i="1" s="1"/>
  <c r="O538" i="1"/>
  <c r="Q538" i="1" s="1"/>
  <c r="N538" i="1"/>
  <c r="P538" i="1" s="1"/>
  <c r="O537" i="1"/>
  <c r="Q537" i="1" s="1"/>
  <c r="N537" i="1"/>
  <c r="P537" i="1" s="1"/>
  <c r="O536" i="1"/>
  <c r="Q536" i="1" s="1"/>
  <c r="N536" i="1"/>
  <c r="P536" i="1" s="1"/>
  <c r="O535" i="1"/>
  <c r="Q535" i="1" s="1"/>
  <c r="N535" i="1"/>
  <c r="P535" i="1" s="1"/>
  <c r="O534" i="1"/>
  <c r="Q534" i="1" s="1"/>
  <c r="N534" i="1"/>
  <c r="P534" i="1" s="1"/>
  <c r="O533" i="1"/>
  <c r="Q533" i="1" s="1"/>
  <c r="N533" i="1"/>
  <c r="P533" i="1" s="1"/>
  <c r="O532" i="1"/>
  <c r="Q532" i="1" s="1"/>
  <c r="N532" i="1"/>
  <c r="P532" i="1" s="1"/>
  <c r="O531" i="1"/>
  <c r="Q531" i="1" s="1"/>
  <c r="N531" i="1"/>
  <c r="P531" i="1" s="1"/>
  <c r="O530" i="1"/>
  <c r="Q530" i="1" s="1"/>
  <c r="N530" i="1"/>
  <c r="P530" i="1" s="1"/>
  <c r="O529" i="1"/>
  <c r="Q529" i="1" s="1"/>
  <c r="N529" i="1"/>
  <c r="P529" i="1" s="1"/>
  <c r="O528" i="1"/>
  <c r="Q528" i="1" s="1"/>
  <c r="N528" i="1"/>
  <c r="P528" i="1" s="1"/>
  <c r="O527" i="1"/>
  <c r="Q527" i="1" s="1"/>
  <c r="N527" i="1"/>
  <c r="P527" i="1" s="1"/>
  <c r="O526" i="1"/>
  <c r="Q526" i="1" s="1"/>
  <c r="N526" i="1"/>
  <c r="P526" i="1" s="1"/>
  <c r="O525" i="1"/>
  <c r="Q525" i="1" s="1"/>
  <c r="N525" i="1"/>
  <c r="P525" i="1" s="1"/>
  <c r="O524" i="1"/>
  <c r="Q524" i="1" s="1"/>
  <c r="N524" i="1"/>
  <c r="P524" i="1" s="1"/>
  <c r="N523" i="1"/>
  <c r="P523" i="1" s="1"/>
  <c r="O522" i="1"/>
  <c r="Q522" i="1" s="1"/>
  <c r="N522" i="1"/>
  <c r="P522" i="1" s="1"/>
  <c r="O521" i="1"/>
  <c r="Q521" i="1" s="1"/>
  <c r="N521" i="1"/>
  <c r="P521" i="1" s="1"/>
  <c r="O520" i="1"/>
  <c r="Q520" i="1" s="1"/>
  <c r="N520" i="1"/>
  <c r="P520" i="1" s="1"/>
  <c r="O519" i="1"/>
  <c r="Q519" i="1" s="1"/>
  <c r="N519" i="1"/>
  <c r="P519" i="1" s="1"/>
  <c r="M518" i="1"/>
  <c r="L518" i="1"/>
  <c r="K518" i="1"/>
  <c r="J518" i="1"/>
  <c r="I518" i="1"/>
  <c r="H518" i="1"/>
  <c r="O517" i="1"/>
  <c r="Q517" i="1" s="1"/>
  <c r="N517" i="1"/>
  <c r="P517" i="1" s="1"/>
  <c r="O516" i="1"/>
  <c r="Q516" i="1" s="1"/>
  <c r="N516" i="1"/>
  <c r="P516" i="1" s="1"/>
  <c r="O515" i="1"/>
  <c r="Q515" i="1" s="1"/>
  <c r="N515" i="1"/>
  <c r="P515" i="1" s="1"/>
  <c r="O513" i="1"/>
  <c r="Q513" i="1" s="1"/>
  <c r="N513" i="1"/>
  <c r="P513" i="1" s="1"/>
  <c r="O512" i="1"/>
  <c r="Q512" i="1" s="1"/>
  <c r="N512" i="1"/>
  <c r="P512" i="1" s="1"/>
  <c r="O511" i="1"/>
  <c r="Q511" i="1" s="1"/>
  <c r="N511" i="1"/>
  <c r="P511" i="1" s="1"/>
  <c r="O510" i="1"/>
  <c r="Q510" i="1" s="1"/>
  <c r="N510" i="1"/>
  <c r="P510" i="1" s="1"/>
  <c r="O509" i="1"/>
  <c r="Q509" i="1" s="1"/>
  <c r="N509" i="1"/>
  <c r="P509" i="1" s="1"/>
  <c r="O508" i="1"/>
  <c r="Q508" i="1" s="1"/>
  <c r="N508" i="1"/>
  <c r="P508" i="1" s="1"/>
  <c r="O507" i="1"/>
  <c r="Q507" i="1" s="1"/>
  <c r="N507" i="1"/>
  <c r="P507" i="1" s="1"/>
  <c r="O506" i="1"/>
  <c r="Q506" i="1" s="1"/>
  <c r="N506" i="1"/>
  <c r="P506" i="1" s="1"/>
  <c r="O505" i="1"/>
  <c r="Q505" i="1" s="1"/>
  <c r="N505" i="1"/>
  <c r="P505" i="1" s="1"/>
  <c r="O504" i="1"/>
  <c r="Q504" i="1" s="1"/>
  <c r="N504" i="1"/>
  <c r="P504" i="1" s="1"/>
  <c r="O503" i="1"/>
  <c r="Q503" i="1" s="1"/>
  <c r="N503" i="1"/>
  <c r="P503" i="1" s="1"/>
  <c r="O502" i="1"/>
  <c r="Q502" i="1" s="1"/>
  <c r="N502" i="1"/>
  <c r="P502" i="1" s="1"/>
  <c r="O501" i="1"/>
  <c r="Q501" i="1" s="1"/>
  <c r="N501" i="1"/>
  <c r="P501" i="1" s="1"/>
  <c r="O500" i="1"/>
  <c r="Q500" i="1" s="1"/>
  <c r="N500" i="1"/>
  <c r="P500" i="1" s="1"/>
  <c r="O499" i="1"/>
  <c r="Q499" i="1" s="1"/>
  <c r="N499" i="1"/>
  <c r="P499" i="1" s="1"/>
  <c r="O498" i="1"/>
  <c r="Q498" i="1" s="1"/>
  <c r="N498" i="1"/>
  <c r="P498" i="1" s="1"/>
  <c r="O497" i="1"/>
  <c r="Q497" i="1" s="1"/>
  <c r="N497" i="1"/>
  <c r="P497" i="1" s="1"/>
  <c r="Q496" i="1"/>
  <c r="N496" i="1"/>
  <c r="P496" i="1" s="1"/>
  <c r="O495" i="1"/>
  <c r="Q495" i="1" s="1"/>
  <c r="N495" i="1"/>
  <c r="P495" i="1" s="1"/>
  <c r="O494" i="1"/>
  <c r="Q494" i="1" s="1"/>
  <c r="N494" i="1"/>
  <c r="P494" i="1" s="1"/>
  <c r="O493" i="1"/>
  <c r="Q493" i="1" s="1"/>
  <c r="N493" i="1"/>
  <c r="P493" i="1" s="1"/>
  <c r="O492" i="1"/>
  <c r="Q492" i="1" s="1"/>
  <c r="N492" i="1"/>
  <c r="P492" i="1" s="1"/>
  <c r="O491" i="1"/>
  <c r="Q491" i="1" s="1"/>
  <c r="N491" i="1"/>
  <c r="P491" i="1" s="1"/>
  <c r="M488" i="1"/>
  <c r="L488" i="1"/>
  <c r="K488" i="1"/>
  <c r="J488" i="1"/>
  <c r="I488" i="1"/>
  <c r="H488" i="1"/>
  <c r="O487" i="1"/>
  <c r="Q487" i="1" s="1"/>
  <c r="N487" i="1"/>
  <c r="P487" i="1" s="1"/>
  <c r="O486" i="1"/>
  <c r="Q486" i="1" s="1"/>
  <c r="N486" i="1"/>
  <c r="P486" i="1" s="1"/>
  <c r="O485" i="1"/>
  <c r="Q485" i="1" s="1"/>
  <c r="N485" i="1"/>
  <c r="P485" i="1" s="1"/>
  <c r="O484" i="1"/>
  <c r="Q484" i="1" s="1"/>
  <c r="N484" i="1"/>
  <c r="P484" i="1" s="1"/>
  <c r="O483" i="1"/>
  <c r="Q483" i="1" s="1"/>
  <c r="N483" i="1"/>
  <c r="P483" i="1" s="1"/>
  <c r="O482" i="1"/>
  <c r="Q482" i="1" s="1"/>
  <c r="N482" i="1"/>
  <c r="P482" i="1" s="1"/>
  <c r="O481" i="1"/>
  <c r="Q481" i="1" s="1"/>
  <c r="N481" i="1"/>
  <c r="P481" i="1" s="1"/>
  <c r="M479" i="1"/>
  <c r="L479" i="1"/>
  <c r="K479" i="1"/>
  <c r="J479" i="1"/>
  <c r="I479" i="1"/>
  <c r="H479" i="1"/>
  <c r="O478" i="1"/>
  <c r="Q478" i="1" s="1"/>
  <c r="N478" i="1"/>
  <c r="P478" i="1" s="1"/>
  <c r="O477" i="1"/>
  <c r="Q477" i="1" s="1"/>
  <c r="N477" i="1"/>
  <c r="P477" i="1" s="1"/>
  <c r="O476" i="1"/>
  <c r="Q476" i="1" s="1"/>
  <c r="N476" i="1"/>
  <c r="P476" i="1" s="1"/>
  <c r="O475" i="1"/>
  <c r="Q475" i="1" s="1"/>
  <c r="N475" i="1"/>
  <c r="P475" i="1" s="1"/>
  <c r="O474" i="1"/>
  <c r="Q474" i="1" s="1"/>
  <c r="N474" i="1"/>
  <c r="P474" i="1" s="1"/>
  <c r="O473" i="1"/>
  <c r="Q473" i="1" s="1"/>
  <c r="N473" i="1"/>
  <c r="P473" i="1" s="1"/>
  <c r="O472" i="1"/>
  <c r="Q472" i="1" s="1"/>
  <c r="N472" i="1"/>
  <c r="P472" i="1" s="1"/>
  <c r="O471" i="1"/>
  <c r="Q471" i="1" s="1"/>
  <c r="N471" i="1"/>
  <c r="P471" i="1" s="1"/>
  <c r="M469" i="1"/>
  <c r="L469" i="1"/>
  <c r="K469" i="1"/>
  <c r="J469" i="1"/>
  <c r="I469" i="1"/>
  <c r="H469" i="1"/>
  <c r="O468" i="1"/>
  <c r="Q468" i="1" s="1"/>
  <c r="N468" i="1"/>
  <c r="P468" i="1" s="1"/>
  <c r="O467" i="1"/>
  <c r="Q467" i="1" s="1"/>
  <c r="N467" i="1"/>
  <c r="P467" i="1" s="1"/>
  <c r="O466" i="1"/>
  <c r="Q466" i="1" s="1"/>
  <c r="N466" i="1"/>
  <c r="P466" i="1" s="1"/>
  <c r="M464" i="1"/>
  <c r="L464" i="1"/>
  <c r="K464" i="1"/>
  <c r="J464" i="1"/>
  <c r="I464" i="1"/>
  <c r="H464" i="1"/>
  <c r="O463" i="1"/>
  <c r="Q463" i="1" s="1"/>
  <c r="N463" i="1"/>
  <c r="P463" i="1" s="1"/>
  <c r="O462" i="1"/>
  <c r="Q462" i="1" s="1"/>
  <c r="N462" i="1"/>
  <c r="P462" i="1" s="1"/>
  <c r="O461" i="1"/>
  <c r="Q461" i="1" s="1"/>
  <c r="N461" i="1"/>
  <c r="P461" i="1" s="1"/>
  <c r="O460" i="1"/>
  <c r="Q460" i="1" s="1"/>
  <c r="N460" i="1"/>
  <c r="P460" i="1" s="1"/>
  <c r="O459" i="1"/>
  <c r="Q459" i="1" s="1"/>
  <c r="N459" i="1"/>
  <c r="P459" i="1" s="1"/>
  <c r="O458" i="1"/>
  <c r="Q458" i="1" s="1"/>
  <c r="N458" i="1"/>
  <c r="P458" i="1" s="1"/>
  <c r="O457" i="1"/>
  <c r="Q457" i="1" s="1"/>
  <c r="N457" i="1"/>
  <c r="P457" i="1" s="1"/>
  <c r="M454" i="1"/>
  <c r="M455" i="1" s="1"/>
  <c r="L454" i="1"/>
  <c r="L455" i="1" s="1"/>
  <c r="K454" i="1"/>
  <c r="K455" i="1" s="1"/>
  <c r="J454" i="1"/>
  <c r="J455" i="1" s="1"/>
  <c r="I454" i="1"/>
  <c r="I455" i="1" s="1"/>
  <c r="H454" i="1"/>
  <c r="H455" i="1" s="1"/>
  <c r="O453" i="1"/>
  <c r="Q453" i="1" s="1"/>
  <c r="N453" i="1"/>
  <c r="P453" i="1" s="1"/>
  <c r="O452" i="1"/>
  <c r="Q452" i="1" s="1"/>
  <c r="N452" i="1"/>
  <c r="P452" i="1" s="1"/>
  <c r="O451" i="1"/>
  <c r="Q451" i="1" s="1"/>
  <c r="N451" i="1"/>
  <c r="P451" i="1" s="1"/>
  <c r="O450" i="1"/>
  <c r="Q450" i="1" s="1"/>
  <c r="N450" i="1"/>
  <c r="P450" i="1" s="1"/>
  <c r="O449" i="1"/>
  <c r="Q449" i="1" s="1"/>
  <c r="N449" i="1"/>
  <c r="P449" i="1" s="1"/>
  <c r="O448" i="1"/>
  <c r="Q448" i="1" s="1"/>
  <c r="N448" i="1"/>
  <c r="P448" i="1" s="1"/>
  <c r="O447" i="1"/>
  <c r="Q447" i="1" s="1"/>
  <c r="N447" i="1"/>
  <c r="P447" i="1" s="1"/>
  <c r="O446" i="1"/>
  <c r="Q446" i="1" s="1"/>
  <c r="N446" i="1"/>
  <c r="P446" i="1" s="1"/>
  <c r="O445" i="1"/>
  <c r="Q445" i="1" s="1"/>
  <c r="N445" i="1"/>
  <c r="P445" i="1" s="1"/>
  <c r="O444" i="1"/>
  <c r="Q444" i="1" s="1"/>
  <c r="N444" i="1"/>
  <c r="P444" i="1" s="1"/>
  <c r="M441" i="1"/>
  <c r="L441" i="1"/>
  <c r="K441" i="1"/>
  <c r="J441" i="1"/>
  <c r="I441" i="1"/>
  <c r="H441" i="1"/>
  <c r="O440" i="1"/>
  <c r="Q440" i="1" s="1"/>
  <c r="N440" i="1"/>
  <c r="P440" i="1" s="1"/>
  <c r="O439" i="1"/>
  <c r="Q439" i="1" s="1"/>
  <c r="N439" i="1"/>
  <c r="P439" i="1" s="1"/>
  <c r="O438" i="1"/>
  <c r="Q438" i="1" s="1"/>
  <c r="N438" i="1"/>
  <c r="P438" i="1" s="1"/>
  <c r="O437" i="1"/>
  <c r="Q437" i="1" s="1"/>
  <c r="N437" i="1"/>
  <c r="P437" i="1" s="1"/>
  <c r="O436" i="1"/>
  <c r="Q436" i="1" s="1"/>
  <c r="N436" i="1"/>
  <c r="P436" i="1" s="1"/>
  <c r="O435" i="1"/>
  <c r="Q435" i="1" s="1"/>
  <c r="N435" i="1"/>
  <c r="P435" i="1" s="1"/>
  <c r="O434" i="1"/>
  <c r="Q434" i="1" s="1"/>
  <c r="N434" i="1"/>
  <c r="P434" i="1" s="1"/>
  <c r="O433" i="1"/>
  <c r="Q433" i="1" s="1"/>
  <c r="N433" i="1"/>
  <c r="P433" i="1" s="1"/>
  <c r="O432" i="1"/>
  <c r="Q432" i="1" s="1"/>
  <c r="N432" i="1"/>
  <c r="P432" i="1" s="1"/>
  <c r="O431" i="1"/>
  <c r="Q431" i="1" s="1"/>
  <c r="N431" i="1"/>
  <c r="P431" i="1" s="1"/>
  <c r="L427" i="1"/>
  <c r="J427" i="1"/>
  <c r="H427" i="1"/>
  <c r="N426" i="1"/>
  <c r="P426" i="1" s="1"/>
  <c r="N425" i="1"/>
  <c r="P425" i="1" s="1"/>
  <c r="O422" i="1"/>
  <c r="Q422" i="1" s="1"/>
  <c r="N422" i="1"/>
  <c r="P422" i="1" s="1"/>
  <c r="O421" i="1"/>
  <c r="Q421" i="1" s="1"/>
  <c r="N421" i="1"/>
  <c r="P421" i="1" s="1"/>
  <c r="O420" i="1"/>
  <c r="Q420" i="1" s="1"/>
  <c r="N420" i="1"/>
  <c r="P420" i="1" s="1"/>
  <c r="O419" i="1"/>
  <c r="Q419" i="1" s="1"/>
  <c r="N419" i="1"/>
  <c r="P419" i="1" s="1"/>
  <c r="O418" i="1"/>
  <c r="Q418" i="1" s="1"/>
  <c r="N418" i="1"/>
  <c r="P418" i="1" s="1"/>
  <c r="O417" i="1"/>
  <c r="Q417" i="1" s="1"/>
  <c r="N417" i="1"/>
  <c r="P417" i="1" s="1"/>
  <c r="O416" i="1"/>
  <c r="Q416" i="1" s="1"/>
  <c r="N416" i="1"/>
  <c r="P416" i="1" s="1"/>
  <c r="O415" i="1"/>
  <c r="Q415" i="1" s="1"/>
  <c r="N415" i="1"/>
  <c r="P415" i="1" s="1"/>
  <c r="O414" i="1"/>
  <c r="Q414" i="1" s="1"/>
  <c r="N414" i="1"/>
  <c r="P414" i="1" s="1"/>
  <c r="N413" i="1"/>
  <c r="P413" i="1" s="1"/>
  <c r="O412" i="1"/>
  <c r="Q412" i="1" s="1"/>
  <c r="N412" i="1"/>
  <c r="P412" i="1" s="1"/>
  <c r="O411" i="1"/>
  <c r="Q411" i="1" s="1"/>
  <c r="N411" i="1"/>
  <c r="P411" i="1" s="1"/>
  <c r="O410" i="1"/>
  <c r="Q410" i="1" s="1"/>
  <c r="N410" i="1"/>
  <c r="P410" i="1" s="1"/>
  <c r="O409" i="1"/>
  <c r="Q409" i="1" s="1"/>
  <c r="N409" i="1"/>
  <c r="P409" i="1" s="1"/>
  <c r="O408" i="1"/>
  <c r="Q408" i="1" s="1"/>
  <c r="N408" i="1"/>
  <c r="P408" i="1" s="1"/>
  <c r="O407" i="1"/>
  <c r="Q407" i="1" s="1"/>
  <c r="N407" i="1"/>
  <c r="P407" i="1" s="1"/>
  <c r="N406" i="1"/>
  <c r="P406" i="1" s="1"/>
  <c r="M405" i="1"/>
  <c r="L405" i="1"/>
  <c r="L423" i="1" s="1"/>
  <c r="K405" i="1"/>
  <c r="K423" i="1" s="1"/>
  <c r="J405" i="1"/>
  <c r="J423" i="1" s="1"/>
  <c r="I405" i="1"/>
  <c r="I423" i="1" s="1"/>
  <c r="H405" i="1"/>
  <c r="H423" i="1" s="1"/>
  <c r="O404" i="1"/>
  <c r="Q404" i="1" s="1"/>
  <c r="N404" i="1"/>
  <c r="P404" i="1" s="1"/>
  <c r="O402" i="1"/>
  <c r="Q402" i="1" s="1"/>
  <c r="N402" i="1"/>
  <c r="P402" i="1" s="1"/>
  <c r="O401" i="1"/>
  <c r="Q401" i="1" s="1"/>
  <c r="N401" i="1"/>
  <c r="P401" i="1" s="1"/>
  <c r="O400" i="1"/>
  <c r="Q400" i="1" s="1"/>
  <c r="N400" i="1"/>
  <c r="P400" i="1" s="1"/>
  <c r="O399" i="1"/>
  <c r="Q399" i="1" s="1"/>
  <c r="N399" i="1"/>
  <c r="P399" i="1" s="1"/>
  <c r="O398" i="1"/>
  <c r="Q398" i="1" s="1"/>
  <c r="N398" i="1"/>
  <c r="P398" i="1" s="1"/>
  <c r="O397" i="1"/>
  <c r="Q397" i="1" s="1"/>
  <c r="N397" i="1"/>
  <c r="P397" i="1" s="1"/>
  <c r="O396" i="1"/>
  <c r="Q396" i="1" s="1"/>
  <c r="N396" i="1"/>
  <c r="P396" i="1" s="1"/>
  <c r="O395" i="1"/>
  <c r="Q395" i="1" s="1"/>
  <c r="N395" i="1"/>
  <c r="P395" i="1" s="1"/>
  <c r="O394" i="1"/>
  <c r="Q394" i="1" s="1"/>
  <c r="N394" i="1"/>
  <c r="P394" i="1" s="1"/>
  <c r="O393" i="1"/>
  <c r="Q393" i="1" s="1"/>
  <c r="N393" i="1"/>
  <c r="P393" i="1" s="1"/>
  <c r="O392" i="1"/>
  <c r="Q392" i="1" s="1"/>
  <c r="N392" i="1"/>
  <c r="P392" i="1" s="1"/>
  <c r="O391" i="1"/>
  <c r="Q391" i="1" s="1"/>
  <c r="N391" i="1"/>
  <c r="P391" i="1" s="1"/>
  <c r="O390" i="1"/>
  <c r="Q390" i="1" s="1"/>
  <c r="N390" i="1"/>
  <c r="P390" i="1" s="1"/>
  <c r="O389" i="1"/>
  <c r="Q389" i="1" s="1"/>
  <c r="N389" i="1"/>
  <c r="P389" i="1" s="1"/>
  <c r="O388" i="1"/>
  <c r="Q388" i="1" s="1"/>
  <c r="N388" i="1"/>
  <c r="P388" i="1" s="1"/>
  <c r="O387" i="1"/>
  <c r="Q387" i="1" s="1"/>
  <c r="N387" i="1"/>
  <c r="P387" i="1" s="1"/>
  <c r="O385" i="1"/>
  <c r="Q385" i="1" s="1"/>
  <c r="N385" i="1"/>
  <c r="P385" i="1" s="1"/>
  <c r="O384" i="1"/>
  <c r="Q384" i="1" s="1"/>
  <c r="N384" i="1"/>
  <c r="P384" i="1" s="1"/>
  <c r="N383" i="1"/>
  <c r="P383" i="1" s="1"/>
  <c r="O382" i="1"/>
  <c r="Q382" i="1" s="1"/>
  <c r="N382" i="1"/>
  <c r="P382" i="1" s="1"/>
  <c r="O381" i="1"/>
  <c r="Q381" i="1" s="1"/>
  <c r="N381" i="1"/>
  <c r="P381" i="1" s="1"/>
  <c r="O380" i="1"/>
  <c r="Q380" i="1" s="1"/>
  <c r="N380" i="1"/>
  <c r="P380" i="1" s="1"/>
  <c r="O379" i="1"/>
  <c r="Q379" i="1" s="1"/>
  <c r="N379" i="1"/>
  <c r="P379" i="1" s="1"/>
  <c r="M376" i="1"/>
  <c r="L376" i="1"/>
  <c r="K376" i="1"/>
  <c r="J376" i="1"/>
  <c r="I376" i="1"/>
  <c r="H376" i="1"/>
  <c r="O375" i="1"/>
  <c r="Q375" i="1" s="1"/>
  <c r="N375" i="1"/>
  <c r="P375" i="1" s="1"/>
  <c r="O374" i="1"/>
  <c r="Q374" i="1" s="1"/>
  <c r="N374" i="1"/>
  <c r="P374" i="1" s="1"/>
  <c r="O373" i="1"/>
  <c r="Q373" i="1" s="1"/>
  <c r="N373" i="1"/>
  <c r="P373" i="1" s="1"/>
  <c r="M371" i="1"/>
  <c r="L371" i="1"/>
  <c r="K371" i="1"/>
  <c r="J371" i="1"/>
  <c r="I371" i="1"/>
  <c r="H371" i="1"/>
  <c r="O370" i="1"/>
  <c r="Q370" i="1" s="1"/>
  <c r="N370" i="1"/>
  <c r="P370" i="1" s="1"/>
  <c r="O369" i="1"/>
  <c r="Q369" i="1" s="1"/>
  <c r="N369" i="1"/>
  <c r="P369" i="1" s="1"/>
  <c r="O368" i="1"/>
  <c r="Q368" i="1" s="1"/>
  <c r="N368" i="1"/>
  <c r="P368" i="1" s="1"/>
  <c r="O367" i="1"/>
  <c r="Q367" i="1" s="1"/>
  <c r="N367" i="1"/>
  <c r="P367" i="1" s="1"/>
  <c r="O366" i="1"/>
  <c r="Q366" i="1" s="1"/>
  <c r="N366" i="1"/>
  <c r="P366" i="1" s="1"/>
  <c r="O362" i="1"/>
  <c r="Q362" i="1" s="1"/>
  <c r="N362" i="1"/>
  <c r="P362" i="1" s="1"/>
  <c r="M361" i="1"/>
  <c r="L361" i="1"/>
  <c r="K361" i="1"/>
  <c r="J361" i="1"/>
  <c r="I361" i="1"/>
  <c r="H361" i="1"/>
  <c r="O360" i="1"/>
  <c r="Q360" i="1" s="1"/>
  <c r="N360" i="1"/>
  <c r="P360" i="1" s="1"/>
  <c r="O359" i="1"/>
  <c r="Q359" i="1" s="1"/>
  <c r="N359" i="1"/>
  <c r="P359" i="1" s="1"/>
  <c r="N357" i="1"/>
  <c r="P357" i="1" s="1"/>
  <c r="O356" i="1"/>
  <c r="Q356" i="1" s="1"/>
  <c r="N356" i="1"/>
  <c r="P356" i="1" s="1"/>
  <c r="O355" i="1"/>
  <c r="Q355" i="1" s="1"/>
  <c r="N355" i="1"/>
  <c r="P355" i="1" s="1"/>
  <c r="O354" i="1"/>
  <c r="Q354" i="1" s="1"/>
  <c r="N354" i="1"/>
  <c r="P354" i="1" s="1"/>
  <c r="O353" i="1"/>
  <c r="Q353" i="1" s="1"/>
  <c r="N353" i="1"/>
  <c r="P353" i="1" s="1"/>
  <c r="O352" i="1"/>
  <c r="Q352" i="1" s="1"/>
  <c r="N352" i="1"/>
  <c r="P352" i="1" s="1"/>
  <c r="O351" i="1"/>
  <c r="Q351" i="1" s="1"/>
  <c r="N351" i="1"/>
  <c r="P351" i="1" s="1"/>
  <c r="O350" i="1"/>
  <c r="Q350" i="1" s="1"/>
  <c r="N350" i="1"/>
  <c r="P350" i="1" s="1"/>
  <c r="O349" i="1"/>
  <c r="Q349" i="1" s="1"/>
  <c r="N349" i="1"/>
  <c r="P349" i="1" s="1"/>
  <c r="O348" i="1"/>
  <c r="Q348" i="1" s="1"/>
  <c r="N348" i="1"/>
  <c r="P348" i="1" s="1"/>
  <c r="O347" i="1"/>
  <c r="Q347" i="1" s="1"/>
  <c r="N347" i="1"/>
  <c r="P347" i="1" s="1"/>
  <c r="O346" i="1"/>
  <c r="Q346" i="1" s="1"/>
  <c r="N346" i="1"/>
  <c r="P346" i="1" s="1"/>
  <c r="N345" i="1"/>
  <c r="P345" i="1" s="1"/>
  <c r="O344" i="1"/>
  <c r="Q344" i="1" s="1"/>
  <c r="N344" i="1"/>
  <c r="P344" i="1" s="1"/>
  <c r="O343" i="1"/>
  <c r="Q343" i="1" s="1"/>
  <c r="N343" i="1"/>
  <c r="P343" i="1" s="1"/>
  <c r="M342" i="1"/>
  <c r="L342" i="1"/>
  <c r="K342" i="1"/>
  <c r="J342" i="1"/>
  <c r="I342" i="1"/>
  <c r="H342" i="1"/>
  <c r="O341" i="1"/>
  <c r="Q341" i="1" s="1"/>
  <c r="N341" i="1"/>
  <c r="P341" i="1" s="1"/>
  <c r="O339" i="1"/>
  <c r="Q339" i="1" s="1"/>
  <c r="N339" i="1"/>
  <c r="P339" i="1" s="1"/>
  <c r="N338" i="1"/>
  <c r="P338" i="1" s="1"/>
  <c r="O337" i="1"/>
  <c r="Q337" i="1" s="1"/>
  <c r="N337" i="1"/>
  <c r="P337" i="1" s="1"/>
  <c r="N336" i="1"/>
  <c r="P336" i="1" s="1"/>
  <c r="O332" i="1"/>
  <c r="Q332" i="1" s="1"/>
  <c r="N332" i="1"/>
  <c r="P332" i="1" s="1"/>
  <c r="M331" i="1"/>
  <c r="L331" i="1"/>
  <c r="K331" i="1"/>
  <c r="J331" i="1"/>
  <c r="I331" i="1"/>
  <c r="H331" i="1"/>
  <c r="O330" i="1"/>
  <c r="Q330" i="1" s="1"/>
  <c r="N330" i="1"/>
  <c r="P330" i="1" s="1"/>
  <c r="M328" i="1"/>
  <c r="L328" i="1"/>
  <c r="K328" i="1"/>
  <c r="J328" i="1"/>
  <c r="I328" i="1"/>
  <c r="H328" i="1"/>
  <c r="N326" i="1"/>
  <c r="P326" i="1" s="1"/>
  <c r="O325" i="1"/>
  <c r="Q325" i="1" s="1"/>
  <c r="N325" i="1"/>
  <c r="P325" i="1" s="1"/>
  <c r="O324" i="1"/>
  <c r="Q324" i="1" s="1"/>
  <c r="N324" i="1"/>
  <c r="P324" i="1" s="1"/>
  <c r="O323" i="1"/>
  <c r="Q323" i="1" s="1"/>
  <c r="N323" i="1"/>
  <c r="P323" i="1" s="1"/>
  <c r="O322" i="1"/>
  <c r="Q322" i="1" s="1"/>
  <c r="N322" i="1"/>
  <c r="P322" i="1" s="1"/>
  <c r="O321" i="1"/>
  <c r="Q321" i="1" s="1"/>
  <c r="N321" i="1"/>
  <c r="P321" i="1" s="1"/>
  <c r="M319" i="1"/>
  <c r="L319" i="1"/>
  <c r="K319" i="1"/>
  <c r="J319" i="1"/>
  <c r="I319" i="1"/>
  <c r="H319" i="1"/>
  <c r="N318" i="1"/>
  <c r="P318" i="1" s="1"/>
  <c r="O317" i="1"/>
  <c r="Q317" i="1" s="1"/>
  <c r="N317" i="1"/>
  <c r="P317" i="1" s="1"/>
  <c r="O316" i="1"/>
  <c r="Q316" i="1" s="1"/>
  <c r="N316" i="1"/>
  <c r="P316" i="1" s="1"/>
  <c r="O315" i="1"/>
  <c r="Q315" i="1" s="1"/>
  <c r="N315" i="1"/>
  <c r="P315" i="1" s="1"/>
  <c r="O314" i="1"/>
  <c r="Q314" i="1" s="1"/>
  <c r="N314" i="1"/>
  <c r="P314" i="1" s="1"/>
  <c r="O313" i="1"/>
  <c r="Q313" i="1" s="1"/>
  <c r="N313" i="1"/>
  <c r="P313" i="1" s="1"/>
  <c r="O312" i="1"/>
  <c r="Q312" i="1" s="1"/>
  <c r="N312" i="1"/>
  <c r="P312" i="1" s="1"/>
  <c r="O311" i="1"/>
  <c r="Q311" i="1" s="1"/>
  <c r="N311" i="1"/>
  <c r="P311" i="1" s="1"/>
  <c r="O310" i="1"/>
  <c r="Q310" i="1" s="1"/>
  <c r="N310" i="1"/>
  <c r="P310" i="1" s="1"/>
  <c r="O309" i="1"/>
  <c r="Q309" i="1" s="1"/>
  <c r="N309" i="1"/>
  <c r="P309" i="1" s="1"/>
  <c r="M307" i="1"/>
  <c r="L307" i="1"/>
  <c r="K307" i="1"/>
  <c r="J307" i="1"/>
  <c r="I307" i="1"/>
  <c r="H307" i="1"/>
  <c r="O306" i="1"/>
  <c r="Q306" i="1" s="1"/>
  <c r="N306" i="1"/>
  <c r="P306" i="1" s="1"/>
  <c r="O305" i="1"/>
  <c r="Q305" i="1" s="1"/>
  <c r="N305" i="1"/>
  <c r="P305" i="1" s="1"/>
  <c r="O304" i="1"/>
  <c r="Q304" i="1" s="1"/>
  <c r="N304" i="1"/>
  <c r="P304" i="1" s="1"/>
  <c r="O303" i="1"/>
  <c r="Q303" i="1" s="1"/>
  <c r="N303" i="1"/>
  <c r="P303" i="1" s="1"/>
  <c r="M301" i="1"/>
  <c r="L301" i="1"/>
  <c r="K301" i="1"/>
  <c r="J301" i="1"/>
  <c r="I301" i="1"/>
  <c r="H301" i="1"/>
  <c r="O300" i="1"/>
  <c r="Q300" i="1" s="1"/>
  <c r="N300" i="1"/>
  <c r="P300" i="1" s="1"/>
  <c r="O299" i="1"/>
  <c r="Q299" i="1" s="1"/>
  <c r="N299" i="1"/>
  <c r="P299" i="1" s="1"/>
  <c r="N298" i="1"/>
  <c r="P298" i="1" s="1"/>
  <c r="O297" i="1"/>
  <c r="Q297" i="1" s="1"/>
  <c r="N297" i="1"/>
  <c r="P297" i="1" s="1"/>
  <c r="O296" i="1"/>
  <c r="Q296" i="1" s="1"/>
  <c r="N296" i="1"/>
  <c r="P296" i="1" s="1"/>
  <c r="O295" i="1"/>
  <c r="Q295" i="1" s="1"/>
  <c r="N295" i="1"/>
  <c r="P295" i="1" s="1"/>
  <c r="O294" i="1"/>
  <c r="Q294" i="1" s="1"/>
  <c r="N294" i="1"/>
  <c r="P294" i="1" s="1"/>
  <c r="O293" i="1"/>
  <c r="Q293" i="1" s="1"/>
  <c r="N293" i="1"/>
  <c r="P293" i="1" s="1"/>
  <c r="O292" i="1"/>
  <c r="Q292" i="1" s="1"/>
  <c r="N292" i="1"/>
  <c r="P292" i="1" s="1"/>
  <c r="O291" i="1"/>
  <c r="Q291" i="1" s="1"/>
  <c r="N291" i="1"/>
  <c r="P291" i="1" s="1"/>
  <c r="O290" i="1"/>
  <c r="Q290" i="1" s="1"/>
  <c r="N290" i="1"/>
  <c r="P290" i="1" s="1"/>
  <c r="M288" i="1"/>
  <c r="L288" i="1"/>
  <c r="K288" i="1"/>
  <c r="J288" i="1"/>
  <c r="I288" i="1"/>
  <c r="H288" i="1"/>
  <c r="O287" i="1"/>
  <c r="Q287" i="1" s="1"/>
  <c r="N287" i="1"/>
  <c r="P287" i="1" s="1"/>
  <c r="O286" i="1"/>
  <c r="Q286" i="1" s="1"/>
  <c r="N286" i="1"/>
  <c r="P286" i="1" s="1"/>
  <c r="O285" i="1"/>
  <c r="Q285" i="1" s="1"/>
  <c r="N285" i="1"/>
  <c r="P285" i="1" s="1"/>
  <c r="O284" i="1"/>
  <c r="Q284" i="1" s="1"/>
  <c r="N284" i="1"/>
  <c r="P284" i="1" s="1"/>
  <c r="O283" i="1"/>
  <c r="Q283" i="1" s="1"/>
  <c r="N283" i="1"/>
  <c r="P283" i="1" s="1"/>
  <c r="O282" i="1"/>
  <c r="Q282" i="1" s="1"/>
  <c r="N282" i="1"/>
  <c r="P282" i="1" s="1"/>
  <c r="M280" i="1"/>
  <c r="L280" i="1"/>
  <c r="K280" i="1"/>
  <c r="J280" i="1"/>
  <c r="I280" i="1"/>
  <c r="H280" i="1"/>
  <c r="O279" i="1"/>
  <c r="Q279" i="1" s="1"/>
  <c r="N279" i="1"/>
  <c r="P279" i="1" s="1"/>
  <c r="O278" i="1"/>
  <c r="Q278" i="1" s="1"/>
  <c r="N278" i="1"/>
  <c r="P278" i="1" s="1"/>
  <c r="O277" i="1"/>
  <c r="Q277" i="1" s="1"/>
  <c r="N277" i="1"/>
  <c r="P277" i="1" s="1"/>
  <c r="O276" i="1"/>
  <c r="Q276" i="1" s="1"/>
  <c r="N276" i="1"/>
  <c r="P276" i="1" s="1"/>
  <c r="O275" i="1"/>
  <c r="Q275" i="1" s="1"/>
  <c r="N275" i="1"/>
  <c r="P275" i="1" s="1"/>
  <c r="O274" i="1"/>
  <c r="Q274" i="1" s="1"/>
  <c r="N274" i="1"/>
  <c r="P274" i="1" s="1"/>
  <c r="O273" i="1"/>
  <c r="Q273" i="1" s="1"/>
  <c r="N273" i="1"/>
  <c r="P273" i="1" s="1"/>
  <c r="O272" i="1"/>
  <c r="Q272" i="1" s="1"/>
  <c r="N272" i="1"/>
  <c r="P272" i="1" s="1"/>
  <c r="O271" i="1"/>
  <c r="Q271" i="1" s="1"/>
  <c r="N271" i="1"/>
  <c r="P271" i="1" s="1"/>
  <c r="O270" i="1"/>
  <c r="Q270" i="1" s="1"/>
  <c r="N270" i="1"/>
  <c r="P270" i="1" s="1"/>
  <c r="O269" i="1"/>
  <c r="Q269" i="1" s="1"/>
  <c r="N269" i="1"/>
  <c r="P269" i="1" s="1"/>
  <c r="O268" i="1"/>
  <c r="Q268" i="1" s="1"/>
  <c r="N268" i="1"/>
  <c r="P268" i="1" s="1"/>
  <c r="O267" i="1"/>
  <c r="Q267" i="1" s="1"/>
  <c r="N267" i="1"/>
  <c r="P267" i="1" s="1"/>
  <c r="O266" i="1"/>
  <c r="Q266" i="1" s="1"/>
  <c r="N266" i="1"/>
  <c r="P266" i="1" s="1"/>
  <c r="O265" i="1"/>
  <c r="Q265" i="1" s="1"/>
  <c r="N265" i="1"/>
  <c r="P265" i="1" s="1"/>
  <c r="M263" i="1"/>
  <c r="L263" i="1"/>
  <c r="K263" i="1"/>
  <c r="J263" i="1"/>
  <c r="I263" i="1"/>
  <c r="H263" i="1"/>
  <c r="O262" i="1"/>
  <c r="Q262" i="1" s="1"/>
  <c r="N262" i="1"/>
  <c r="P262" i="1" s="1"/>
  <c r="O261" i="1"/>
  <c r="Q261" i="1" s="1"/>
  <c r="N261" i="1"/>
  <c r="P261" i="1" s="1"/>
  <c r="O260" i="1"/>
  <c r="Q260" i="1" s="1"/>
  <c r="N260" i="1"/>
  <c r="P260" i="1" s="1"/>
  <c r="O259" i="1"/>
  <c r="Q259" i="1" s="1"/>
  <c r="N259" i="1"/>
  <c r="P259" i="1" s="1"/>
  <c r="M257" i="1"/>
  <c r="L257" i="1"/>
  <c r="K257" i="1"/>
  <c r="J257" i="1"/>
  <c r="I257" i="1"/>
  <c r="H257" i="1"/>
  <c r="O256" i="1"/>
  <c r="Q256" i="1" s="1"/>
  <c r="N256" i="1"/>
  <c r="P256" i="1" s="1"/>
  <c r="O255" i="1"/>
  <c r="Q255" i="1" s="1"/>
  <c r="N255" i="1"/>
  <c r="P255" i="1" s="1"/>
  <c r="N254" i="1"/>
  <c r="P254" i="1" s="1"/>
  <c r="O253" i="1"/>
  <c r="Q253" i="1" s="1"/>
  <c r="N253" i="1"/>
  <c r="P253" i="1" s="1"/>
  <c r="O252" i="1"/>
  <c r="Q252" i="1" s="1"/>
  <c r="N252" i="1"/>
  <c r="P252" i="1" s="1"/>
  <c r="O251" i="1"/>
  <c r="Q251" i="1" s="1"/>
  <c r="N251" i="1"/>
  <c r="P251" i="1" s="1"/>
  <c r="N250" i="1"/>
  <c r="P250" i="1" s="1"/>
  <c r="O249" i="1"/>
  <c r="Q249" i="1" s="1"/>
  <c r="N249" i="1"/>
  <c r="P249" i="1" s="1"/>
  <c r="O248" i="1"/>
  <c r="Q248" i="1" s="1"/>
  <c r="N248" i="1"/>
  <c r="P248" i="1" s="1"/>
  <c r="O247" i="1"/>
  <c r="Q247" i="1" s="1"/>
  <c r="N247" i="1"/>
  <c r="P247" i="1" s="1"/>
  <c r="O246" i="1"/>
  <c r="Q246" i="1" s="1"/>
  <c r="N246" i="1"/>
  <c r="P246" i="1" s="1"/>
  <c r="O245" i="1"/>
  <c r="Q245" i="1" s="1"/>
  <c r="N245" i="1"/>
  <c r="P245" i="1" s="1"/>
  <c r="N244" i="1"/>
  <c r="P244" i="1" s="1"/>
  <c r="O243" i="1"/>
  <c r="Q243" i="1" s="1"/>
  <c r="N243" i="1"/>
  <c r="P243" i="1" s="1"/>
  <c r="O242" i="1"/>
  <c r="Q242" i="1" s="1"/>
  <c r="N242" i="1"/>
  <c r="P242" i="1" s="1"/>
  <c r="O241" i="1"/>
  <c r="Q241" i="1" s="1"/>
  <c r="N241" i="1"/>
  <c r="P241" i="1" s="1"/>
  <c r="O240" i="1"/>
  <c r="Q240" i="1" s="1"/>
  <c r="N240" i="1"/>
  <c r="P240" i="1" s="1"/>
  <c r="O239" i="1"/>
  <c r="Q239" i="1" s="1"/>
  <c r="N239" i="1"/>
  <c r="P239" i="1" s="1"/>
  <c r="O238" i="1"/>
  <c r="Q238" i="1" s="1"/>
  <c r="N238" i="1"/>
  <c r="P238" i="1" s="1"/>
  <c r="O237" i="1"/>
  <c r="Q237" i="1" s="1"/>
  <c r="N237" i="1"/>
  <c r="P237" i="1" s="1"/>
  <c r="O236" i="1"/>
  <c r="Q236" i="1" s="1"/>
  <c r="N236" i="1"/>
  <c r="P236" i="1" s="1"/>
  <c r="M234" i="1"/>
  <c r="L234" i="1"/>
  <c r="K234" i="1"/>
  <c r="J234" i="1"/>
  <c r="I234" i="1"/>
  <c r="H234" i="1"/>
  <c r="O233" i="1"/>
  <c r="Q233" i="1" s="1"/>
  <c r="N233" i="1"/>
  <c r="P233" i="1" s="1"/>
  <c r="O232" i="1"/>
  <c r="Q232" i="1" s="1"/>
  <c r="N232" i="1"/>
  <c r="P232" i="1" s="1"/>
  <c r="O231" i="1"/>
  <c r="Q231" i="1" s="1"/>
  <c r="N231" i="1"/>
  <c r="P231" i="1" s="1"/>
  <c r="O230" i="1"/>
  <c r="Q230" i="1" s="1"/>
  <c r="N230" i="1"/>
  <c r="P230" i="1" s="1"/>
  <c r="O228" i="1"/>
  <c r="Q228" i="1" s="1"/>
  <c r="N228" i="1"/>
  <c r="P228" i="1" s="1"/>
  <c r="M225" i="1"/>
  <c r="L225" i="1"/>
  <c r="K225" i="1"/>
  <c r="J225" i="1"/>
  <c r="I225" i="1"/>
  <c r="H225" i="1"/>
  <c r="O224" i="1"/>
  <c r="Q224" i="1" s="1"/>
  <c r="N224" i="1"/>
  <c r="P224" i="1" s="1"/>
  <c r="O223" i="1"/>
  <c r="Q223" i="1" s="1"/>
  <c r="N223" i="1"/>
  <c r="P223" i="1" s="1"/>
  <c r="L218" i="1"/>
  <c r="J218" i="1"/>
  <c r="H218" i="1"/>
  <c r="N217" i="1"/>
  <c r="P217" i="1" s="1"/>
  <c r="M215" i="1"/>
  <c r="M219" i="1" s="1"/>
  <c r="L215" i="1"/>
  <c r="K215" i="1"/>
  <c r="J215" i="1"/>
  <c r="I215" i="1"/>
  <c r="H215" i="1"/>
  <c r="O214" i="1"/>
  <c r="Q214" i="1" s="1"/>
  <c r="N214" i="1"/>
  <c r="P214" i="1" s="1"/>
  <c r="O213" i="1"/>
  <c r="Q213" i="1" s="1"/>
  <c r="N213" i="1"/>
  <c r="P213" i="1" s="1"/>
  <c r="N212" i="1"/>
  <c r="P212" i="1" s="1"/>
  <c r="O211" i="1"/>
  <c r="Q211" i="1" s="1"/>
  <c r="N211" i="1"/>
  <c r="P211" i="1" s="1"/>
  <c r="O210" i="1"/>
  <c r="Q210" i="1" s="1"/>
  <c r="N210" i="1"/>
  <c r="P210" i="1" s="1"/>
  <c r="M207" i="1"/>
  <c r="L207" i="1"/>
  <c r="K207" i="1"/>
  <c r="J207" i="1"/>
  <c r="I207" i="1"/>
  <c r="H207" i="1"/>
  <c r="O206" i="1"/>
  <c r="Q206" i="1" s="1"/>
  <c r="N206" i="1"/>
  <c r="P206" i="1" s="1"/>
  <c r="O205" i="1"/>
  <c r="Q205" i="1" s="1"/>
  <c r="N205" i="1"/>
  <c r="P205" i="1" s="1"/>
  <c r="N204" i="1"/>
  <c r="P204" i="1" s="1"/>
  <c r="O203" i="1"/>
  <c r="Q203" i="1" s="1"/>
  <c r="N203" i="1"/>
  <c r="P203" i="1" s="1"/>
  <c r="M201" i="1"/>
  <c r="L201" i="1"/>
  <c r="K201" i="1"/>
  <c r="J201" i="1"/>
  <c r="I201" i="1"/>
  <c r="H201" i="1"/>
  <c r="Q200" i="1"/>
  <c r="N200" i="1"/>
  <c r="P200" i="1" s="1"/>
  <c r="M198" i="1"/>
  <c r="L198" i="1"/>
  <c r="K198" i="1"/>
  <c r="J198" i="1"/>
  <c r="I198" i="1"/>
  <c r="H198" i="1"/>
  <c r="O197" i="1"/>
  <c r="Q197" i="1" s="1"/>
  <c r="N197" i="1"/>
  <c r="P197" i="1" s="1"/>
  <c r="O196" i="1"/>
  <c r="Q196" i="1" s="1"/>
  <c r="N196" i="1"/>
  <c r="P196" i="1" s="1"/>
  <c r="O195" i="1"/>
  <c r="Q195" i="1" s="1"/>
  <c r="N195" i="1"/>
  <c r="P195" i="1" s="1"/>
  <c r="O194" i="1"/>
  <c r="Q194" i="1" s="1"/>
  <c r="N194" i="1"/>
  <c r="P194" i="1" s="1"/>
  <c r="O193" i="1"/>
  <c r="Q193" i="1" s="1"/>
  <c r="N193" i="1"/>
  <c r="P193" i="1" s="1"/>
  <c r="M191" i="1"/>
  <c r="L191" i="1"/>
  <c r="K191" i="1"/>
  <c r="J191" i="1"/>
  <c r="I191" i="1"/>
  <c r="H191" i="1"/>
  <c r="O190" i="1"/>
  <c r="Q190" i="1" s="1"/>
  <c r="N190" i="1"/>
  <c r="P190" i="1" s="1"/>
  <c r="M188" i="1"/>
  <c r="L188" i="1"/>
  <c r="K188" i="1"/>
  <c r="J188" i="1"/>
  <c r="I188" i="1"/>
  <c r="H188" i="1"/>
  <c r="O187" i="1"/>
  <c r="Q187" i="1" s="1"/>
  <c r="N187" i="1"/>
  <c r="P187" i="1" s="1"/>
  <c r="O186" i="1"/>
  <c r="Q186" i="1" s="1"/>
  <c r="N186" i="1"/>
  <c r="P186" i="1" s="1"/>
  <c r="O185" i="1"/>
  <c r="Q185" i="1" s="1"/>
  <c r="N185" i="1"/>
  <c r="P185" i="1" s="1"/>
  <c r="M182" i="1"/>
  <c r="L182" i="1"/>
  <c r="K182" i="1"/>
  <c r="J182" i="1"/>
  <c r="I182" i="1"/>
  <c r="H182" i="1"/>
  <c r="O181" i="1"/>
  <c r="Q181" i="1" s="1"/>
  <c r="N181" i="1"/>
  <c r="P181" i="1" s="1"/>
  <c r="O180" i="1"/>
  <c r="Q180" i="1" s="1"/>
  <c r="N180" i="1"/>
  <c r="P180" i="1" s="1"/>
  <c r="O179" i="1"/>
  <c r="Q179" i="1" s="1"/>
  <c r="N179" i="1"/>
  <c r="P179" i="1" s="1"/>
  <c r="O178" i="1"/>
  <c r="Q178" i="1" s="1"/>
  <c r="N178" i="1"/>
  <c r="P178" i="1" s="1"/>
  <c r="O177" i="1"/>
  <c r="Q177" i="1" s="1"/>
  <c r="N177" i="1"/>
  <c r="P177" i="1" s="1"/>
  <c r="O176" i="1"/>
  <c r="Q176" i="1" s="1"/>
  <c r="N176" i="1"/>
  <c r="P176" i="1" s="1"/>
  <c r="O175" i="1"/>
  <c r="Q175" i="1" s="1"/>
  <c r="N175" i="1"/>
  <c r="P175" i="1" s="1"/>
  <c r="O174" i="1"/>
  <c r="Q174" i="1" s="1"/>
  <c r="N174" i="1"/>
  <c r="P174" i="1" s="1"/>
  <c r="O173" i="1"/>
  <c r="Q173" i="1" s="1"/>
  <c r="N173" i="1"/>
  <c r="P173" i="1" s="1"/>
  <c r="O172" i="1"/>
  <c r="Q172" i="1" s="1"/>
  <c r="N172" i="1"/>
  <c r="P172" i="1" s="1"/>
  <c r="O169" i="1"/>
  <c r="Q169" i="1" s="1"/>
  <c r="N169" i="1"/>
  <c r="P169" i="1" s="1"/>
  <c r="M168" i="1"/>
  <c r="L168" i="1"/>
  <c r="K168" i="1"/>
  <c r="J168" i="1"/>
  <c r="I168" i="1"/>
  <c r="H168" i="1"/>
  <c r="O167" i="1"/>
  <c r="Q167" i="1" s="1"/>
  <c r="N167" i="1"/>
  <c r="P167" i="1" s="1"/>
  <c r="O166" i="1"/>
  <c r="Q166" i="1" s="1"/>
  <c r="N166" i="1"/>
  <c r="P166" i="1" s="1"/>
  <c r="M164" i="1"/>
  <c r="L164" i="1"/>
  <c r="K164" i="1"/>
  <c r="J164" i="1"/>
  <c r="I164" i="1"/>
  <c r="H164" i="1"/>
  <c r="O163" i="1"/>
  <c r="Q163" i="1" s="1"/>
  <c r="N163" i="1"/>
  <c r="P163" i="1" s="1"/>
  <c r="O162" i="1"/>
  <c r="Q162" i="1" s="1"/>
  <c r="N162" i="1"/>
  <c r="P162" i="1" s="1"/>
  <c r="O161" i="1"/>
  <c r="Q161" i="1" s="1"/>
  <c r="N161" i="1"/>
  <c r="P161" i="1" s="1"/>
  <c r="M159" i="1"/>
  <c r="L159" i="1"/>
  <c r="K159" i="1"/>
  <c r="J159" i="1"/>
  <c r="I159" i="1"/>
  <c r="H159" i="1"/>
  <c r="O158" i="1"/>
  <c r="Q158" i="1" s="1"/>
  <c r="N158" i="1"/>
  <c r="P158" i="1" s="1"/>
  <c r="M156" i="1"/>
  <c r="L156" i="1"/>
  <c r="K156" i="1"/>
  <c r="J156" i="1"/>
  <c r="I156" i="1"/>
  <c r="H156" i="1"/>
  <c r="O155" i="1"/>
  <c r="Q155" i="1" s="1"/>
  <c r="N155" i="1"/>
  <c r="P155" i="1" s="1"/>
  <c r="O154" i="1"/>
  <c r="Q154" i="1" s="1"/>
  <c r="N154" i="1"/>
  <c r="P154" i="1" s="1"/>
  <c r="O153" i="1"/>
  <c r="Q153" i="1" s="1"/>
  <c r="N153" i="1"/>
  <c r="P153" i="1" s="1"/>
  <c r="M151" i="1"/>
  <c r="L151" i="1"/>
  <c r="K151" i="1"/>
  <c r="J151" i="1"/>
  <c r="I151" i="1"/>
  <c r="H151" i="1"/>
  <c r="O150" i="1"/>
  <c r="Q150" i="1" s="1"/>
  <c r="N150" i="1"/>
  <c r="P150" i="1" s="1"/>
  <c r="O149" i="1"/>
  <c r="Q149" i="1" s="1"/>
  <c r="N149" i="1"/>
  <c r="P149" i="1" s="1"/>
  <c r="O148" i="1"/>
  <c r="Q148" i="1" s="1"/>
  <c r="N148" i="1"/>
  <c r="P148" i="1" s="1"/>
  <c r="O147" i="1"/>
  <c r="Q147" i="1" s="1"/>
  <c r="N147" i="1"/>
  <c r="P147" i="1" s="1"/>
  <c r="O146" i="1"/>
  <c r="Q146" i="1" s="1"/>
  <c r="N146" i="1"/>
  <c r="P146" i="1" s="1"/>
  <c r="M144" i="1"/>
  <c r="L144" i="1"/>
  <c r="K144" i="1"/>
  <c r="J144" i="1"/>
  <c r="I144" i="1"/>
  <c r="H144" i="1"/>
  <c r="O143" i="1"/>
  <c r="Q143" i="1" s="1"/>
  <c r="N143" i="1"/>
  <c r="P143" i="1" s="1"/>
  <c r="M141" i="1"/>
  <c r="L141" i="1"/>
  <c r="K141" i="1"/>
  <c r="J141" i="1"/>
  <c r="I141" i="1"/>
  <c r="H141" i="1"/>
  <c r="O140" i="1"/>
  <c r="Q140" i="1" s="1"/>
  <c r="N140" i="1"/>
  <c r="P140" i="1" s="1"/>
  <c r="O139" i="1"/>
  <c r="Q139" i="1" s="1"/>
  <c r="N139" i="1"/>
  <c r="P139" i="1" s="1"/>
  <c r="O138" i="1"/>
  <c r="Q138" i="1" s="1"/>
  <c r="N138" i="1"/>
  <c r="P138" i="1" s="1"/>
  <c r="O137" i="1"/>
  <c r="Q137" i="1" s="1"/>
  <c r="N137" i="1"/>
  <c r="P137" i="1" s="1"/>
  <c r="M135" i="1"/>
  <c r="L135" i="1"/>
  <c r="K135" i="1"/>
  <c r="J135" i="1"/>
  <c r="I135" i="1"/>
  <c r="H135" i="1"/>
  <c r="O134" i="1"/>
  <c r="Q134" i="1" s="1"/>
  <c r="N134" i="1"/>
  <c r="P134" i="1" s="1"/>
  <c r="O133" i="1"/>
  <c r="Q133" i="1" s="1"/>
  <c r="N133" i="1"/>
  <c r="P133" i="1" s="1"/>
  <c r="O132" i="1"/>
  <c r="Q132" i="1" s="1"/>
  <c r="N132" i="1"/>
  <c r="P132" i="1" s="1"/>
  <c r="M130" i="1"/>
  <c r="L130" i="1"/>
  <c r="K130" i="1"/>
  <c r="J130" i="1"/>
  <c r="I130" i="1"/>
  <c r="H130" i="1"/>
  <c r="O129" i="1"/>
  <c r="Q129" i="1" s="1"/>
  <c r="N129" i="1"/>
  <c r="P129" i="1" s="1"/>
  <c r="O128" i="1"/>
  <c r="Q128" i="1" s="1"/>
  <c r="N128" i="1"/>
  <c r="P128" i="1" s="1"/>
  <c r="O127" i="1"/>
  <c r="Q127" i="1" s="1"/>
  <c r="N127" i="1"/>
  <c r="P127" i="1" s="1"/>
  <c r="O126" i="1"/>
  <c r="Q126" i="1" s="1"/>
  <c r="N126" i="1"/>
  <c r="P126" i="1" s="1"/>
  <c r="M124" i="1"/>
  <c r="L124" i="1"/>
  <c r="K124" i="1"/>
  <c r="J124" i="1"/>
  <c r="I124" i="1"/>
  <c r="H124" i="1"/>
  <c r="O123" i="1"/>
  <c r="Q123" i="1" s="1"/>
  <c r="N123" i="1"/>
  <c r="P123" i="1" s="1"/>
  <c r="O122" i="1"/>
  <c r="Q122" i="1" s="1"/>
  <c r="N122" i="1"/>
  <c r="P122" i="1" s="1"/>
  <c r="O121" i="1"/>
  <c r="Q121" i="1" s="1"/>
  <c r="N121" i="1"/>
  <c r="P121" i="1" s="1"/>
  <c r="O120" i="1"/>
  <c r="Q120" i="1" s="1"/>
  <c r="N120" i="1"/>
  <c r="P120" i="1" s="1"/>
  <c r="O119" i="1"/>
  <c r="Q119" i="1" s="1"/>
  <c r="N119" i="1"/>
  <c r="P119" i="1" s="1"/>
  <c r="M115" i="1"/>
  <c r="L115" i="1"/>
  <c r="K115" i="1"/>
  <c r="J115" i="1"/>
  <c r="I115" i="1"/>
  <c r="H115" i="1"/>
  <c r="O114" i="1"/>
  <c r="Q114" i="1" s="1"/>
  <c r="N114" i="1"/>
  <c r="P114" i="1" s="1"/>
  <c r="O113" i="1"/>
  <c r="Q113" i="1" s="1"/>
  <c r="N113" i="1"/>
  <c r="P113" i="1" s="1"/>
  <c r="M111" i="1"/>
  <c r="L111" i="1"/>
  <c r="K111" i="1"/>
  <c r="J111" i="1"/>
  <c r="I111" i="1"/>
  <c r="H111" i="1"/>
  <c r="N110" i="1"/>
  <c r="P110" i="1" s="1"/>
  <c r="O109" i="1"/>
  <c r="Q109" i="1" s="1"/>
  <c r="N109" i="1"/>
  <c r="P109" i="1" s="1"/>
  <c r="O108" i="1"/>
  <c r="Q108" i="1" s="1"/>
  <c r="N108" i="1"/>
  <c r="P108" i="1" s="1"/>
  <c r="O107" i="1"/>
  <c r="Q107" i="1" s="1"/>
  <c r="N107" i="1"/>
  <c r="P107" i="1" s="1"/>
  <c r="O106" i="1"/>
  <c r="Q106" i="1" s="1"/>
  <c r="N106" i="1"/>
  <c r="P106" i="1" s="1"/>
  <c r="O105" i="1"/>
  <c r="Q105" i="1" s="1"/>
  <c r="N105" i="1"/>
  <c r="P105" i="1" s="1"/>
  <c r="O104" i="1"/>
  <c r="Q104" i="1" s="1"/>
  <c r="N104" i="1"/>
  <c r="P104" i="1" s="1"/>
  <c r="M102" i="1"/>
  <c r="L102" i="1"/>
  <c r="K102" i="1"/>
  <c r="J102" i="1"/>
  <c r="I102" i="1"/>
  <c r="H102" i="1"/>
  <c r="O100" i="1"/>
  <c r="Q100" i="1" s="1"/>
  <c r="N100" i="1"/>
  <c r="P100" i="1" s="1"/>
  <c r="O99" i="1"/>
  <c r="Q99" i="1" s="1"/>
  <c r="N99" i="1"/>
  <c r="P99" i="1" s="1"/>
  <c r="O98" i="1"/>
  <c r="Q98" i="1" s="1"/>
  <c r="N98" i="1"/>
  <c r="P98" i="1" s="1"/>
  <c r="O97" i="1"/>
  <c r="Q97" i="1" s="1"/>
  <c r="N97" i="1"/>
  <c r="P97" i="1" s="1"/>
  <c r="O96" i="1"/>
  <c r="Q96" i="1" s="1"/>
  <c r="N96" i="1"/>
  <c r="P96" i="1" s="1"/>
  <c r="O95" i="1"/>
  <c r="Q95" i="1" s="1"/>
  <c r="N95" i="1"/>
  <c r="P95" i="1" s="1"/>
  <c r="O94" i="1"/>
  <c r="Q94" i="1" s="1"/>
  <c r="N94" i="1"/>
  <c r="P94" i="1" s="1"/>
  <c r="O93" i="1"/>
  <c r="Q93" i="1" s="1"/>
  <c r="N93" i="1"/>
  <c r="P93" i="1" s="1"/>
  <c r="O92" i="1"/>
  <c r="Q92" i="1" s="1"/>
  <c r="N92" i="1"/>
  <c r="P92" i="1" s="1"/>
  <c r="M90" i="1"/>
  <c r="L90" i="1"/>
  <c r="K90" i="1"/>
  <c r="J90" i="1"/>
  <c r="I90" i="1"/>
  <c r="H90" i="1"/>
  <c r="O89" i="1"/>
  <c r="Q89" i="1" s="1"/>
  <c r="N89" i="1"/>
  <c r="P89" i="1" s="1"/>
  <c r="O88" i="1"/>
  <c r="Q88" i="1" s="1"/>
  <c r="N88" i="1"/>
  <c r="P88" i="1" s="1"/>
  <c r="O87" i="1"/>
  <c r="Q87" i="1" s="1"/>
  <c r="N87" i="1"/>
  <c r="P87" i="1" s="1"/>
  <c r="O86" i="1"/>
  <c r="Q86" i="1" s="1"/>
  <c r="N86" i="1"/>
  <c r="P86" i="1" s="1"/>
  <c r="M84" i="1"/>
  <c r="L84" i="1"/>
  <c r="K84" i="1"/>
  <c r="J84" i="1"/>
  <c r="I84" i="1"/>
  <c r="H84" i="1"/>
  <c r="O83" i="1"/>
  <c r="Q83" i="1" s="1"/>
  <c r="N83" i="1"/>
  <c r="P83" i="1" s="1"/>
  <c r="O82" i="1"/>
  <c r="Q82" i="1" s="1"/>
  <c r="N82" i="1"/>
  <c r="P82" i="1" s="1"/>
  <c r="O80" i="1"/>
  <c r="Q80" i="1" s="1"/>
  <c r="N80" i="1"/>
  <c r="P80" i="1" s="1"/>
  <c r="O79" i="1"/>
  <c r="Q79" i="1" s="1"/>
  <c r="N79" i="1"/>
  <c r="P79" i="1" s="1"/>
  <c r="O78" i="1"/>
  <c r="Q78" i="1" s="1"/>
  <c r="N78" i="1"/>
  <c r="P78" i="1" s="1"/>
  <c r="O77" i="1"/>
  <c r="Q77" i="1" s="1"/>
  <c r="N77" i="1"/>
  <c r="P77" i="1" s="1"/>
  <c r="O76" i="1"/>
  <c r="Q76" i="1" s="1"/>
  <c r="N76" i="1"/>
  <c r="P76" i="1" s="1"/>
  <c r="O75" i="1"/>
  <c r="Q75" i="1" s="1"/>
  <c r="N75" i="1"/>
  <c r="P75" i="1" s="1"/>
  <c r="O74" i="1"/>
  <c r="Q74" i="1" s="1"/>
  <c r="N74" i="1"/>
  <c r="P74" i="1" s="1"/>
  <c r="O73" i="1"/>
  <c r="Q73" i="1" s="1"/>
  <c r="N73" i="1"/>
  <c r="P73" i="1" s="1"/>
  <c r="M71" i="1"/>
  <c r="L71" i="1"/>
  <c r="K71" i="1"/>
  <c r="J71" i="1"/>
  <c r="I71" i="1"/>
  <c r="H71" i="1"/>
  <c r="O70" i="1"/>
  <c r="Q70" i="1" s="1"/>
  <c r="N70" i="1"/>
  <c r="P70" i="1" s="1"/>
  <c r="O69" i="1"/>
  <c r="Q69" i="1" s="1"/>
  <c r="N69" i="1"/>
  <c r="P69" i="1" s="1"/>
  <c r="O68" i="1"/>
  <c r="Q68" i="1" s="1"/>
  <c r="N68" i="1"/>
  <c r="P68" i="1" s="1"/>
  <c r="O67" i="1"/>
  <c r="Q67" i="1" s="1"/>
  <c r="N67" i="1"/>
  <c r="P67" i="1" s="1"/>
  <c r="O66" i="1"/>
  <c r="Q66" i="1" s="1"/>
  <c r="N66" i="1"/>
  <c r="P66" i="1" s="1"/>
  <c r="O65" i="1"/>
  <c r="Q65" i="1" s="1"/>
  <c r="N65" i="1"/>
  <c r="P65" i="1" s="1"/>
  <c r="O63" i="1"/>
  <c r="Q63" i="1" s="1"/>
  <c r="N63" i="1"/>
  <c r="P63" i="1" s="1"/>
  <c r="M62" i="1"/>
  <c r="L62" i="1"/>
  <c r="K62" i="1"/>
  <c r="J62" i="1"/>
  <c r="I62" i="1"/>
  <c r="H62" i="1"/>
  <c r="O61" i="1"/>
  <c r="Q61" i="1" s="1"/>
  <c r="N61" i="1"/>
  <c r="P61" i="1" s="1"/>
  <c r="O60" i="1"/>
  <c r="Q60" i="1" s="1"/>
  <c r="N60" i="1"/>
  <c r="P60" i="1" s="1"/>
  <c r="O59" i="1"/>
  <c r="Q59" i="1" s="1"/>
  <c r="N59" i="1"/>
  <c r="P59" i="1" s="1"/>
  <c r="O58" i="1"/>
  <c r="Q58" i="1" s="1"/>
  <c r="N58" i="1"/>
  <c r="P58" i="1" s="1"/>
  <c r="O57" i="1"/>
  <c r="Q57" i="1" s="1"/>
  <c r="N57" i="1"/>
  <c r="P57" i="1" s="1"/>
  <c r="O56" i="1"/>
  <c r="Q56" i="1" s="1"/>
  <c r="N56" i="1"/>
  <c r="P56" i="1" s="1"/>
  <c r="O55" i="1"/>
  <c r="Q55" i="1" s="1"/>
  <c r="N55" i="1"/>
  <c r="P55" i="1" s="1"/>
  <c r="O54" i="1"/>
  <c r="Q54" i="1" s="1"/>
  <c r="N54" i="1"/>
  <c r="P54" i="1" s="1"/>
  <c r="O53" i="1"/>
  <c r="Q53" i="1" s="1"/>
  <c r="N53" i="1"/>
  <c r="P53" i="1" s="1"/>
  <c r="O52" i="1"/>
  <c r="Q52" i="1" s="1"/>
  <c r="N52" i="1"/>
  <c r="P52" i="1" s="1"/>
  <c r="O51" i="1"/>
  <c r="Q51" i="1" s="1"/>
  <c r="N51" i="1"/>
  <c r="P51" i="1" s="1"/>
  <c r="O50" i="1"/>
  <c r="Q50" i="1" s="1"/>
  <c r="N50" i="1"/>
  <c r="P50" i="1" s="1"/>
  <c r="O49" i="1"/>
  <c r="Q49" i="1" s="1"/>
  <c r="N49" i="1"/>
  <c r="P49" i="1" s="1"/>
  <c r="O48" i="1"/>
  <c r="Q48" i="1" s="1"/>
  <c r="N48" i="1"/>
  <c r="P48" i="1" s="1"/>
  <c r="O47" i="1"/>
  <c r="Q47" i="1" s="1"/>
  <c r="N47" i="1"/>
  <c r="P47" i="1" s="1"/>
  <c r="M45" i="1"/>
  <c r="L45" i="1"/>
  <c r="K45" i="1"/>
  <c r="J45" i="1"/>
  <c r="I45" i="1"/>
  <c r="H45" i="1"/>
  <c r="O44" i="1"/>
  <c r="Q44" i="1" s="1"/>
  <c r="N44" i="1"/>
  <c r="P44" i="1" s="1"/>
  <c r="O43" i="1"/>
  <c r="Q43" i="1" s="1"/>
  <c r="N43" i="1"/>
  <c r="P43" i="1" s="1"/>
  <c r="O42" i="1"/>
  <c r="Q42" i="1" s="1"/>
  <c r="N42" i="1"/>
  <c r="P42" i="1" s="1"/>
  <c r="O41" i="1"/>
  <c r="Q41" i="1" s="1"/>
  <c r="N41" i="1"/>
  <c r="P41" i="1" s="1"/>
  <c r="M39" i="1"/>
  <c r="L39" i="1"/>
  <c r="K39" i="1"/>
  <c r="J39" i="1"/>
  <c r="I39" i="1"/>
  <c r="H39" i="1"/>
  <c r="O38" i="1"/>
  <c r="Q38" i="1" s="1"/>
  <c r="N38" i="1"/>
  <c r="P38" i="1" s="1"/>
  <c r="O37" i="1"/>
  <c r="Q37" i="1" s="1"/>
  <c r="N37" i="1"/>
  <c r="P37" i="1" s="1"/>
  <c r="N36" i="1"/>
  <c r="P36" i="1" s="1"/>
  <c r="O35" i="1"/>
  <c r="Q35" i="1" s="1"/>
  <c r="N35" i="1"/>
  <c r="P35" i="1" s="1"/>
  <c r="O34" i="1"/>
  <c r="Q34" i="1" s="1"/>
  <c r="N34" i="1"/>
  <c r="P34" i="1" s="1"/>
  <c r="O33" i="1"/>
  <c r="Q33" i="1" s="1"/>
  <c r="N33" i="1"/>
  <c r="P33" i="1" s="1"/>
  <c r="N32" i="1"/>
  <c r="P32" i="1" s="1"/>
  <c r="O31" i="1"/>
  <c r="Q31" i="1" s="1"/>
  <c r="N31" i="1"/>
  <c r="P31" i="1" s="1"/>
  <c r="O30" i="1"/>
  <c r="Q30" i="1" s="1"/>
  <c r="N30" i="1"/>
  <c r="P30" i="1" s="1"/>
  <c r="O29" i="1"/>
  <c r="Q29" i="1" s="1"/>
  <c r="N29" i="1"/>
  <c r="P29" i="1" s="1"/>
  <c r="O28" i="1"/>
  <c r="Q28" i="1" s="1"/>
  <c r="N28" i="1"/>
  <c r="P28" i="1" s="1"/>
  <c r="O27" i="1"/>
  <c r="Q27" i="1" s="1"/>
  <c r="N27" i="1"/>
  <c r="P27" i="1" s="1"/>
  <c r="N26" i="1"/>
  <c r="P26" i="1" s="1"/>
  <c r="O25" i="1"/>
  <c r="Q25" i="1" s="1"/>
  <c r="N25" i="1"/>
  <c r="P25" i="1" s="1"/>
  <c r="O24" i="1"/>
  <c r="Q24" i="1" s="1"/>
  <c r="N24" i="1"/>
  <c r="P24" i="1" s="1"/>
  <c r="N23" i="1"/>
  <c r="P23" i="1" s="1"/>
  <c r="O22" i="1"/>
  <c r="Q22" i="1" s="1"/>
  <c r="N22" i="1"/>
  <c r="P22" i="1" s="1"/>
  <c r="O21" i="1"/>
  <c r="Q21" i="1" s="1"/>
  <c r="N21" i="1"/>
  <c r="P21" i="1" s="1"/>
  <c r="O20" i="1"/>
  <c r="Q20" i="1" s="1"/>
  <c r="N20" i="1"/>
  <c r="P20" i="1" s="1"/>
  <c r="O19" i="1"/>
  <c r="Q19" i="1" s="1"/>
  <c r="N19" i="1"/>
  <c r="P19" i="1" s="1"/>
  <c r="O18" i="1"/>
  <c r="Q18" i="1" s="1"/>
  <c r="N18" i="1"/>
  <c r="P18" i="1" s="1"/>
  <c r="O17" i="1"/>
  <c r="Q17" i="1" s="1"/>
  <c r="N17" i="1"/>
  <c r="P17" i="1" s="1"/>
  <c r="M15" i="1"/>
  <c r="L15" i="1"/>
  <c r="K15" i="1"/>
  <c r="J15" i="1"/>
  <c r="I15" i="1"/>
  <c r="H15" i="1"/>
  <c r="O14" i="1"/>
  <c r="Q14" i="1" s="1"/>
  <c r="N14" i="1"/>
  <c r="P14" i="1" s="1"/>
  <c r="O13" i="1"/>
  <c r="Q13" i="1" s="1"/>
  <c r="N13" i="1"/>
  <c r="P13" i="1" s="1"/>
  <c r="O12" i="1"/>
  <c r="Q12" i="1" s="1"/>
  <c r="N12" i="1"/>
  <c r="P12" i="1" s="1"/>
  <c r="O11" i="1"/>
  <c r="Q11" i="1" s="1"/>
  <c r="N11" i="1"/>
  <c r="P11" i="1" s="1"/>
  <c r="O10" i="1"/>
  <c r="Q10" i="1" s="1"/>
  <c r="N10" i="1"/>
  <c r="P10" i="1" s="1"/>
  <c r="AG555" i="9" l="1"/>
  <c r="AG582" i="9" s="1"/>
  <c r="AG1" i="9" s="1"/>
  <c r="AB489" i="2"/>
  <c r="AE489" i="2" s="1"/>
  <c r="AB489" i="8"/>
  <c r="AI489" i="8" s="1"/>
  <c r="AC489" i="8"/>
  <c r="AC552" i="8" s="1"/>
  <c r="AC553" i="8" s="1"/>
  <c r="AC580" i="8" s="1"/>
  <c r="AC1" i="8" s="1"/>
  <c r="AJ455" i="8"/>
  <c r="AH479" i="6"/>
  <c r="AI479" i="6"/>
  <c r="AB489" i="6"/>
  <c r="AH489" i="6" s="1"/>
  <c r="AI455" i="6"/>
  <c r="AC489" i="6"/>
  <c r="AC552" i="6" s="1"/>
  <c r="AC553" i="6" s="1"/>
  <c r="AC580" i="6" s="1"/>
  <c r="AC1" i="6" s="1"/>
  <c r="AJ455" i="6"/>
  <c r="AD489" i="6"/>
  <c r="AF489" i="8"/>
  <c r="AM489" i="8" s="1"/>
  <c r="AI455" i="5"/>
  <c r="AD489" i="5"/>
  <c r="AH455" i="5"/>
  <c r="AC489" i="5"/>
  <c r="AC552" i="5" s="1"/>
  <c r="AC553" i="5" s="1"/>
  <c r="AC580" i="5" s="1"/>
  <c r="AC1" i="5" s="1"/>
  <c r="AK455" i="8"/>
  <c r="AD489" i="8"/>
  <c r="AB489" i="5"/>
  <c r="AG489" i="5" s="1"/>
  <c r="AF455" i="2"/>
  <c r="AC489" i="2"/>
  <c r="AC552" i="2" s="1"/>
  <c r="AC553" i="2" s="1"/>
  <c r="AC580" i="2" s="1"/>
  <c r="AC1" i="2" s="1"/>
  <c r="AB552" i="1"/>
  <c r="AB553" i="1" s="1"/>
  <c r="AB580" i="1" s="1"/>
  <c r="AB1" i="1" s="1"/>
  <c r="AD489" i="1"/>
  <c r="I548" i="1"/>
  <c r="K548" i="1"/>
  <c r="M548" i="1"/>
  <c r="H548" i="1"/>
  <c r="O45" i="1"/>
  <c r="Q45" i="1" s="1"/>
  <c r="N191" i="1"/>
  <c r="P191" i="1" s="1"/>
  <c r="N263" i="1"/>
  <c r="P263" i="1" s="1"/>
  <c r="N441" i="1"/>
  <c r="P441" i="1" s="1"/>
  <c r="O144" i="1"/>
  <c r="Q144" i="1" s="1"/>
  <c r="N288" i="1"/>
  <c r="P288" i="1" s="1"/>
  <c r="O62" i="1"/>
  <c r="Q62" i="1" s="1"/>
  <c r="O207" i="1"/>
  <c r="Q207" i="1" s="1"/>
  <c r="O168" i="1"/>
  <c r="Q168" i="1" s="1"/>
  <c r="N156" i="1"/>
  <c r="P156" i="1" s="1"/>
  <c r="O102" i="1"/>
  <c r="Q102" i="1" s="1"/>
  <c r="L219" i="1"/>
  <c r="O71" i="1"/>
  <c r="Q71" i="1" s="1"/>
  <c r="N218" i="1"/>
  <c r="P218" i="1" s="1"/>
  <c r="O307" i="1"/>
  <c r="Q307" i="1" s="1"/>
  <c r="O182" i="1"/>
  <c r="Q182" i="1" s="1"/>
  <c r="O201" i="1"/>
  <c r="Q201" i="1" s="1"/>
  <c r="N464" i="1"/>
  <c r="P464" i="1" s="1"/>
  <c r="N551" i="1"/>
  <c r="P551" i="1" s="1"/>
  <c r="O111" i="1"/>
  <c r="Q111" i="1" s="1"/>
  <c r="L116" i="1"/>
  <c r="H428" i="1"/>
  <c r="N182" i="1"/>
  <c r="P182" i="1" s="1"/>
  <c r="J363" i="1"/>
  <c r="N201" i="1"/>
  <c r="P201" i="1" s="1"/>
  <c r="N547" i="1"/>
  <c r="P547" i="1" s="1"/>
  <c r="M423" i="1"/>
  <c r="K363" i="1"/>
  <c r="O342" i="1"/>
  <c r="Q342" i="1" s="1"/>
  <c r="I569" i="1"/>
  <c r="O563" i="1"/>
  <c r="Q563" i="1" s="1"/>
  <c r="N62" i="1"/>
  <c r="P62" i="1" s="1"/>
  <c r="K489" i="1"/>
  <c r="O151" i="1"/>
  <c r="Q151" i="1" s="1"/>
  <c r="O301" i="1"/>
  <c r="Q301" i="1" s="1"/>
  <c r="N331" i="1"/>
  <c r="P331" i="1" s="1"/>
  <c r="L489" i="1"/>
  <c r="L428" i="1"/>
  <c r="J116" i="1"/>
  <c r="O130" i="1"/>
  <c r="Q130" i="1" s="1"/>
  <c r="L170" i="1"/>
  <c r="N563" i="1"/>
  <c r="P563" i="1" s="1"/>
  <c r="J569" i="1"/>
  <c r="J579" i="1" s="1"/>
  <c r="M116" i="1"/>
  <c r="I219" i="1"/>
  <c r="L363" i="1"/>
  <c r="L569" i="1"/>
  <c r="K116" i="1"/>
  <c r="N90" i="1"/>
  <c r="P90" i="1" s="1"/>
  <c r="K333" i="1"/>
  <c r="N124" i="1"/>
  <c r="P124" i="1" s="1"/>
  <c r="N159" i="1"/>
  <c r="P159" i="1" s="1"/>
  <c r="N234" i="1"/>
  <c r="P234" i="1" s="1"/>
  <c r="H363" i="1"/>
  <c r="O90" i="1"/>
  <c r="Q90" i="1" s="1"/>
  <c r="O328" i="1"/>
  <c r="Q328" i="1" s="1"/>
  <c r="O518" i="1"/>
  <c r="Q518" i="1" s="1"/>
  <c r="N39" i="1"/>
  <c r="P39" i="1" s="1"/>
  <c r="O39" i="1"/>
  <c r="Q39" i="1" s="1"/>
  <c r="O551" i="1"/>
  <c r="Q551" i="1" s="1"/>
  <c r="O188" i="1"/>
  <c r="Q188" i="1" s="1"/>
  <c r="J333" i="1"/>
  <c r="N371" i="1"/>
  <c r="P371" i="1" s="1"/>
  <c r="M579" i="1"/>
  <c r="N168" i="1"/>
  <c r="P168" i="1" s="1"/>
  <c r="N102" i="1"/>
  <c r="P102" i="1" s="1"/>
  <c r="N135" i="1"/>
  <c r="P135" i="1" s="1"/>
  <c r="J170" i="1"/>
  <c r="O469" i="1"/>
  <c r="Q469" i="1" s="1"/>
  <c r="N319" i="1"/>
  <c r="P319" i="1" s="1"/>
  <c r="N151" i="1"/>
  <c r="P151" i="1" s="1"/>
  <c r="O371" i="1"/>
  <c r="Q371" i="1" s="1"/>
  <c r="N130" i="1"/>
  <c r="P130" i="1" s="1"/>
  <c r="J428" i="1"/>
  <c r="N423" i="1"/>
  <c r="P423" i="1" s="1"/>
  <c r="I428" i="1"/>
  <c r="L333" i="1"/>
  <c r="N405" i="1"/>
  <c r="P405" i="1" s="1"/>
  <c r="I116" i="1"/>
  <c r="O15" i="1"/>
  <c r="Q15" i="1" s="1"/>
  <c r="H170" i="1"/>
  <c r="K219" i="1"/>
  <c r="O215" i="1"/>
  <c r="Q215" i="1" s="1"/>
  <c r="N488" i="1"/>
  <c r="P488" i="1" s="1"/>
  <c r="N141" i="1"/>
  <c r="P141" i="1" s="1"/>
  <c r="O156" i="1"/>
  <c r="Q156" i="1" s="1"/>
  <c r="K579" i="1"/>
  <c r="K170" i="1"/>
  <c r="N225" i="1"/>
  <c r="P225" i="1" s="1"/>
  <c r="I333" i="1"/>
  <c r="O234" i="1"/>
  <c r="Q234" i="1" s="1"/>
  <c r="N111" i="1"/>
  <c r="P111" i="1" s="1"/>
  <c r="O225" i="1"/>
  <c r="Q225" i="1" s="1"/>
  <c r="N301" i="1"/>
  <c r="P301" i="1" s="1"/>
  <c r="H489" i="1"/>
  <c r="O455" i="1"/>
  <c r="Q455" i="1" s="1"/>
  <c r="N164" i="1"/>
  <c r="P164" i="1" s="1"/>
  <c r="O191" i="1"/>
  <c r="Q191" i="1" s="1"/>
  <c r="N361" i="1"/>
  <c r="P361" i="1" s="1"/>
  <c r="O441" i="1"/>
  <c r="Q441" i="1" s="1"/>
  <c r="I489" i="1"/>
  <c r="I170" i="1"/>
  <c r="N455" i="1"/>
  <c r="P455" i="1" s="1"/>
  <c r="O141" i="1"/>
  <c r="Q141" i="1" s="1"/>
  <c r="N328" i="1"/>
  <c r="P328" i="1" s="1"/>
  <c r="O84" i="1"/>
  <c r="Q84" i="1" s="1"/>
  <c r="N427" i="1"/>
  <c r="P427" i="1" s="1"/>
  <c r="N454" i="1"/>
  <c r="P454" i="1" s="1"/>
  <c r="L548" i="1"/>
  <c r="N115" i="1"/>
  <c r="P115" i="1" s="1"/>
  <c r="O547" i="1"/>
  <c r="Q547" i="1" s="1"/>
  <c r="O263" i="1"/>
  <c r="Q263" i="1" s="1"/>
  <c r="N84" i="1"/>
  <c r="P84" i="1" s="1"/>
  <c r="M170" i="1"/>
  <c r="O159" i="1"/>
  <c r="Q159" i="1" s="1"/>
  <c r="N45" i="1"/>
  <c r="P45" i="1" s="1"/>
  <c r="N479" i="1"/>
  <c r="P479" i="1" s="1"/>
  <c r="N188" i="1"/>
  <c r="P188" i="1" s="1"/>
  <c r="O479" i="1"/>
  <c r="Q479" i="1" s="1"/>
  <c r="O124" i="1"/>
  <c r="Q124" i="1" s="1"/>
  <c r="O376" i="1"/>
  <c r="Q376" i="1" s="1"/>
  <c r="O454" i="1"/>
  <c r="Q454" i="1" s="1"/>
  <c r="M333" i="1"/>
  <c r="M489" i="1"/>
  <c r="N144" i="1"/>
  <c r="P144" i="1" s="1"/>
  <c r="N568" i="1"/>
  <c r="P568" i="1" s="1"/>
  <c r="H569" i="1"/>
  <c r="K428" i="1"/>
  <c r="O288" i="1"/>
  <c r="Q288" i="1" s="1"/>
  <c r="N207" i="1"/>
  <c r="P207" i="1" s="1"/>
  <c r="O257" i="1"/>
  <c r="Q257" i="1" s="1"/>
  <c r="N307" i="1"/>
  <c r="P307" i="1" s="1"/>
  <c r="N215" i="1"/>
  <c r="P215" i="1" s="1"/>
  <c r="H219" i="1"/>
  <c r="N257" i="1"/>
  <c r="P257" i="1" s="1"/>
  <c r="N342" i="1"/>
  <c r="P342" i="1" s="1"/>
  <c r="O331" i="1"/>
  <c r="Q331" i="1" s="1"/>
  <c r="N376" i="1"/>
  <c r="P376" i="1" s="1"/>
  <c r="O405" i="1"/>
  <c r="Q405" i="1" s="1"/>
  <c r="N576" i="1"/>
  <c r="P576" i="1" s="1"/>
  <c r="H578" i="1"/>
  <c r="O361" i="1"/>
  <c r="Q361" i="1" s="1"/>
  <c r="I363" i="1"/>
  <c r="N469" i="1"/>
  <c r="P469" i="1" s="1"/>
  <c r="O488" i="1"/>
  <c r="Q488" i="1" s="1"/>
  <c r="O576" i="1"/>
  <c r="Q576" i="1" s="1"/>
  <c r="N198" i="1"/>
  <c r="P198" i="1" s="1"/>
  <c r="O319" i="1"/>
  <c r="Q319" i="1" s="1"/>
  <c r="O464" i="1"/>
  <c r="Q464" i="1" s="1"/>
  <c r="O198" i="1"/>
  <c r="Q198" i="1" s="1"/>
  <c r="O164" i="1"/>
  <c r="Q164" i="1" s="1"/>
  <c r="J489" i="1"/>
  <c r="J548" i="1"/>
  <c r="N71" i="1"/>
  <c r="P71" i="1" s="1"/>
  <c r="O115" i="1"/>
  <c r="Q115" i="1" s="1"/>
  <c r="O135" i="1"/>
  <c r="Q135" i="1" s="1"/>
  <c r="M363" i="1"/>
  <c r="N280" i="1"/>
  <c r="P280" i="1" s="1"/>
  <c r="H333" i="1"/>
  <c r="J219" i="1"/>
  <c r="O280" i="1"/>
  <c r="Q280" i="1" s="1"/>
  <c r="N518" i="1"/>
  <c r="P518" i="1" s="1"/>
  <c r="N15" i="1"/>
  <c r="P15" i="1" s="1"/>
  <c r="H116" i="1"/>
  <c r="I578" i="1"/>
  <c r="AJ489" i="8" l="1"/>
  <c r="AB552" i="2"/>
  <c r="AB553" i="2" s="1"/>
  <c r="AB580" i="2" s="1"/>
  <c r="AB1" i="2" s="1"/>
  <c r="AD1" i="2" s="1"/>
  <c r="AB552" i="8"/>
  <c r="AB553" i="8" s="1"/>
  <c r="AB580" i="8" s="1"/>
  <c r="AB1" i="8" s="1"/>
  <c r="AK489" i="8"/>
  <c r="AD552" i="8"/>
  <c r="AD553" i="8" s="1"/>
  <c r="AD580" i="8" s="1"/>
  <c r="AD1" i="8" s="1"/>
  <c r="AH489" i="5"/>
  <c r="AF489" i="2"/>
  <c r="AI489" i="6"/>
  <c r="AB552" i="6"/>
  <c r="AB553" i="6" s="1"/>
  <c r="AB580" i="6" s="1"/>
  <c r="AB1" i="6" s="1"/>
  <c r="AD552" i="5"/>
  <c r="AD553" i="5" s="1"/>
  <c r="AD580" i="5" s="1"/>
  <c r="AD1" i="5" s="1"/>
  <c r="AI489" i="5"/>
  <c r="AD552" i="6"/>
  <c r="AD553" i="6" s="1"/>
  <c r="AD580" i="6" s="1"/>
  <c r="AD1" i="6" s="1"/>
  <c r="AJ489" i="6"/>
  <c r="AB552" i="5"/>
  <c r="AB553" i="5" s="1"/>
  <c r="AB580" i="5" s="1"/>
  <c r="AB1" i="5" s="1"/>
  <c r="AF1" i="5" s="1"/>
  <c r="AF552" i="8"/>
  <c r="AF553" i="8" s="1"/>
  <c r="AF580" i="8" s="1"/>
  <c r="AF1" i="8" s="1"/>
  <c r="O548" i="1"/>
  <c r="Q548" i="1" s="1"/>
  <c r="J364" i="1"/>
  <c r="J552" i="1" s="1"/>
  <c r="L183" i="1"/>
  <c r="L220" i="1" s="1"/>
  <c r="J183" i="1"/>
  <c r="J220" i="1" s="1"/>
  <c r="I579" i="1"/>
  <c r="O579" i="1" s="1"/>
  <c r="Q579" i="1" s="1"/>
  <c r="M428" i="1"/>
  <c r="O428" i="1" s="1"/>
  <c r="Q428" i="1" s="1"/>
  <c r="O569" i="1"/>
  <c r="Q569" i="1" s="1"/>
  <c r="L579" i="1"/>
  <c r="O423" i="1"/>
  <c r="Q423" i="1" s="1"/>
  <c r="N428" i="1"/>
  <c r="P428" i="1" s="1"/>
  <c r="N363" i="1"/>
  <c r="P363" i="1" s="1"/>
  <c r="K364" i="1"/>
  <c r="O578" i="1"/>
  <c r="Q578" i="1" s="1"/>
  <c r="N170" i="1"/>
  <c r="P170" i="1" s="1"/>
  <c r="I364" i="1"/>
  <c r="O333" i="1"/>
  <c r="Q333" i="1" s="1"/>
  <c r="H183" i="1"/>
  <c r="N116" i="1"/>
  <c r="P116" i="1" s="1"/>
  <c r="K183" i="1"/>
  <c r="M183" i="1"/>
  <c r="N219" i="1"/>
  <c r="P219" i="1" s="1"/>
  <c r="O489" i="1"/>
  <c r="Q489" i="1" s="1"/>
  <c r="O219" i="1"/>
  <c r="Q219" i="1" s="1"/>
  <c r="N333" i="1"/>
  <c r="P333" i="1" s="1"/>
  <c r="H364" i="1"/>
  <c r="N578" i="1"/>
  <c r="P578" i="1" s="1"/>
  <c r="N548" i="1"/>
  <c r="P548" i="1" s="1"/>
  <c r="O170" i="1"/>
  <c r="Q170" i="1" s="1"/>
  <c r="H579" i="1"/>
  <c r="N569" i="1"/>
  <c r="P569" i="1" s="1"/>
  <c r="O116" i="1"/>
  <c r="Q116" i="1" s="1"/>
  <c r="I183" i="1"/>
  <c r="N489" i="1"/>
  <c r="P489" i="1" s="1"/>
  <c r="L364" i="1"/>
  <c r="O363" i="1"/>
  <c r="Q363" i="1" s="1"/>
  <c r="M364" i="1"/>
  <c r="K552" i="1" l="1"/>
  <c r="L552" i="1"/>
  <c r="L553" i="1" s="1"/>
  <c r="I220" i="1"/>
  <c r="O183" i="1"/>
  <c r="Q183" i="1" s="1"/>
  <c r="N183" i="1"/>
  <c r="P183" i="1" s="1"/>
  <c r="H220" i="1"/>
  <c r="N364" i="1"/>
  <c r="P364" i="1" s="1"/>
  <c r="H552" i="1"/>
  <c r="M220" i="1"/>
  <c r="O364" i="1"/>
  <c r="Q364" i="1" s="1"/>
  <c r="I552" i="1"/>
  <c r="J553" i="1"/>
  <c r="M552" i="1"/>
  <c r="N579" i="1"/>
  <c r="P579" i="1" s="1"/>
  <c r="K220" i="1"/>
  <c r="N552" i="1" l="1"/>
  <c r="P552" i="1" s="1"/>
  <c r="K553" i="1"/>
  <c r="M553" i="1"/>
  <c r="L580" i="1"/>
  <c r="L1" i="1" s="1"/>
  <c r="N220" i="1"/>
  <c r="P220" i="1" s="1"/>
  <c r="H553" i="1"/>
  <c r="J580" i="1"/>
  <c r="J1" i="1" s="1"/>
  <c r="I553" i="1"/>
  <c r="O220" i="1"/>
  <c r="Q220" i="1" s="1"/>
  <c r="O552" i="1"/>
  <c r="Q552" i="1" s="1"/>
  <c r="I580" i="1" l="1"/>
  <c r="I1" i="1" s="1"/>
  <c r="O553" i="1"/>
  <c r="Q553" i="1" s="1"/>
  <c r="H580" i="1"/>
  <c r="H1" i="1" s="1"/>
  <c r="N553" i="1"/>
  <c r="P553" i="1" s="1"/>
  <c r="K580" i="1"/>
  <c r="K1" i="1" s="1"/>
  <c r="M580" i="1"/>
  <c r="M1" i="1" s="1"/>
  <c r="N580" i="1" l="1"/>
  <c r="O580" i="1"/>
  <c r="Q580" i="1" l="1"/>
  <c r="Q1" i="1" s="1"/>
  <c r="O1" i="1"/>
  <c r="P580" i="1"/>
  <c r="P1" i="1" s="1"/>
  <c r="N1" i="1"/>
  <c r="AP205" i="12" l="1"/>
  <c r="AQ205" i="13"/>
  <c r="AO205" i="11"/>
  <c r="AM205" i="9"/>
  <c r="AR205" i="15"/>
  <c r="AN205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<sst xmlns="http://schemas.openxmlformats.org/spreadsheetml/2006/main" count="14700" uniqueCount="1039">
  <si>
    <t>TOTAL</t>
  </si>
  <si>
    <t>Jul '22 - Jun 23</t>
  </si>
  <si>
    <t>Budget</t>
  </si>
  <si>
    <t>Jul '23 - Jun 24</t>
  </si>
  <si>
    <t>Jul '24 - Jun 25</t>
  </si>
  <si>
    <t>Jul '22 - Jun 25</t>
  </si>
  <si>
    <t>Ordinary Income/Expense</t>
  </si>
  <si>
    <t>Income</t>
  </si>
  <si>
    <t>40 · EDUCATION INCOME</t>
  </si>
  <si>
    <t>410 · COURSE INCOME - CLASSROOM</t>
  </si>
  <si>
    <t>100 · COURSE 100'S</t>
  </si>
  <si>
    <t>4100i · 100i-Principles of Land Acq</t>
  </si>
  <si>
    <t>4102 · 102-Elevating Your Ethical Awar</t>
  </si>
  <si>
    <t>4103 · 103-Ethics &amp; ROW Profession</t>
  </si>
  <si>
    <t>4105 · 105-URA Executive Summary</t>
  </si>
  <si>
    <t>4145 · 145-Overview of URA 4 Hrs</t>
  </si>
  <si>
    <t>Total 100 · COURSE 100'S</t>
  </si>
  <si>
    <t>200 · COURSE 200'S</t>
  </si>
  <si>
    <t>4200 · 200-Princip. of R/E Negotiation</t>
  </si>
  <si>
    <t>4200C · 200C-Princip. of R/E Negotiat'n</t>
  </si>
  <si>
    <t>4201 · 201-Comm. in R/E Acquisition</t>
  </si>
  <si>
    <t>4203 · 203-Alternative Dispute Resol.</t>
  </si>
  <si>
    <t>4203C · 203C-Alternative Dispute Resol.</t>
  </si>
  <si>
    <t>4205 · 205-Bargaining Negotiations</t>
  </si>
  <si>
    <t>4205C · 205C-Bargaining Negotiations</t>
  </si>
  <si>
    <t>4207 · 207-Practical Negotiations</t>
  </si>
  <si>
    <t>4209 · 209-Negotiating with Diverse Cl</t>
  </si>
  <si>
    <t>4209C · 209C-Negotiating with Diverse</t>
  </si>
  <si>
    <t>4213 · 213-Conflict Management</t>
  </si>
  <si>
    <t>4213C · 213C-Conflict Management</t>
  </si>
  <si>
    <t>4215 · 215-R/W Acquisit. Pipeline Proj</t>
  </si>
  <si>
    <t>4218 · 218-R/W Acq. for Elec.Util.Proj</t>
  </si>
  <si>
    <t>4219 · 219-Introductory Instructor</t>
  </si>
  <si>
    <t>4219C · 219C-Introductory Instructor</t>
  </si>
  <si>
    <t>4225 · 225-Social Ecology</t>
  </si>
  <si>
    <t>4230 · 230-Oil&amp;Gas Land Basics &amp; Issue</t>
  </si>
  <si>
    <t>4235C · C235C - Cdn Oil &amp; Gas Industry</t>
  </si>
  <si>
    <t>4239 · 239 Prin. of Wind Eng.  Ld Aq</t>
  </si>
  <si>
    <t>4240i · 240i Geothermal Energy Basics</t>
  </si>
  <si>
    <t>4241i · 240i - Solar Energy Basics</t>
  </si>
  <si>
    <t>Total 200 · COURSE 200'S</t>
  </si>
  <si>
    <t>300 · COURSE 300'S</t>
  </si>
  <si>
    <t>4303 · 303-Management Consulting</t>
  </si>
  <si>
    <t>4303C · 303C-Management Consulting</t>
  </si>
  <si>
    <t>4304 · 304-When Public Agenc's Collide</t>
  </si>
  <si>
    <t>4306 · 306-Proj Management Basics PM1</t>
  </si>
  <si>
    <t>Total 300 · COURSE 300'S</t>
  </si>
  <si>
    <t>400 · COURSE 400'S</t>
  </si>
  <si>
    <t>4400 · 400-Principles of R/E Appraisal</t>
  </si>
  <si>
    <t>4400C · 400C-Principles of R/E Apprais.</t>
  </si>
  <si>
    <t>4402 · 402-Intro to Income Cap Approac</t>
  </si>
  <si>
    <t>4403 · 403-Easement Valuation</t>
  </si>
  <si>
    <t>4406A · 406A-15 Hour National USPAP</t>
  </si>
  <si>
    <t>4406B · 406B-7 Hour National USPAP</t>
  </si>
  <si>
    <t>4409 · 409-Integrating Appraisal Stds.</t>
  </si>
  <si>
    <t>4410 · 410-Review. Apprais. in Eminent</t>
  </si>
  <si>
    <t>4413 · 413-UAS Federal Land Acquisit'n</t>
  </si>
  <si>
    <t>4415 · 415.USPAP&amp;YB Relationship Guide</t>
  </si>
  <si>
    <t>4417 · 417-Valuation of Contamin. R/E</t>
  </si>
  <si>
    <t>4421 · 421-Valuation of Partial Acquis</t>
  </si>
  <si>
    <t>4421C · 421C-Valuation of Partial Acqui</t>
  </si>
  <si>
    <t>4431 · 431-Problems in Valuation P/A</t>
  </si>
  <si>
    <t>4431C · 431C-Problems in Valuation P/A</t>
  </si>
  <si>
    <t>Total 400 · COURSE 400'S</t>
  </si>
  <si>
    <t>4985 · SR/WA Revenue</t>
  </si>
  <si>
    <t>500 · COURSE 500'S</t>
  </si>
  <si>
    <t>4501 · 501-Residential Reloc. Assist.</t>
  </si>
  <si>
    <t>4502 · 502-Non-Residential Relocation</t>
  </si>
  <si>
    <t>4503 · 503-Mobile Home Relocation</t>
  </si>
  <si>
    <t>4504 · 504-Computing Replace. Hous.Pmt</t>
  </si>
  <si>
    <t>4505 · 505-Advanced Res. Reloc.Assist.</t>
  </si>
  <si>
    <t>4506 · 506-Advanced Bus. Reloc.Assist.</t>
  </si>
  <si>
    <t>Total 500 · COURSE 500'S</t>
  </si>
  <si>
    <t>600 · COURSE 600'S</t>
  </si>
  <si>
    <t>4600C · 600C-Environmental Awareness</t>
  </si>
  <si>
    <t>4600i · 600i-Environmental Awareness</t>
  </si>
  <si>
    <t>4602 · 602-Project Devel.&amp; Envir.Proc.</t>
  </si>
  <si>
    <t>4603 · 603-Understanding Environment</t>
  </si>
  <si>
    <t>4603C · 603C-Understanding Environment</t>
  </si>
  <si>
    <t>4604 · 604-Envir Due Diligence and Li.</t>
  </si>
  <si>
    <t>4606 · 606-Environmental Process</t>
  </si>
  <si>
    <t>4606C · 606C-Environmental Process</t>
  </si>
  <si>
    <t>4643i · 643i-Air Basics</t>
  </si>
  <si>
    <t>4646i · 646i-Soil Basics</t>
  </si>
  <si>
    <t>Total 600 · COURSE 600'S</t>
  </si>
  <si>
    <t>700 · COURSE 700'S</t>
  </si>
  <si>
    <t>4700 · 700-Introduction to Prop. Mgmt.</t>
  </si>
  <si>
    <t>4700C · 700C-Introduction to Prop. Mgt.</t>
  </si>
  <si>
    <t>4701 · 701-Property Mgmt. - Leasing</t>
  </si>
  <si>
    <t>4703 · 703-Real Property/Asset Mgmt.</t>
  </si>
  <si>
    <t>Total 700 · COURSE 700'S</t>
  </si>
  <si>
    <t>800 · COURSE 800'S</t>
  </si>
  <si>
    <t>4800 · 800-Principles of R/E Law</t>
  </si>
  <si>
    <t>4800C · 800C- Principles of R/E Law</t>
  </si>
  <si>
    <t>4801 · 801-Land Titles</t>
  </si>
  <si>
    <t>4801C · 801C-Land Titles</t>
  </si>
  <si>
    <t>4802 · 802-Legal Aspects of Easements</t>
  </si>
  <si>
    <t>4802C · 802C-Legal Aspects of Easements</t>
  </si>
  <si>
    <t>4803 · 803-Eminent Domain Law Basics..</t>
  </si>
  <si>
    <t>4803C · 803C-Expropriation Law REP</t>
  </si>
  <si>
    <t>4804 · 804-Skills of Expert Testimony</t>
  </si>
  <si>
    <t>Total 800 · COURSE 800'S</t>
  </si>
  <si>
    <t>900 · COURSE 900'S</t>
  </si>
  <si>
    <t>4900 · 900-Principles of R/E Engineer.</t>
  </si>
  <si>
    <t>4900C · 900C-Principles of R/E Engineer</t>
  </si>
  <si>
    <t>4901 · 901-Engineering Plan Develop.</t>
  </si>
  <si>
    <t>4901C · 901C-Engineering Plan Develop.</t>
  </si>
  <si>
    <t>4902 · 902-Property Descriptions</t>
  </si>
  <si>
    <t>4902C · 902C-Property Descriptions</t>
  </si>
  <si>
    <t>4904 · 904 . GIS Principles &amp; Use</t>
  </si>
  <si>
    <t>Total 900 · COURSE 900'S</t>
  </si>
  <si>
    <t>990 · IRWA Sponsored Courses</t>
  </si>
  <si>
    <t>4996 · IRWA Sponsored Course Income</t>
  </si>
  <si>
    <t>990 · IRWA Sponsored Courses - Other</t>
  </si>
  <si>
    <t>Total 990 · IRWA Sponsored Courses</t>
  </si>
  <si>
    <t>Total 410 · COURSE INCOME - CLASSROOM</t>
  </si>
  <si>
    <t>415 · COURSE INCOME - ONLINE</t>
  </si>
  <si>
    <t>100O · COURSE 100'S - ONLINE</t>
  </si>
  <si>
    <t>4100iV · 100iV-Principles of Land Acq</t>
  </si>
  <si>
    <t>4102O · Elevating Your Ethical Awarenes</t>
  </si>
  <si>
    <t>4103O · 103O-Ethics &amp; ROW Prof.</t>
  </si>
  <si>
    <t>4104O · 104O-Standards of Practice</t>
  </si>
  <si>
    <t>4105O · 105O-URA Executive Summery</t>
  </si>
  <si>
    <t>Total 100O · COURSE 100'S - ONLINE</t>
  </si>
  <si>
    <t>200O · COURSE 200'S - ONLINE</t>
  </si>
  <si>
    <t>4200O · 200O-Princip. of R/E Negotiat.</t>
  </si>
  <si>
    <t>4203O · 203O-Alternative Dispute Resol.</t>
  </si>
  <si>
    <t>4205O · 205O-Bargaining Negotiations</t>
  </si>
  <si>
    <t>4213O · 213O-Conflict Management</t>
  </si>
  <si>
    <t>Total 200O · COURSE 200'S - ONLINE</t>
  </si>
  <si>
    <t>300O · COURSE 300'S - ONLINE</t>
  </si>
  <si>
    <t>4303O · 303O-Management Consulting</t>
  </si>
  <si>
    <t>4304O · 304O-When Public Agenc's Coll.</t>
  </si>
  <si>
    <t>4305O · 305O-1-2-3's of RW of Proj Mgmt</t>
  </si>
  <si>
    <t>Total 300O · COURSE 300'S - ONLINE</t>
  </si>
  <si>
    <t>400O · COURSE 400'S - ONLINE</t>
  </si>
  <si>
    <t>4400O · 400O-Principles of R/E Apprais.</t>
  </si>
  <si>
    <t>4402O · 402O-Intro to Income Cap Appro.</t>
  </si>
  <si>
    <t>4403O · 403O-Easement Valuation</t>
  </si>
  <si>
    <t>4411O · 411O - Appraisal Concepts</t>
  </si>
  <si>
    <t>Total 400O · COURSE 400'S - ONLINE</t>
  </si>
  <si>
    <t>415O · Courses Discount - Online</t>
  </si>
  <si>
    <t>4953 · Course Discount - Online</t>
  </si>
  <si>
    <t>Total 415O · Courses Discount - Online</t>
  </si>
  <si>
    <t>500O · COURSE 500'S - ONLINE</t>
  </si>
  <si>
    <t>4503O · 503O-Mobile Home Relocation</t>
  </si>
  <si>
    <t>4507O · 507O-Special Non-Residential Py</t>
  </si>
  <si>
    <t>4520O · 520O.Special Topics in Replac.</t>
  </si>
  <si>
    <t>4521O · 521O-Non-Residential Fixed Pts.</t>
  </si>
  <si>
    <t>4530O · 530O - Business Move Process</t>
  </si>
  <si>
    <t>Total 500O · COURSE 500'S - ONLINE</t>
  </si>
  <si>
    <t>600O · COURSE 600'S - ONLINE</t>
  </si>
  <si>
    <t>4600O · 600O-Environmental Awareness</t>
  </si>
  <si>
    <t>4606CO · 606CO-Environmental Process Cdn</t>
  </si>
  <si>
    <t>4606O · 606O-Environmental Process</t>
  </si>
  <si>
    <t>Total 600O · COURSE 600'S - ONLINE</t>
  </si>
  <si>
    <t>700O · COURSE 700'S - ONLINE</t>
  </si>
  <si>
    <t>4700O · 700O-Introduction to Prop. Mgt.</t>
  </si>
  <si>
    <t>Total 700O · COURSE 700'S - ONLINE</t>
  </si>
  <si>
    <t>800O · COURSE 800'S - ONLINE</t>
  </si>
  <si>
    <t>4800O · 800O-Principles of R/E Law</t>
  </si>
  <si>
    <t>4801O · 801O-Land Titles</t>
  </si>
  <si>
    <t>4802O · 802O-Legal Aspects of Easements</t>
  </si>
  <si>
    <t>Total 800O · COURSE 800'S - ONLINE</t>
  </si>
  <si>
    <t>900O · COURSE 900'S - ONLINE</t>
  </si>
  <si>
    <t>4900O · 900O-Principles of R/E Engineer</t>
  </si>
  <si>
    <t>4903O · 903O-Underground Infr. Panorama</t>
  </si>
  <si>
    <t>Total 900O · COURSE 900'S - ONLINE</t>
  </si>
  <si>
    <t>415 · COURSE INCOME - ONLINE - Other</t>
  </si>
  <si>
    <t>Total 415 · COURSE INCOME - ONLINE</t>
  </si>
  <si>
    <t>920 · EDUCATIONAL INCOME - OTHER</t>
  </si>
  <si>
    <t>4945 · Contribution Revenue</t>
  </si>
  <si>
    <t>4950 · Credentialing Income</t>
  </si>
  <si>
    <t>4955 · Course Revenue - Misc.</t>
  </si>
  <si>
    <t>4960 · Education Sponsorship Income</t>
  </si>
  <si>
    <t>4965 · PEAK</t>
  </si>
  <si>
    <t>4974 · Online Webinars - IRWA</t>
  </si>
  <si>
    <t>4975 · Online Seminars - IRWA</t>
  </si>
  <si>
    <t>4990 · Textbooks - Optional Sales</t>
  </si>
  <si>
    <t>4991 · Textbooks - PROW Book</t>
  </si>
  <si>
    <t>4997 · Vendor Discount</t>
  </si>
  <si>
    <t>Total 920 · EDUCATIONAL INCOME - OTHER</t>
  </si>
  <si>
    <t>Total 40 · EDUCATION INCOME</t>
  </si>
  <si>
    <t>41 · ADVERTISING INCOME</t>
  </si>
  <si>
    <t>4010 · Magazine</t>
  </si>
  <si>
    <t>4015 · Website - Job Posting</t>
  </si>
  <si>
    <t>4016 · Digital Ads</t>
  </si>
  <si>
    <t>Total 41 · ADVERTISING INCOME</t>
  </si>
  <si>
    <t>43 · INVESTMENT INCOME</t>
  </si>
  <si>
    <t>4020 · Interest &amp; Dividend Income</t>
  </si>
  <si>
    <t>Total 43 · INVESTMENT INCOME</t>
  </si>
  <si>
    <t>44 · MEMBERSHIP INCOME</t>
  </si>
  <si>
    <t>4033 · Member Dues - Agency</t>
  </si>
  <si>
    <t>4034 · Member Dues - Corporate</t>
  </si>
  <si>
    <t>4035 · Member Dues - Application Fee</t>
  </si>
  <si>
    <t>4039 · Member Dues - New</t>
  </si>
  <si>
    <t>4041 · Member Dues - Regular Renewal</t>
  </si>
  <si>
    <t>Total 44 · MEMBERSHIP INCOME</t>
  </si>
  <si>
    <t>45 · MERCHANDISE - SALES</t>
  </si>
  <si>
    <t>4490 · Sales of Merchandise</t>
  </si>
  <si>
    <t>Total 45 · MERCHANDISE - SALES</t>
  </si>
  <si>
    <t>46 · OTHER INCOME</t>
  </si>
  <si>
    <t>4031 · Dues - Affiliates</t>
  </si>
  <si>
    <t>4043 · Contribution Income</t>
  </si>
  <si>
    <t>4045 · Magazine Subscription Income</t>
  </si>
  <si>
    <t>4050 · Miscellaneous Income</t>
  </si>
  <si>
    <t>Total 46 · OTHER INCOME</t>
  </si>
  <si>
    <t>47 · SEMINARS &amp; CONFERENCES</t>
  </si>
  <si>
    <t>950 · INTERNATIONAL CONFERENCE</t>
  </si>
  <si>
    <t>4667 · Advertising Revenue</t>
  </si>
  <si>
    <t>4669 · Exhibitors Income</t>
  </si>
  <si>
    <t>4673 · Optional Tours Income</t>
  </si>
  <si>
    <t>4675 · Registration Income</t>
  </si>
  <si>
    <t>4677 · Sponsorship Income</t>
  </si>
  <si>
    <t>Total 950 · INTERNATIONAL CONFERENCE</t>
  </si>
  <si>
    <t>975 · OTHER SEMINARS &amp; CONFERENCES</t>
  </si>
  <si>
    <t>4657 · Other Conventions &amp; Meetings</t>
  </si>
  <si>
    <t>Total 975 · OTHER SEMINARS &amp; CONFERENCES</t>
  </si>
  <si>
    <t>Total 47 · SEMINARS &amp; CONFERENCES</t>
  </si>
  <si>
    <t>Total Income</t>
  </si>
  <si>
    <t>Expense</t>
  </si>
  <si>
    <t>50 · COST OF GOODS SOLD</t>
  </si>
  <si>
    <t>5001 · Merchandise</t>
  </si>
  <si>
    <t>5002 · Merchandise - PROW Book</t>
  </si>
  <si>
    <t>Total 50 · COST OF GOODS SOLD</t>
  </si>
  <si>
    <t>55 · EDUCATION EXPENSES</t>
  </si>
  <si>
    <t>501 · COURSE EXPENSES</t>
  </si>
  <si>
    <t>5070 · SR/WA Expenses</t>
  </si>
  <si>
    <t>510 · COURSE 100'S</t>
  </si>
  <si>
    <t>5100i · 100i-Principl. of Land Acq-In'l</t>
  </si>
  <si>
    <t>5102 · 102-Elevating Your Ethical Awar</t>
  </si>
  <si>
    <t>5105 · 105-URA Executive Summery</t>
  </si>
  <si>
    <t>5145 · 145-Overview of URA 4 Hrs</t>
  </si>
  <si>
    <t>Total 510 · COURSE 100'S</t>
  </si>
  <si>
    <t>520 · COURSE 200'S</t>
  </si>
  <si>
    <t>5200 · 200-Princip. of R/E Negotiation</t>
  </si>
  <si>
    <t>5200C · 200C-Princip. of R/E Negotiat'n</t>
  </si>
  <si>
    <t>5201 · 201-Comm. in R/E Acquisition</t>
  </si>
  <si>
    <t>5203 · 203-Alternative Dispute Resol.</t>
  </si>
  <si>
    <t>5203C · 203C-Alternative Dispute Resol.</t>
  </si>
  <si>
    <t>5205 · 205-Bargaining Negotiations</t>
  </si>
  <si>
    <t>5207 · 207-Practical Negotiations</t>
  </si>
  <si>
    <t>5209 · 209-Negotiating with Diverse Cl</t>
  </si>
  <si>
    <t>5209C · 209C-Negotiating with Diverse</t>
  </si>
  <si>
    <t>5213 · 213-Conflict Management</t>
  </si>
  <si>
    <t>5213C · 213C-Conflict Management</t>
  </si>
  <si>
    <t>5215 · 215-R/W Acquisit. Pipeline Proj</t>
  </si>
  <si>
    <t>5218 · 218-R/W Acq. for Elec.Util.Proj</t>
  </si>
  <si>
    <t>5219 · 219-Introductory Facilitator</t>
  </si>
  <si>
    <t>5219C · 219C-Introductory Facilitator</t>
  </si>
  <si>
    <t>5225 · 225-Social Ecology</t>
  </si>
  <si>
    <t>5230 · 230-Oil&amp;Gas Land Basics &amp; Issue</t>
  </si>
  <si>
    <t>5235C · 235C-Cdn Oil &amp; Gas Industry O/V</t>
  </si>
  <si>
    <t>5239 · 239 Prin. of Wind Eng.  Ld Aq</t>
  </si>
  <si>
    <t>5240i · 240i Geothermal Energy Basics</t>
  </si>
  <si>
    <t>5241i · 240i - Solar Energy Basics</t>
  </si>
  <si>
    <t>Total 520 · COURSE 200'S</t>
  </si>
  <si>
    <t>530 · COURSE 300'S</t>
  </si>
  <si>
    <t>5303 · 303-Management Consulting</t>
  </si>
  <si>
    <t>5303C · 303C-Management Consulting</t>
  </si>
  <si>
    <t>5304 · 304-When Public Agenc's Collide</t>
  </si>
  <si>
    <t>5306 · 306-Proj Management Basics PM1</t>
  </si>
  <si>
    <t>Total 530 · COURSE 300'S</t>
  </si>
  <si>
    <t>540 · COURSE 400'S</t>
  </si>
  <si>
    <t>5400 · 400-Principles of R/E Appraisal</t>
  </si>
  <si>
    <t>5400C · 400C-Principles of R/E Apprais.</t>
  </si>
  <si>
    <t>5402 · 402-Intro to Income Cap Approac</t>
  </si>
  <si>
    <t>5403 · 403-Easement Valuation</t>
  </si>
  <si>
    <t>5406A · 406A-15 Hour National USPAP</t>
  </si>
  <si>
    <t>5406B · 406B-7 Hour National USPAP</t>
  </si>
  <si>
    <t>5409 · 409-Integrating Appraisal Stds.</t>
  </si>
  <si>
    <t>5410 · 410-Review.Apprais. in Eminent</t>
  </si>
  <si>
    <t>5413 · 413-UAS Federal Land Acquisit'n</t>
  </si>
  <si>
    <t>5415 · 415.USPAP&amp;YB Relationship Guide</t>
  </si>
  <si>
    <t>5417 · 417-Valuation of Contamin. R/E</t>
  </si>
  <si>
    <t>5421 · 421-Valuation of Partial Acquis</t>
  </si>
  <si>
    <t>5421C · 421C-Valuation of Partial Acqui</t>
  </si>
  <si>
    <t>5431 · 431-Problems in Valuation P/A</t>
  </si>
  <si>
    <t>5431C · 431C-Problems in Valuation P/A</t>
  </si>
  <si>
    <t>Total 540 · COURSE 400'S</t>
  </si>
  <si>
    <t>550 · COURSE 500'S</t>
  </si>
  <si>
    <t>5501 · 501-Residential Reloc. Assist.</t>
  </si>
  <si>
    <t>5502 · 502-Non-Residential Relocation</t>
  </si>
  <si>
    <t>5503 · 503-Mobile Home Relocation</t>
  </si>
  <si>
    <t>5504 · 504-Computing Replace.Hous. Pmt</t>
  </si>
  <si>
    <t>5505 · 505-Advanced Res.Reloc. Assist.</t>
  </si>
  <si>
    <t>5506 · 506-Advanced Bus.Reloc. Assist.</t>
  </si>
  <si>
    <t>Total 550 · COURSE 500'S</t>
  </si>
  <si>
    <t>560 · COURSE 600'S</t>
  </si>
  <si>
    <t>5600C · 600C-Environmental Awareness</t>
  </si>
  <si>
    <t>5600i · 600i-Environmental Awareness</t>
  </si>
  <si>
    <t>5602 · 602-Project Devel.&amp; Envir.Proc.</t>
  </si>
  <si>
    <t>5603 · 603-Understanding Environment</t>
  </si>
  <si>
    <t>5603C · 603C-Understanding Environment</t>
  </si>
  <si>
    <t>5604 · 604-Envir Due Diligence and Li.</t>
  </si>
  <si>
    <t>5606 · 606-Environmental Process</t>
  </si>
  <si>
    <t>5606C · 606C-Environmental Process</t>
  </si>
  <si>
    <t>5640i · 640i-Water Basics</t>
  </si>
  <si>
    <t>5643i · 643i-Air Basics</t>
  </si>
  <si>
    <t>5646i · 646i-Soil Basics</t>
  </si>
  <si>
    <t>Total 560 · COURSE 600'S</t>
  </si>
  <si>
    <t>570 · COURSE 700'S</t>
  </si>
  <si>
    <t>5700 · 700-Introduction to Prop. Mgmt.</t>
  </si>
  <si>
    <t>5700C · 700C-Introduction to Prop. Mgt.</t>
  </si>
  <si>
    <t>5701 · 701-Property Mgmt. - Leasing</t>
  </si>
  <si>
    <t>5703 · 703-Real Property/Asset Mgmt.</t>
  </si>
  <si>
    <t>Total 570 · COURSE 700'S</t>
  </si>
  <si>
    <t>580 · COURSE 800'S</t>
  </si>
  <si>
    <t>5800 · 800-Principles of R/E Law</t>
  </si>
  <si>
    <t>5800C · 800C-Principles of R/E Law</t>
  </si>
  <si>
    <t>5801 · 801-Land Titles</t>
  </si>
  <si>
    <t>5801C · 801C-Land Titles</t>
  </si>
  <si>
    <t>5802 · 802-Legal Aspects of Easements</t>
  </si>
  <si>
    <t>5802C · 802C-Legal aspects of Easements</t>
  </si>
  <si>
    <t>5803 · 803-Eminent Domain Law Basics..</t>
  </si>
  <si>
    <t>5803C · 803C-Expropriation Law REP</t>
  </si>
  <si>
    <t>5804 · Skills of Expert Testimony</t>
  </si>
  <si>
    <t>5840C · 840C Canadian Expropriation Bas</t>
  </si>
  <si>
    <t>Total 580 · COURSE 800'S</t>
  </si>
  <si>
    <t>590 · COURSE 900'S</t>
  </si>
  <si>
    <t>5900 · 900-Principles of R/E Engineer.</t>
  </si>
  <si>
    <t>5900C · 900C-Principles of R/E Engineer</t>
  </si>
  <si>
    <t>5901 · 901-Engineering Plan Develop.</t>
  </si>
  <si>
    <t>5901C · 901C-Engineering Plan Develop.</t>
  </si>
  <si>
    <t>5902 · 902-Property Descriptions</t>
  </si>
  <si>
    <t>5902C · 902C-Property Descriptions</t>
  </si>
  <si>
    <t>Total 590 · COURSE 900'S</t>
  </si>
  <si>
    <t>599 · IRWA Sponsored Courses</t>
  </si>
  <si>
    <t>5996 · IRWA Sponsored Course Expense</t>
  </si>
  <si>
    <t>Total 599 · IRWA Sponsored Courses</t>
  </si>
  <si>
    <t>501 · COURSE EXPENSES - Other</t>
  </si>
  <si>
    <t>Total 501 · COURSE EXPENSES</t>
  </si>
  <si>
    <t>595 · EDUCATIONAL EXP. - OTHER</t>
  </si>
  <si>
    <t>5005 · Scholarship Expense</t>
  </si>
  <si>
    <t>5005A · Scholarship - LLW 1.0</t>
  </si>
  <si>
    <t>5005B · Scholarship - LLW 2.0</t>
  </si>
  <si>
    <t>5005C · Scholarship - Finishline</t>
  </si>
  <si>
    <t>5005D · Scholarship - Global Edu. Initi</t>
  </si>
  <si>
    <t>5005 · Scholarship Expense - Other</t>
  </si>
  <si>
    <t>Total 5005 · Scholarship Expense</t>
  </si>
  <si>
    <t>5008 · Chapter Incentive</t>
  </si>
  <si>
    <t>5009 · Class Incentive - Other</t>
  </si>
  <si>
    <t>5010 · Course Development Expenses</t>
  </si>
  <si>
    <t>5012 · Course Expenses - Misc.</t>
  </si>
  <si>
    <t>5014 · Course Revision Expenses</t>
  </si>
  <si>
    <t>5016 · Course State Certification</t>
  </si>
  <si>
    <t>5020 · Credentialing Expense</t>
  </si>
  <si>
    <t>5028 · PEAK</t>
  </si>
  <si>
    <t>5032 · Instructors' Develop.</t>
  </si>
  <si>
    <t>5036 · Instructors' Material</t>
  </si>
  <si>
    <t>5050 · Marketing Expense for Courses</t>
  </si>
  <si>
    <t>5060O · Online Hosting</t>
  </si>
  <si>
    <t>5065O · Online Seminars - IRWA</t>
  </si>
  <si>
    <t>5066 · P/P/S Education</t>
  </si>
  <si>
    <t>5068 · PROW Expenses</t>
  </si>
  <si>
    <t>5069 · Royalty</t>
  </si>
  <si>
    <t>5069O · Royalty Online</t>
  </si>
  <si>
    <t>5069 · Royalty - Other</t>
  </si>
  <si>
    <t>Total 5069 · Royalty</t>
  </si>
  <si>
    <t>5084 · Textbook Revision</t>
  </si>
  <si>
    <t>Total 595 · EDUCATIONAL EXP. - OTHER</t>
  </si>
  <si>
    <t>Total 55 · EDUCATION EXPENSES</t>
  </si>
  <si>
    <t>597 · BUILDING OPERATION</t>
  </si>
  <si>
    <t>6004 · Building Association Fee</t>
  </si>
  <si>
    <t>6005 · Building Depreciation</t>
  </si>
  <si>
    <t>6028 · Building Maintenance</t>
  </si>
  <si>
    <t>6031 · Building Property Tax</t>
  </si>
  <si>
    <t>6036 · Building Utilities</t>
  </si>
  <si>
    <t>Total 597 · BUILDING OPERATION</t>
  </si>
  <si>
    <t>60 · PAYROLL &amp; BENEFITS</t>
  </si>
  <si>
    <t>6020 · Payroll</t>
  </si>
  <si>
    <t>6030 · Pension Plan</t>
  </si>
  <si>
    <t>6040 · Taxes &amp; Benefits</t>
  </si>
  <si>
    <t>Total 60 · PAYROLL &amp; BENEFITS</t>
  </si>
  <si>
    <t>67 · SEMINARS &amp; CONFERENCES EXPENSES</t>
  </si>
  <si>
    <t>65 · INTERNATIONAL CONFERENCE</t>
  </si>
  <si>
    <t>6102 · Advisory Breakfast</t>
  </si>
  <si>
    <t>6104 · Audiovisual</t>
  </si>
  <si>
    <t>6106 · Awards Program</t>
  </si>
  <si>
    <t>6108 · Banquet</t>
  </si>
  <si>
    <t>6110 · Breakfast</t>
  </si>
  <si>
    <t>6112 · Breaks</t>
  </si>
  <si>
    <t>6113 · Board of Directors</t>
  </si>
  <si>
    <t>6115 · Committee Breaks</t>
  </si>
  <si>
    <t>6117 · Committee Speakers</t>
  </si>
  <si>
    <t>6118 · Conference Registration</t>
  </si>
  <si>
    <t>6119 · Credit Card Fees</t>
  </si>
  <si>
    <t>6123 · Finnegan Fun Run</t>
  </si>
  <si>
    <t>6124 · Exhibits</t>
  </si>
  <si>
    <t>6126 · Fee to Local Host</t>
  </si>
  <si>
    <t>6128 · Final Program &amp; At A Glance</t>
  </si>
  <si>
    <t>6130 · Gratuities</t>
  </si>
  <si>
    <t>6132 · Hotel Attrition</t>
  </si>
  <si>
    <t>6135 · IEC Receptions</t>
  </si>
  <si>
    <t>6139 · International Gifts</t>
  </si>
  <si>
    <t>6140 · International Luncheon</t>
  </si>
  <si>
    <t>6145 · Host Committee Food/Housing</t>
  </si>
  <si>
    <t>6147 · Luncheon/Award &amp; SRWA</t>
  </si>
  <si>
    <t>6149 · Miscellaneous</t>
  </si>
  <si>
    <t>6150 · Wednesday Night</t>
  </si>
  <si>
    <t>6150 · Wednesday Night - Other</t>
  </si>
  <si>
    <t>Total 6150 · Wednesday Night</t>
  </si>
  <si>
    <t>6153 · Facility</t>
  </si>
  <si>
    <t>6157 · Names Tag and Ribbons</t>
  </si>
  <si>
    <t>6159 · Opening Ceremonies</t>
  </si>
  <si>
    <t>6160 · Past President/Other Comps</t>
  </si>
  <si>
    <t>6161 · Photographer</t>
  </si>
  <si>
    <t>6163 · Planning</t>
  </si>
  <si>
    <t>6167 · Printing</t>
  </si>
  <si>
    <t>6171 · Security</t>
  </si>
  <si>
    <t>6172 · Shipping</t>
  </si>
  <si>
    <t>6173 · Signs/Banners</t>
  </si>
  <si>
    <t>6174 · Speakers Gifts</t>
  </si>
  <si>
    <t>6175 · Speakers</t>
  </si>
  <si>
    <t>6177 · Sponsor Premiums</t>
  </si>
  <si>
    <t>6180 · Staff Travel and Hotel</t>
  </si>
  <si>
    <t>6181 · Reception</t>
  </si>
  <si>
    <t>6183 · Temporary Personnel</t>
  </si>
  <si>
    <t>6188 · Totes</t>
  </si>
  <si>
    <t>Total 65 · INTERNATIONAL CONFERENCE</t>
  </si>
  <si>
    <t>70 · OTHER SEMINARS &amp; CONFERENCES</t>
  </si>
  <si>
    <t>6225 · Other Conventions and Meetings</t>
  </si>
  <si>
    <t>6395 · Young Professionals Group</t>
  </si>
  <si>
    <t>Total 70 · OTHER SEMINARS &amp; CONFERENCES</t>
  </si>
  <si>
    <t>Total 67 · SEMINARS &amp; CONFERENCES EXPENSES</t>
  </si>
  <si>
    <t>73 · LEADERSHIP TRAVEL / INCIDENTALS</t>
  </si>
  <si>
    <t>74 · TRAVEL - REGIONS</t>
  </si>
  <si>
    <t>6501 · Region 1</t>
  </si>
  <si>
    <t>6502 · Region 2</t>
  </si>
  <si>
    <t>6503 · Region 3</t>
  </si>
  <si>
    <t>6504 · Region 4</t>
  </si>
  <si>
    <t>6505 · Region 5</t>
  </si>
  <si>
    <t>6506 · Region 6</t>
  </si>
  <si>
    <t>6507 · Region 7</t>
  </si>
  <si>
    <t>6508 · Region 8</t>
  </si>
  <si>
    <t>6509 · Region 9</t>
  </si>
  <si>
    <t>6510 · Region 10</t>
  </si>
  <si>
    <t>Total 74 · TRAVEL - REGIONS</t>
  </si>
  <si>
    <t>75 · TRAVEL - INDUSTRIES</t>
  </si>
  <si>
    <t>755 · Industry Committees</t>
  </si>
  <si>
    <t>6605 · Asset Management Committee</t>
  </si>
  <si>
    <t>6615 · Environment</t>
  </si>
  <si>
    <t>6640 · Public Agency Committee</t>
  </si>
  <si>
    <t>6643 · Real Estate Law Committee</t>
  </si>
  <si>
    <t>6650 · Relocation Assistance</t>
  </si>
  <si>
    <t>6655 · Surveying &amp; Engineer</t>
  </si>
  <si>
    <t>6660 · Transportation Committee</t>
  </si>
  <si>
    <t>6665 · Electric &amp; Utilities Committee</t>
  </si>
  <si>
    <t>6670 · Valuation Committee</t>
  </si>
  <si>
    <t>755 · Industry Committees - Other</t>
  </si>
  <si>
    <t>Total 755 · Industry Committees</t>
  </si>
  <si>
    <t>Total 75 · TRAVEL - INDUSTRIES</t>
  </si>
  <si>
    <t>76 · TRAVEL - SERVICE COMMITTEES</t>
  </si>
  <si>
    <t>6675 · Ethics Committee</t>
  </si>
  <si>
    <t>6680 · Marketing &amp; Membership Committ</t>
  </si>
  <si>
    <t>6683 · Finance Committee</t>
  </si>
  <si>
    <t>6685 · Nomination &amp; Election Committee</t>
  </si>
  <si>
    <t>6690 · IPEC</t>
  </si>
  <si>
    <t>6695 · Young Professional</t>
  </si>
  <si>
    <t>6755 · International Relations</t>
  </si>
  <si>
    <t>Total 76 · TRAVEL - SERVICE COMMITTEES</t>
  </si>
  <si>
    <t>77 · TRAVEL - OTHER</t>
  </si>
  <si>
    <t>6710 · Agency Liaison</t>
  </si>
  <si>
    <t>6720 · Allied Organizations</t>
  </si>
  <si>
    <t>6730 · Appraisal Foundation</t>
  </si>
  <si>
    <t>Total 77 · TRAVEL - OTHER</t>
  </si>
  <si>
    <t>78 · TRAVEL- IEC/IGC</t>
  </si>
  <si>
    <t>6805 · IEC Meeting</t>
  </si>
  <si>
    <t>6810 · IGC Meeting</t>
  </si>
  <si>
    <t>6815 · IEC Regional Meetings</t>
  </si>
  <si>
    <t>6817 · IEC Chapter Visits</t>
  </si>
  <si>
    <t>6820 · IEC Committee Liaison</t>
  </si>
  <si>
    <t>6825 · IEC/IGC Annual Conference</t>
  </si>
  <si>
    <t>6830 · IEC Other Expenses</t>
  </si>
  <si>
    <t>6835 · IEC/IGC International Travel</t>
  </si>
  <si>
    <t>Total 78 · TRAVEL- IEC/IGC</t>
  </si>
  <si>
    <t>79 · TRAVEL - STAFF</t>
  </si>
  <si>
    <t>6855 · IEC Meeting</t>
  </si>
  <si>
    <t>6860 · IGC Meeting</t>
  </si>
  <si>
    <t>6865 · Regional Meetings</t>
  </si>
  <si>
    <t>6870 · Committee Liaison</t>
  </si>
  <si>
    <t>6875 · Chapter Visits</t>
  </si>
  <si>
    <t>6880 · Other Expenses</t>
  </si>
  <si>
    <t>6885 · Staff International Travel</t>
  </si>
  <si>
    <t>Total 79 · TRAVEL - STAFF</t>
  </si>
  <si>
    <t>Total 73 · LEADERSHIP TRAVEL / INCIDENTALS</t>
  </si>
  <si>
    <t>80 · ADMINISTRATIVE EXPENSES</t>
  </si>
  <si>
    <t>7005 · Public Relations</t>
  </si>
  <si>
    <t>7010 · Assets Costing Less Than $250</t>
  </si>
  <si>
    <t>7020 · Awards &amp; Recognition</t>
  </si>
  <si>
    <t>7050 · Bad Debt Expense</t>
  </si>
  <si>
    <t>7100 · Bank Charges &amp; Credit Card Fees</t>
  </si>
  <si>
    <t>7130 · Car Expenses</t>
  </si>
  <si>
    <t>7155 · Computer Consulting Fees</t>
  </si>
  <si>
    <t>7160 · Constant Contact Email</t>
  </si>
  <si>
    <t>7200 · Depreciation &amp; Amortization</t>
  </si>
  <si>
    <t>7220 · Dues &amp; Subscriptions</t>
  </si>
  <si>
    <t>7250 · Dues-Appraisal Foundation</t>
  </si>
  <si>
    <t>7310 · Insurance-D&amp;O</t>
  </si>
  <si>
    <t>7320 · Insurance-D&amp;O-Chapters</t>
  </si>
  <si>
    <t>7340 · Insurance-General Liability</t>
  </si>
  <si>
    <t>7350 · Inventory Obsolescence</t>
  </si>
  <si>
    <t>7375 · Leadership Development</t>
  </si>
  <si>
    <t>7390 · Mail Equipment Maintenance</t>
  </si>
  <si>
    <t>7440 · Magazine-Printing</t>
  </si>
  <si>
    <t>7450 · Magazine-Postage</t>
  </si>
  <si>
    <t>7460 · Magazine-Art Work/Photography</t>
  </si>
  <si>
    <t>7470 · Magazine-Other</t>
  </si>
  <si>
    <t>7480 · Maintenance-AMS</t>
  </si>
  <si>
    <t>7485 · Maintenance-Computer&amp;Peripheral</t>
  </si>
  <si>
    <t>7505 · Marketing &amp; Development</t>
  </si>
  <si>
    <t>7505E · M'kting &amp; Dev. - Editorial</t>
  </si>
  <si>
    <t>7505F · M'ting &amp; Dev. - F/Op Trade Show</t>
  </si>
  <si>
    <t>7505M · M'ting &amp; Dev. - F/Op Membership</t>
  </si>
  <si>
    <t>Total 7505 · Marketing &amp; Development</t>
  </si>
  <si>
    <t>7530 · Membership Certificate &amp; Pin</t>
  </si>
  <si>
    <t>7540 · Membership-Higher Logic</t>
  </si>
  <si>
    <t>7550 · Membership Renewal Mailings</t>
  </si>
  <si>
    <t>7600 · Miscellaneous Expenses</t>
  </si>
  <si>
    <t>7620 · Moving Expense</t>
  </si>
  <si>
    <t>7650 · Postage &amp; Shipping</t>
  </si>
  <si>
    <t>7660 · Printing</t>
  </si>
  <si>
    <t>7670 · Professional-Audit</t>
  </si>
  <si>
    <t>7680 · Professional-Cdn Account.</t>
  </si>
  <si>
    <t>7700 · Professional-Legal</t>
  </si>
  <si>
    <t>7720 · Professional-Consulting</t>
  </si>
  <si>
    <t>7740 · QB Online for Chapters/Regions</t>
  </si>
  <si>
    <t>7741 · QBs Enterprise for HQ</t>
  </si>
  <si>
    <t>7800 · Rent-Offsite Storage</t>
  </si>
  <si>
    <t>7820 · Staff Recruitment</t>
  </si>
  <si>
    <t>7840 · Supplies-Kitchen</t>
  </si>
  <si>
    <t>7850 · Supplies-Office</t>
  </si>
  <si>
    <t>7870 · Taxes &amp; Licenses</t>
  </si>
  <si>
    <t>7875 · Teleconferencing</t>
  </si>
  <si>
    <t>7890 · Telephone</t>
  </si>
  <si>
    <t>7910 · Temporary Help</t>
  </si>
  <si>
    <t>7930 · Training &amp; Development - Staff</t>
  </si>
  <si>
    <t>7950 · Uncategorized Expenses</t>
  </si>
  <si>
    <t>7970 · Vacation Expense</t>
  </si>
  <si>
    <t>7990 · Website - Database</t>
  </si>
  <si>
    <t>7992 · Website - American Eagle</t>
  </si>
  <si>
    <t>7994 · Website - Database - KSP</t>
  </si>
  <si>
    <t>7996 · Website - Database - NetFORUM</t>
  </si>
  <si>
    <t>Total 7990 · Website - Database</t>
  </si>
  <si>
    <t>Total 80 · ADMINISTRATIVE EXPENSES</t>
  </si>
  <si>
    <t>88 · INCOME TAXES</t>
  </si>
  <si>
    <t>8800 · Federal and State Income Taxes</t>
  </si>
  <si>
    <t>Total 88 · INCOME TAXES</t>
  </si>
  <si>
    <t>Total Expense</t>
  </si>
  <si>
    <t>Net Ordinary Income</t>
  </si>
  <si>
    <t>Other Income/Expense</t>
  </si>
  <si>
    <t>Other Income</t>
  </si>
  <si>
    <t>4095 · Instructor Income-Pass Through</t>
  </si>
  <si>
    <t>48 · PIPELINE COMMITTEE REVENUE</t>
  </si>
  <si>
    <t>4752 · BLM Symposium/School</t>
  </si>
  <si>
    <t>4755 · Interest Income</t>
  </si>
  <si>
    <t>4760 · IRWA Support (BLM)</t>
  </si>
  <si>
    <t>4762 · Member Dues</t>
  </si>
  <si>
    <t>4765 · Sponsorship</t>
  </si>
  <si>
    <t>Total 48 · PIPELINE COMMITTEE REVENUE</t>
  </si>
  <si>
    <t>95 · OTHER INCOME &amp; EXPENSE</t>
  </si>
  <si>
    <t>8500 · Gain ( Loss) on Conversion</t>
  </si>
  <si>
    <t>8600 · Gain (Loss) on Disposal of F/A</t>
  </si>
  <si>
    <t>8700 · Unrealized Invest. Gain (Loss)</t>
  </si>
  <si>
    <t>Total 95 · OTHER INCOME &amp; EXPENSE</t>
  </si>
  <si>
    <t>Total Other Income</t>
  </si>
  <si>
    <t>Other Expense</t>
  </si>
  <si>
    <t>72 · PIPELINE COMMITTEE EXPENSES</t>
  </si>
  <si>
    <t>6408 · Bank Fee</t>
  </si>
  <si>
    <t>6415 · BLM Pipeline Systems Course</t>
  </si>
  <si>
    <t>6420 · Contribution Expenses</t>
  </si>
  <si>
    <t>6470 · Quarterly Meeting Expenses</t>
  </si>
  <si>
    <t>Total 72 · PIPELINE COMMITTEE EXPENSES</t>
  </si>
  <si>
    <t>8400 · Instructor Exp.-Pass Through</t>
  </si>
  <si>
    <t>Total Other Expense</t>
  </si>
  <si>
    <t>Net Other Income</t>
  </si>
  <si>
    <t>Net Income</t>
  </si>
  <si>
    <t>3 Year Average</t>
  </si>
  <si>
    <t>2025 - 26</t>
  </si>
  <si>
    <t>4640i · 640i-Water Basics</t>
  </si>
  <si>
    <t>4840C · 840C Canadian Expropriation Bas</t>
  </si>
  <si>
    <t>5904 · 904 . GIS Principles &amp; Use</t>
  </si>
  <si>
    <t>2026 - 27</t>
  </si>
  <si>
    <t>1st Draft</t>
  </si>
  <si>
    <t>Note: Information on this schedule is based on available rates at the time of the budget and it may vary based on location and timing.</t>
  </si>
  <si>
    <t>Meals Not Covered by IRWA</t>
  </si>
  <si>
    <t>Conf.</t>
  </si>
  <si>
    <t>Other</t>
  </si>
  <si>
    <t>Account</t>
  </si>
  <si>
    <t>Airline</t>
  </si>
  <si>
    <t xml:space="preserve">Lodging </t>
  </si>
  <si>
    <t>Mileage</t>
  </si>
  <si>
    <t>Rental Car</t>
  </si>
  <si>
    <t>Taxi</t>
  </si>
  <si>
    <t>Breakfast</t>
  </si>
  <si>
    <t>Lunch</t>
  </si>
  <si>
    <t>Dinner</t>
  </si>
  <si>
    <t>Registration</t>
  </si>
  <si>
    <t>Companion</t>
  </si>
  <si>
    <t>Misc.</t>
  </si>
  <si>
    <t>IGC/IEC</t>
  </si>
  <si>
    <t>Conference</t>
  </si>
  <si>
    <t>6501 · Region 1 - Chair - Conference</t>
  </si>
  <si>
    <t>Fri</t>
  </si>
  <si>
    <t>Covered by the event</t>
  </si>
  <si>
    <t>6501 · Region X - Incoming Tres/Sec - Conference</t>
  </si>
  <si>
    <t>Sat</t>
  </si>
  <si>
    <t>Paid by the traveler</t>
  </si>
  <si>
    <t>Sun</t>
  </si>
  <si>
    <t>Mon</t>
  </si>
  <si>
    <t>Tue</t>
  </si>
  <si>
    <t>Wed</t>
  </si>
  <si>
    <t>6502 · Region 2 - Chair - Conference</t>
  </si>
  <si>
    <t>Thu</t>
  </si>
  <si>
    <t>6503 · Region 3 - Chair - Conference</t>
  </si>
  <si>
    <t>6504 · Region 4 - Chair - Conference</t>
  </si>
  <si>
    <t>6505 · Region 5 - Chair - Conference</t>
  </si>
  <si>
    <t>6506 · Region 6 - Chair - Conference</t>
  </si>
  <si>
    <t>5 Incoming</t>
  </si>
  <si>
    <t>6507 · Region 7 - Chair - Conference</t>
  </si>
  <si>
    <t>IGC</t>
  </si>
  <si>
    <t>6508 · Region 8 - Chair - Conference</t>
  </si>
  <si>
    <t>ED - HQ</t>
  </si>
  <si>
    <t>6509 · Region 9 - Chair - Conference</t>
  </si>
  <si>
    <t>Region Meeting</t>
  </si>
  <si>
    <t>6510 · Region 10 - Chair - Conference</t>
  </si>
  <si>
    <t>Industry Committee</t>
  </si>
  <si>
    <t>6825 · Region 1 - Vice Chair - Conference</t>
  </si>
  <si>
    <t>Service Committee - Staff</t>
  </si>
  <si>
    <t>6825 · Region 10 - Vice Chair - Conference</t>
  </si>
  <si>
    <t>6825 · Region 2 - Vice Chair - Conference</t>
  </si>
  <si>
    <t>Finance Committee</t>
  </si>
  <si>
    <t>6825 · Region 3 - Vice Chair - Conference</t>
  </si>
  <si>
    <t>Young Professionals</t>
  </si>
  <si>
    <t>6825 · Region 4 - Vice Chair - Conference</t>
  </si>
  <si>
    <t>International Relations</t>
  </si>
  <si>
    <t>6825 · Region 5 - Vice Chair - Conference</t>
  </si>
  <si>
    <t>INEC - Conference</t>
  </si>
  <si>
    <t>6825 · Region 6 - Vice Chair - Conference</t>
  </si>
  <si>
    <t>6825 · Region 7 - Vice Chair - Conference</t>
  </si>
  <si>
    <t>6825 · Region 8 - Vice Chair - Conference</t>
  </si>
  <si>
    <t>6825 · Region 9 - Vice Chair - Conference</t>
  </si>
  <si>
    <t>6810 · Region 1 - Chair - IGC - February</t>
  </si>
  <si>
    <t xml:space="preserve">6810 · Region 1 - Chair - IGC - September </t>
  </si>
  <si>
    <t>6810 · Region 1 - Vice Chair - IGC - February</t>
  </si>
  <si>
    <t xml:space="preserve">6810 · Region 1 - Vice Chair - IGC - September </t>
  </si>
  <si>
    <t>6810 · Region 2 - Chair - IGC - February</t>
  </si>
  <si>
    <t xml:space="preserve">6810 · Region 2 - Chair - IGC - September </t>
  </si>
  <si>
    <t>6810 · Region 2 - Vice Chair - IGC - February</t>
  </si>
  <si>
    <t xml:space="preserve">6810 · Region 2 - Vice Chair - IGC - September </t>
  </si>
  <si>
    <t>6810 · Region 3 - Chair - IGC - February</t>
  </si>
  <si>
    <t xml:space="preserve">6810 · Region 3 - Chair - IGC - September </t>
  </si>
  <si>
    <t>6810 · Region 3 - Vice Chair - IGC - February</t>
  </si>
  <si>
    <t xml:space="preserve">6810 · Region 3 - Vice Chair - IGC - September </t>
  </si>
  <si>
    <t>6810 · Region 4 - Chair - IGC - February</t>
  </si>
  <si>
    <t xml:space="preserve">6810 · Region 4 - Chair - IGC - September </t>
  </si>
  <si>
    <t>6810 · Region 4 - Vice Chair - IGC - February</t>
  </si>
  <si>
    <t xml:space="preserve">6810 · Region 4 - Vice Chair - IGC - September </t>
  </si>
  <si>
    <t>6810 · Region 5 - Chair - IGC - February</t>
  </si>
  <si>
    <t xml:space="preserve">6810 · Region 5 - Chair - IGC - September </t>
  </si>
  <si>
    <t>6810 · Region 5 - Vice Chair - IGC - February</t>
  </si>
  <si>
    <t xml:space="preserve">6810 · Region 5 - Vice Chair - IGC - September </t>
  </si>
  <si>
    <t>6810 · Region 6 - Chair - IGC - February</t>
  </si>
  <si>
    <t xml:space="preserve">6810 · Region 6 - Chair - IGC - September </t>
  </si>
  <si>
    <t>6810 · Region 6 - Vice Chair - IGC - February</t>
  </si>
  <si>
    <t xml:space="preserve">6810 · Region 6 - Vice Chair - IGC - September </t>
  </si>
  <si>
    <t>6810 · Region 7 - Chair - IGC - February</t>
  </si>
  <si>
    <t xml:space="preserve">6810 · Region 7 - Chair - IGC - September </t>
  </si>
  <si>
    <t>6810 · Region 7 - Vice Chair - IGC - February</t>
  </si>
  <si>
    <t xml:space="preserve">6810 · Region 7 - Vice Chair - IGC - September </t>
  </si>
  <si>
    <t>6810 · Region 8 - Chair - IGC - February</t>
  </si>
  <si>
    <t xml:space="preserve">6810 · Region 8 - Chair - IGC - September </t>
  </si>
  <si>
    <t>6810 · Region 8 - Vice Chair - IGC - February</t>
  </si>
  <si>
    <t xml:space="preserve">6810 · Region 8 - Vice Chair - IGC - September </t>
  </si>
  <si>
    <t>6810 · Region 9 - Chair - IGC - February</t>
  </si>
  <si>
    <t xml:space="preserve">6810 · Region 9 - Chair - IGC - September </t>
  </si>
  <si>
    <t>6810 · Region 9 - Vice Chair - IGC - February</t>
  </si>
  <si>
    <t xml:space="preserve">6810 · Region 9 - Vice Chair - IGC - September </t>
  </si>
  <si>
    <t>6810 · Region 10 - Chair - IGC - February</t>
  </si>
  <si>
    <t xml:space="preserve">6810 · Region 10 - Chair - IGC - September </t>
  </si>
  <si>
    <t>6810 · Region 10 - Vice Chair - IGC - February</t>
  </si>
  <si>
    <t xml:space="preserve">6810 · Region 10 - Vice Chair - IGC - September </t>
  </si>
  <si>
    <t>Fall Forum</t>
  </si>
  <si>
    <t>6501 · Region 1 - Chair - Fall Forum</t>
  </si>
  <si>
    <t>Spring Forum</t>
  </si>
  <si>
    <t>6501 · Region 1 - Chair - Spring Forum</t>
  </si>
  <si>
    <t>6501 · Region 1 - Tres/Sec - Fall Forum</t>
  </si>
  <si>
    <t>6501 · Region 1 - Tres/Sec - Spring Forum</t>
  </si>
  <si>
    <t>6501 · Region 1 - Vice Chair - Fall Forum</t>
  </si>
  <si>
    <t>6501 · Region 1 - Vice Chair - Spring Forum</t>
  </si>
  <si>
    <t>6502 · Region 2 - Chair - Fall Forum</t>
  </si>
  <si>
    <t>6502 · Region 2 - Chair - Spring Forum</t>
  </si>
  <si>
    <t>6502 · Region 2 - Tres/Sec - Fall Forum</t>
  </si>
  <si>
    <t>6502 · Region 2 - Tres/Sec - Spring Forum</t>
  </si>
  <si>
    <t>6502 · Region 2 - Vice Chair - Fall Forum</t>
  </si>
  <si>
    <t>6502 · Region 2 - Vice Chair - Spring Forum</t>
  </si>
  <si>
    <t>6503 · Region 3 - Chair - Fall Forum</t>
  </si>
  <si>
    <t>6503 · Region 3 - Chair - Spring Forum</t>
  </si>
  <si>
    <t>6503 · Region 3 - Tres/Sec - Fall Forum</t>
  </si>
  <si>
    <t>6503 · Region 3 - Tres/Sec - Spring Forum</t>
  </si>
  <si>
    <t>6503 · Region 3 - Vice Chair - Fall Forum</t>
  </si>
  <si>
    <t>6503 · Region 3 - Vice Chair - Spring Forum</t>
  </si>
  <si>
    <t>6504 · Region 4 - Chair - Fall Forum</t>
  </si>
  <si>
    <t>6504 · Region 4 - Chair - Spring Forum</t>
  </si>
  <si>
    <t>6504 · Region 4 - Tres/Sec - Fall Forum</t>
  </si>
  <si>
    <t>6504 · Region 4 - Tres/Sec - Spring Forum</t>
  </si>
  <si>
    <t>6504 · Region 4 - Vice Chair - Fall Forum</t>
  </si>
  <si>
    <t>6504 · Region 4 - Vice Chair - Spring Forum</t>
  </si>
  <si>
    <t>6505 · Region 5 - Chair - Fall Forum</t>
  </si>
  <si>
    <t>6505 · Region 5 - Chair - Spring Forum</t>
  </si>
  <si>
    <t>6505 · Region 5 - Tres/Sec - Fall Forum</t>
  </si>
  <si>
    <t>6505 · Region 5 - Tres/Sec - Spring Forum</t>
  </si>
  <si>
    <t>6505 · Region 5 - Vice Chair - Fall Forum</t>
  </si>
  <si>
    <t>6505 · Region 5 - Vice Chair - Spring Forum</t>
  </si>
  <si>
    <t>6506 · Region 6 - Chair - Fall Forum</t>
  </si>
  <si>
    <t>6506 · Region 6 - Chair - Spring Forum</t>
  </si>
  <si>
    <t>6506 · Region 6 - Tres/Sec - Fall Forum</t>
  </si>
  <si>
    <t>6506 · Region 6 - Tres/Sec - Spring Forum</t>
  </si>
  <si>
    <t>6506 · Region 6 - Vice Chair - Fall Forum</t>
  </si>
  <si>
    <t>6506 · Region 6 - Vice Chair - Spring Forum</t>
  </si>
  <si>
    <t>6507 · Region 7 - Chair - Fall Forum</t>
  </si>
  <si>
    <t>6507 · Region 7 - Chair - Spring Forum</t>
  </si>
  <si>
    <t>6507 · Region 7 - Tres/Sec - Fall Forum</t>
  </si>
  <si>
    <t>6507 · Region 7 - Tres/Sec - Spring Forum</t>
  </si>
  <si>
    <t>6507 · Region 7 - Vice Chair - Fall Forum</t>
  </si>
  <si>
    <t>6507 · Region 7 - Vice Chair - Spring Forum</t>
  </si>
  <si>
    <t>6508 · Region 8 - Chair - Fall Forum</t>
  </si>
  <si>
    <t>6508 · Region 8 - Chair - Spring Forum</t>
  </si>
  <si>
    <t>6508 · Region 8 - Tres/Sec - Fall Forum</t>
  </si>
  <si>
    <t>6508 · Region 8 - Tres/Sec - Spring Forum</t>
  </si>
  <si>
    <t>6508 · Region 8 - Vice Chair - Fall Forum</t>
  </si>
  <si>
    <t>6508 · Region 8 - Vice Chair - Spring Forum</t>
  </si>
  <si>
    <t>6509 · Region 9 - Chair - Fall Forum</t>
  </si>
  <si>
    <t>6509 · Region 9 - Chair - Spring Forum</t>
  </si>
  <si>
    <t>6509 · Region 9 - Tres/Sec - Fall Forum</t>
  </si>
  <si>
    <t>6509 · Region 9 - Tres/Sec - Spring Forum</t>
  </si>
  <si>
    <t>6509 · Region 9 - Vice Chair - Fall Forum</t>
  </si>
  <si>
    <t>6509 · Region 9 - Vice Chair - Spring Forum</t>
  </si>
  <si>
    <t>6510 · Region 10 - Chair - Fall Forum</t>
  </si>
  <si>
    <t>6510 · Region 10 - Chair - Spring Forum</t>
  </si>
  <si>
    <t>6510 · Region 10 - Tres/Sec - Fall Forum</t>
  </si>
  <si>
    <t>6510 · Region 10 - Tres/Sec - Spring Forum</t>
  </si>
  <si>
    <t>6510 · Region 10 - Vice Chair - Fall Forum</t>
  </si>
  <si>
    <t>Industry</t>
  </si>
  <si>
    <t>6510 · Region 10 - Vice Chair - Spring Forum</t>
  </si>
  <si>
    <t>6673 · Special Committee Projects</t>
  </si>
  <si>
    <t>6605 · Asset Management Committee - Conference</t>
  </si>
  <si>
    <t>6615 · Environmental Committee - Conference</t>
  </si>
  <si>
    <t>6630 · Leadership Development Council - Conference</t>
  </si>
  <si>
    <t>6640 · Public Agency Committee - Conference</t>
  </si>
  <si>
    <t>6645 · Oil &amp; Gas Pipeline Committee - Conference</t>
  </si>
  <si>
    <t>6643 · Real Estate Law - Conference</t>
  </si>
  <si>
    <t>6650 · Relocation Assistance - Conference</t>
  </si>
  <si>
    <t>6655 · Surveying &amp; Engineer Committee - Conference</t>
  </si>
  <si>
    <t>6660 · Transportation Committee - Conference</t>
  </si>
  <si>
    <t>6665 · Electric &amp; Utilities Committee - Conference</t>
  </si>
  <si>
    <t>6670 · Valuation Committee - Conference</t>
  </si>
  <si>
    <t>Additional Pool of Funds - Conference</t>
  </si>
  <si>
    <t>6755 . International Relations- Conference</t>
  </si>
  <si>
    <t>6675 · Ethics Committee- Conference</t>
  </si>
  <si>
    <t>Service</t>
  </si>
  <si>
    <t>6680 · Marketing &amp; Membership Committ- Conference</t>
  </si>
  <si>
    <t xml:space="preserve">6683 · Finance Committee </t>
  </si>
  <si>
    <t>INEC - Region</t>
  </si>
  <si>
    <t>6685 · Nomination &amp; Election Committee - Region Meeting</t>
  </si>
  <si>
    <t>INEC</t>
  </si>
  <si>
    <t>6685 · Nomination &amp; Election Committee- Conference</t>
  </si>
  <si>
    <t>IPEC C/VCs</t>
  </si>
  <si>
    <t>IPEC Other</t>
  </si>
  <si>
    <t>6690 · IPEC - Conference - Chair</t>
  </si>
  <si>
    <t>6690 · IPEC - Conference - VC</t>
  </si>
  <si>
    <t>6690 · IPEC - Conference</t>
  </si>
  <si>
    <t>IPEC Other Meeting</t>
  </si>
  <si>
    <t>6695 · Young Professional- Conference</t>
  </si>
  <si>
    <t>6720 · Allied Organizations - ROWCC</t>
  </si>
  <si>
    <t>6727 · Governance Task Force</t>
  </si>
  <si>
    <t>6728 · Leadership Dev. Task Force</t>
  </si>
  <si>
    <t>6745 · Chapter 50th Anniversary Travel</t>
  </si>
  <si>
    <t>6750 · Committee Chair/Vice Meeting</t>
  </si>
  <si>
    <t>6755 · International Chapters</t>
  </si>
  <si>
    <t>IEC</t>
  </si>
  <si>
    <t>6805 · IEC Meeting - President</t>
  </si>
  <si>
    <t>6805 · IEC Meeting - President Elect</t>
  </si>
  <si>
    <t>6805 · IEC Meeting - Vice President</t>
  </si>
  <si>
    <t>6805 · IEC Meeting - Treasurer</t>
  </si>
  <si>
    <t>6805 · IEC Meeting - Secretary</t>
  </si>
  <si>
    <t>6805 · IEC Meeting - General Counsel</t>
  </si>
  <si>
    <t>6865 · IEC Meeting - Advisory Concil Liason</t>
  </si>
  <si>
    <t>6810 · IGC September Meeting - President</t>
  </si>
  <si>
    <t>6810 · IGC September Meeting - President Elect</t>
  </si>
  <si>
    <t>6810 · IGC September Meeting - Vice President</t>
  </si>
  <si>
    <t>6810 · IGC September Meeting - Treasurer</t>
  </si>
  <si>
    <t>6810 · IGC September Meeting - Secretary</t>
  </si>
  <si>
    <t>6810 · IGC September Meeting - General Counsel</t>
  </si>
  <si>
    <t>6810 · IGC September Meeting - Advisory Concil Liason</t>
  </si>
  <si>
    <t>6810 · IGC February Meeting - President</t>
  </si>
  <si>
    <t>6810 · IGC February Meeting - President Elect</t>
  </si>
  <si>
    <t>6810 · IGC February Meeting - Vice President</t>
  </si>
  <si>
    <t>6810 · IGC February Meeting - Treasurer</t>
  </si>
  <si>
    <t>6810 · IGC February Meeting - Secretary</t>
  </si>
  <si>
    <t>6810 · IGC February Meeting - General Counsel</t>
  </si>
  <si>
    <t>6810 · IGC February Meeting  - Advisory Concil Liason</t>
  </si>
  <si>
    <t>6825 · President - Conference</t>
  </si>
  <si>
    <t>6825 · President Elect - Conference</t>
  </si>
  <si>
    <t>6825 · Vice President - Conference</t>
  </si>
  <si>
    <t>6825 · Treasurer - Conference</t>
  </si>
  <si>
    <t>6825 · Secretary - Conference</t>
  </si>
  <si>
    <t>6825 · General Counsel - Conference</t>
  </si>
  <si>
    <t>6825 · Advisory Concil Liason- Conference</t>
  </si>
  <si>
    <t>6815 · Regional Meetings - President</t>
  </si>
  <si>
    <t>6815 · Regional Meetings - President Elect</t>
  </si>
  <si>
    <t>6815 · Regional Meetings - Vice President</t>
  </si>
  <si>
    <t>6815 · Regional Meetings - Treasurer</t>
  </si>
  <si>
    <t>6815 · Regional Meetings - Secretary</t>
  </si>
  <si>
    <t>Chapter Meeting</t>
  </si>
  <si>
    <t>6855 · IEC Meeting - Executive Director</t>
  </si>
  <si>
    <t>6855 · IEC Meeting - Deputy Executive Director</t>
  </si>
  <si>
    <t>6855 · IEC Meeting - CFO</t>
  </si>
  <si>
    <t>6855 · IEC Meeting - Manager</t>
  </si>
  <si>
    <t>6855 · IEC Meeting - Membership</t>
  </si>
  <si>
    <t>6860 · IGC September Meeting - Executive Director</t>
  </si>
  <si>
    <t>6860 · IGC September Meeting - Deputy Executive Director</t>
  </si>
  <si>
    <t>6860 · IGC September Meeting - CFO</t>
  </si>
  <si>
    <t>6860 · IGC September Meeting - Manager</t>
  </si>
  <si>
    <t>6860 · IGC September Meeting - Membership</t>
  </si>
  <si>
    <t>6860 · IGC February Meeting - Executive Director</t>
  </si>
  <si>
    <t>6860 · IGC February Meeting - Deputy Executive Director</t>
  </si>
  <si>
    <t>6860 · IGC February Meeting - CFO</t>
  </si>
  <si>
    <t>6860 · IGC February Meeting - Manager</t>
  </si>
  <si>
    <t>6860 · IGC February Meeting - Membership</t>
  </si>
  <si>
    <t>Regional Meeting</t>
  </si>
  <si>
    <t>6865 · Regional Meetings - Executive Director or Staff</t>
  </si>
  <si>
    <t>Committee Liaison</t>
  </si>
  <si>
    <t>6870 · Committee Liaison - IPEC</t>
  </si>
  <si>
    <t>6870 · Committee Liaison - M&amp;M</t>
  </si>
  <si>
    <t>6870 · Committee Liaison - Finance Committee - CFO</t>
  </si>
  <si>
    <t>6875 · Chapter Meetings - CFO</t>
  </si>
  <si>
    <t>6875 · Chapter Meetings - Membership Staff</t>
  </si>
  <si>
    <t>HQ Visit</t>
  </si>
  <si>
    <t>6880 · Other Expenses - ED</t>
  </si>
  <si>
    <t>Total</t>
  </si>
  <si>
    <t>Budget - Account 73</t>
  </si>
  <si>
    <t>Variance</t>
  </si>
  <si>
    <t>Moved Credentialing Concierge to Higher Logic</t>
  </si>
  <si>
    <t>3.68% of total income</t>
  </si>
  <si>
    <t>President's Wishlist</t>
  </si>
  <si>
    <t>Based on 23.72% of course Income</t>
  </si>
  <si>
    <t>Moved to A/C 7996</t>
  </si>
  <si>
    <t>5005E · Scholarship - SRWA</t>
  </si>
  <si>
    <t>Based on 88 new members per month X 12 X $25.00</t>
  </si>
  <si>
    <t>Based on 88 new members per month at quarterly prorated rates.</t>
  </si>
  <si>
    <t xml:space="preserve"> </t>
  </si>
  <si>
    <t>6 members to attend 2027 conference @ $1,500 each.</t>
  </si>
  <si>
    <t>Based on 952 Attendees</t>
  </si>
  <si>
    <t>Based on 30 exhibitors</t>
  </si>
  <si>
    <t>Based on 13 sponsorship</t>
  </si>
  <si>
    <t>Ethics</t>
  </si>
  <si>
    <t>2025 - 26 Budget</t>
  </si>
  <si>
    <t>2026 - 27 Budget</t>
  </si>
  <si>
    <t>Survering &amp; Engineering</t>
  </si>
  <si>
    <t>Electric &amp; Utility</t>
  </si>
  <si>
    <t>Change</t>
  </si>
  <si>
    <t>Asked for an additional $3,425.00, may need to be added to conference budget.</t>
  </si>
  <si>
    <t>Asked for an additional $5,000.00.</t>
  </si>
  <si>
    <t>Asked for an additional $7,500.00, may need to be added to conference budget.</t>
  </si>
  <si>
    <t>Reduced by $5,000.00 IEUC.</t>
  </si>
  <si>
    <t>Committee</t>
  </si>
  <si>
    <t>Travel</t>
  </si>
  <si>
    <t>Additional Ask</t>
  </si>
  <si>
    <t>Note</t>
  </si>
  <si>
    <t>Increase (Decrease)</t>
  </si>
  <si>
    <t>Valuation Committee</t>
  </si>
  <si>
    <t>No Additional Ask</t>
  </si>
  <si>
    <t>Relocation Committee</t>
  </si>
  <si>
    <t>Environment</t>
  </si>
  <si>
    <t>Asset Management</t>
  </si>
  <si>
    <t>Public Agency</t>
  </si>
  <si>
    <t>Real Estate Law</t>
  </si>
  <si>
    <t>Transportation</t>
  </si>
  <si>
    <t>2026 - 27 Total</t>
  </si>
  <si>
    <t>Inclusive 4 alcohol coverage</t>
  </si>
  <si>
    <t>GEI $50k, SRWA Scholarship $50K, C306O PM 1, 307 PM 2, 308 PM 3, 251 Rail Project and 503 MHR - rewrite ($30K + $30K + $64.25K $20K + $20K).</t>
  </si>
  <si>
    <t>Marketing &amp; Membership</t>
  </si>
  <si>
    <t>Finance</t>
  </si>
  <si>
    <t>Industry vs. Service</t>
  </si>
  <si>
    <t>Did Not Ask</t>
  </si>
  <si>
    <t>IPEC</t>
  </si>
  <si>
    <t>Nomination &amp; Election</t>
  </si>
  <si>
    <t>Conference (Discount for Outside Regions 8 &amp; 10)</t>
  </si>
  <si>
    <t xml:space="preserve">Based on 19 EEs </t>
  </si>
  <si>
    <t xml:space="preserve">Based on 28% of payroll </t>
  </si>
  <si>
    <t xml:space="preserve">Based on 4% of payroll </t>
  </si>
  <si>
    <t>Conference is budgeted to lose this amount.</t>
  </si>
  <si>
    <t>6114 . Cancellation Insurance</t>
  </si>
  <si>
    <t>2nd Draft</t>
  </si>
  <si>
    <t>Based on 15 attendees.</t>
  </si>
  <si>
    <t>3rd Draft</t>
  </si>
  <si>
    <t>Revisit</t>
  </si>
  <si>
    <t>Stop Here</t>
  </si>
  <si>
    <t>Reduce</t>
  </si>
  <si>
    <t>$12.35 per member (100,000 / 8,100)</t>
  </si>
  <si>
    <t>Calgary Conference</t>
  </si>
  <si>
    <t>2024 - 25 Actual</t>
  </si>
  <si>
    <t>TFYTD</t>
  </si>
  <si>
    <t>Check for any increases</t>
  </si>
  <si>
    <t>President's Wishlist - TD, JM, AV &amp; RM</t>
  </si>
  <si>
    <t>7740 · QB/ONS Online for Chapters/Regions</t>
  </si>
  <si>
    <t>Increase to $27,067.00</t>
  </si>
  <si>
    <t>Increase to $33,936.00</t>
  </si>
  <si>
    <t>4th Draft</t>
  </si>
  <si>
    <t>Education</t>
  </si>
  <si>
    <t>Classroom Courses</t>
  </si>
  <si>
    <t>1 rewrite</t>
  </si>
  <si>
    <t>Online Courses</t>
  </si>
  <si>
    <t>Contributions</t>
  </si>
  <si>
    <t>RWIEF</t>
  </si>
  <si>
    <t>CRWEF</t>
  </si>
  <si>
    <t>1 scholarship</t>
  </si>
  <si>
    <t>2 scholarships</t>
  </si>
  <si>
    <t>Relying very heavily on the foundation</t>
  </si>
  <si>
    <t>Advertising</t>
  </si>
  <si>
    <t>Magazine</t>
  </si>
  <si>
    <t>Website - Job Posting</t>
  </si>
  <si>
    <t>Digital Ads</t>
  </si>
  <si>
    <t>Going down faster than anticipated</t>
  </si>
  <si>
    <t>No reason to believe that there is going to be an improvement</t>
  </si>
  <si>
    <t>Member Dues - Agency</t>
  </si>
  <si>
    <t>Member Dues - Corporate</t>
  </si>
  <si>
    <t>Member Dues - Application Fee</t>
  </si>
  <si>
    <t>Member Dues - New</t>
  </si>
  <si>
    <t>Member Dues - Regular Renewal</t>
  </si>
  <si>
    <t>Membership</t>
  </si>
  <si>
    <t>Increase due reduction in regular renewals</t>
  </si>
  <si>
    <t>Directly related to new members count</t>
  </si>
  <si>
    <t>Calgary</t>
  </si>
  <si>
    <t>As of December 26, 2025, I am concerned about the outcome of this conference</t>
  </si>
  <si>
    <t>I am optimistic about the success of the PM courses, not sure about C503</t>
  </si>
  <si>
    <t>No Change</t>
  </si>
  <si>
    <t>Increase to $10K</t>
  </si>
  <si>
    <t>Add income for 3 new online courses</t>
  </si>
  <si>
    <t>Add to RWIEF</t>
  </si>
  <si>
    <t>Add ta amortization for 3 online courses</t>
  </si>
  <si>
    <t>Account 7100 is going to change</t>
  </si>
  <si>
    <t>Potential increase</t>
  </si>
  <si>
    <t>5th Draft</t>
  </si>
  <si>
    <t>GEI $50k, SRWA Scholarship $50K, C306O PM 1, 307 PM 2, 308 PM 3, 251 Rail Project and 503 MHR - rewrite ($30K + $30K + $64.25K $20K + $20K), plus 3 new online courses (215, 501 &amp; 902).</t>
  </si>
  <si>
    <t>Moved KSP Credentialing Concierge to Higher Logic</t>
  </si>
  <si>
    <t>306O</t>
  </si>
  <si>
    <t>Scholarships</t>
  </si>
  <si>
    <t>215O</t>
  </si>
  <si>
    <t>501O</t>
  </si>
  <si>
    <t>902O</t>
  </si>
  <si>
    <t>Conference is budgeted to Make this amount.</t>
  </si>
  <si>
    <t>???</t>
  </si>
  <si>
    <t>Need IGC approval</t>
  </si>
  <si>
    <t>Region Incentive</t>
  </si>
  <si>
    <t xml:space="preserve">New Item </t>
  </si>
  <si>
    <t>Or EU Course</t>
  </si>
  <si>
    <t>6th Draft</t>
  </si>
  <si>
    <t>Seminar development</t>
  </si>
  <si>
    <t>Webinars</t>
  </si>
  <si>
    <t>Education Demand</t>
  </si>
  <si>
    <t>C102 $265 x 5 in person chapter courses x 25 attendees</t>
  </si>
  <si>
    <t>C102 Scholarship</t>
  </si>
  <si>
    <t>Added $6,000 for RWIEF &amp; CRWEF to attend IGCs</t>
  </si>
  <si>
    <t>6720 · Allied Organizations - RWIEF &amp; CRWEF to attend IGCs</t>
  </si>
  <si>
    <t>General Council travel budget for Parliamentarian Conference/training</t>
  </si>
  <si>
    <t>7150 . Chapter Development Assistance</t>
  </si>
  <si>
    <t>Added transportation Project of the Year funding for annual award by committee ranking</t>
  </si>
  <si>
    <t>New courses and equipment and 3 items for president elect.</t>
  </si>
  <si>
    <t>Based on 15 attendees x 2 Sessions.</t>
  </si>
  <si>
    <t xml:space="preserve">350 courses - 15 average attendee </t>
  </si>
  <si>
    <t>Based on 86 new members per month X 12 X $25.00</t>
  </si>
  <si>
    <t>Based on 86 new members per month at quarterly prorated rates.</t>
  </si>
  <si>
    <t>150 attendees</t>
  </si>
  <si>
    <t>Based on 150 attendees @ $225</t>
  </si>
  <si>
    <t>Added $1,850 for Secretary</t>
  </si>
  <si>
    <t>Reduced by $5,000 added to account 6720 and added $1,850 for secretary</t>
  </si>
  <si>
    <t>ROW CC &amp; RWIEF IRWA who's who task force - IRWA 100 Years goal- available tested by YR 99 $7,500.</t>
  </si>
  <si>
    <t>ROWCC, AASHTO RWIEF, Office visit, promote IRWA courses.</t>
  </si>
  <si>
    <t>Software to promote IRWA/SRWA</t>
  </si>
  <si>
    <t>Promotional Speaker for non IRWA event</t>
  </si>
  <si>
    <t>Added $7,000 for member outreach</t>
  </si>
  <si>
    <t>Storage to be closed by June 2027</t>
  </si>
  <si>
    <t>6501 · Region X - not Incoming Tres/Sec - Conference</t>
  </si>
  <si>
    <t>`</t>
  </si>
  <si>
    <t>7505P . M'kting &amp; Dev. - Promotions</t>
  </si>
  <si>
    <t>Based on 20% of course Income</t>
  </si>
  <si>
    <t>Based on 2826 attendees</t>
  </si>
  <si>
    <t>Based on 15 attendees, 3 Sessions.</t>
  </si>
  <si>
    <t>5009 · Other Incentives</t>
  </si>
  <si>
    <t>Increase is due to healthy breaks food options</t>
  </si>
  <si>
    <t>Inclusive 4 alcohol coverages</t>
  </si>
  <si>
    <t>Need an amount to cover document digitalization. (Document Retention)</t>
  </si>
  <si>
    <t>3 new classroom courses</t>
  </si>
  <si>
    <t>4 new courses</t>
  </si>
  <si>
    <t>Amortization Expense</t>
  </si>
  <si>
    <t>Less Scholarships</t>
  </si>
  <si>
    <t>SRWA &amp; GEI</t>
  </si>
  <si>
    <t>Course Development</t>
  </si>
  <si>
    <t>New Item</t>
  </si>
  <si>
    <t>Member Network $53.5K &amp; Concierge $29.2K</t>
  </si>
  <si>
    <t>Ask from the Foundation is for $371,375</t>
  </si>
  <si>
    <t>$100,000 is for 2 existing scholarships (SRWA &amp; GEI)</t>
  </si>
  <si>
    <t>7th Draft</t>
  </si>
  <si>
    <t>219O</t>
  </si>
  <si>
    <t>GEI $50k, SRWA Scholarship $50K, C306O PM 1, 307 PM 2, 308 PM 3, 251 Rail Project and 503 MHR - rewrite ($30K + $30K + $64.25K $20K + $20K), plus 3 new online courses (215, 501 &amp; 902) and 50 for 50 Scholarship.</t>
  </si>
  <si>
    <t>50 for 50 (5 participants per Region at $2,500)</t>
  </si>
  <si>
    <t>8th Draft</t>
  </si>
  <si>
    <t>Reduced by $5,000 added to account 6720.</t>
  </si>
  <si>
    <t>ROWCC, AASHTO RWIEF, Office visit, promote IRWA courses $5,000.</t>
  </si>
  <si>
    <t>Specific usage to be clarified by IEC.</t>
  </si>
  <si>
    <t>General Council travel budget for Parliamentarian Conference/training $5,000.</t>
  </si>
  <si>
    <t>9th Draft</t>
  </si>
  <si>
    <t>To be Added.</t>
  </si>
  <si>
    <t>To be Removed.</t>
  </si>
  <si>
    <t>Primarily due lowered interest rate and less investment.</t>
  </si>
  <si>
    <t>Based on a rebate of $83K from the city of Calgary.</t>
  </si>
  <si>
    <t>To be reduced if we keep income is reduced by $66K.</t>
  </si>
  <si>
    <t>To be Reduced</t>
  </si>
  <si>
    <t>Based on 46 Corporations.</t>
  </si>
  <si>
    <t>Based on 27 Agencies.</t>
  </si>
  <si>
    <t>10th Draft</t>
  </si>
  <si>
    <t>Based on a rebate of $83K from the city of Calgary. Depending on  our room block.</t>
  </si>
  <si>
    <t>238i</t>
  </si>
  <si>
    <t>Scholaships</t>
  </si>
  <si>
    <t>Other Education</t>
  </si>
  <si>
    <t>Course Day</t>
  </si>
  <si>
    <t>Course Number</t>
  </si>
  <si>
    <t>Development Cost</t>
  </si>
  <si>
    <t>226C</t>
  </si>
  <si>
    <t>Already Asked for</t>
  </si>
  <si>
    <t>Based on 5,250 online attendees.</t>
  </si>
  <si>
    <t>Actual</t>
  </si>
  <si>
    <t>Need IGC Approval</t>
  </si>
  <si>
    <t>11th Draft</t>
  </si>
  <si>
    <t>Add $10,000 dues to change in provider.</t>
  </si>
  <si>
    <t xml:space="preserve">5 members to attend 2027 conference @ </t>
  </si>
  <si>
    <t>7505M · M'ting &amp; Dev. - Non IRWA Event Speaker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</si>
</sst>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\-#,##0.00"/>
    <numFmt numFmtId="165" formatCode="_(* #,##0_);_(* \(#,##0\);_(* &quot;-&quot;??_);_(@_)"/>
    <numFmt numFmtId="166" formatCode="#,##0.0000_);[Red]\(#,##0.0000\)"/>
    <numFmt numFmtId="167" formatCode="0.0%"/>
    <numFmt numFmtId="168" formatCode="#,##0.000000000000_);[Red]\(#,##0.000000000000\)"/>
  </numFmts>
  <fonts count="3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0"/>
      <color rgb="FF000000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0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0"/>
      <color theme="0"/>
      <name val="Arial"/>
      <family val="2"/>
    </font>
    <font>
      <b/>
      <sz val="14"/>
      <color theme="0"/>
      <name val="Aptos Narrow"/>
      <family val="2"/>
      <scheme val="minor"/>
    </font>
    <font>
      <b/>
      <sz val="18"/>
      <color theme="0" tint="-4.9989318521683403E-2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AC49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6E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40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3" fontId="7" fillId="0" borderId="0" xfId="1" applyFont="1"/>
    <xf numFmtId="43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4" fontId="7" fillId="0" borderId="0" xfId="2" applyFont="1" applyAlignment="1">
      <alignment vertical="center"/>
    </xf>
    <xf numFmtId="49" fontId="9" fillId="8" borderId="9" xfId="0" applyNumberFormat="1" applyFont="1" applyFill="1" applyBorder="1" applyAlignment="1">
      <alignment horizontal="center" vertical="center" wrapText="1"/>
    </xf>
    <xf numFmtId="43" fontId="9" fillId="8" borderId="9" xfId="1" applyFont="1" applyFill="1" applyBorder="1" applyAlignment="1">
      <alignment horizontal="center" vertical="center" wrapText="1"/>
    </xf>
    <xf numFmtId="0" fontId="7" fillId="8" borderId="0" xfId="0" applyFont="1" applyFill="1"/>
    <xf numFmtId="43" fontId="9" fillId="9" borderId="9" xfId="1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/>
    </xf>
    <xf numFmtId="49" fontId="10" fillId="10" borderId="10" xfId="0" applyNumberFormat="1" applyFont="1" applyFill="1" applyBorder="1"/>
    <xf numFmtId="44" fontId="7" fillId="0" borderId="0" xfId="0" applyNumberFormat="1" applyFont="1"/>
    <xf numFmtId="0" fontId="7" fillId="0" borderId="0" xfId="0" applyFont="1" applyAlignment="1">
      <alignment horizontal="center"/>
    </xf>
    <xf numFmtId="49" fontId="11" fillId="10" borderId="10" xfId="0" applyNumberFormat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0" fillId="0" borderId="10" xfId="0" applyNumberFormat="1" applyFont="1" applyBorder="1"/>
    <xf numFmtId="44" fontId="1" fillId="5" borderId="11" xfId="0" applyNumberFormat="1" applyFont="1" applyFill="1" applyBorder="1"/>
    <xf numFmtId="44" fontId="1" fillId="11" borderId="11" xfId="0" applyNumberFormat="1" applyFont="1" applyFill="1" applyBorder="1"/>
    <xf numFmtId="0" fontId="7" fillId="3" borderId="0" xfId="0" applyFont="1" applyFill="1" applyAlignment="1">
      <alignment horizontal="center" vertical="center"/>
    </xf>
    <xf numFmtId="49" fontId="10" fillId="3" borderId="10" xfId="0" applyNumberFormat="1" applyFont="1" applyFill="1" applyBorder="1"/>
    <xf numFmtId="0" fontId="7" fillId="2" borderId="0" xfId="0" applyFont="1" applyFill="1" applyAlignment="1">
      <alignment horizontal="center" vertical="center"/>
    </xf>
    <xf numFmtId="49" fontId="10" fillId="2" borderId="10" xfId="0" applyNumberFormat="1" applyFont="1" applyFill="1" applyBorder="1"/>
    <xf numFmtId="0" fontId="7" fillId="12" borderId="0" xfId="0" applyFont="1" applyFill="1" applyAlignment="1">
      <alignment horizontal="center" vertical="center"/>
    </xf>
    <xf numFmtId="49" fontId="10" fillId="12" borderId="10" xfId="0" applyNumberFormat="1" applyFont="1" applyFill="1" applyBorder="1"/>
    <xf numFmtId="49" fontId="10" fillId="13" borderId="10" xfId="0" applyNumberFormat="1" applyFont="1" applyFill="1" applyBorder="1"/>
    <xf numFmtId="49" fontId="12" fillId="14" borderId="10" xfId="0" applyNumberFormat="1" applyFont="1" applyFill="1" applyBorder="1"/>
    <xf numFmtId="49" fontId="13" fillId="15" borderId="10" xfId="0" applyNumberFormat="1" applyFont="1" applyFill="1" applyBorder="1"/>
    <xf numFmtId="40" fontId="7" fillId="0" borderId="0" xfId="0" applyNumberFormat="1" applyFont="1"/>
    <xf numFmtId="49" fontId="10" fillId="16" borderId="10" xfId="0" applyNumberFormat="1" applyFont="1" applyFill="1" applyBorder="1"/>
    <xf numFmtId="49" fontId="10" fillId="8" borderId="0" xfId="0" applyNumberFormat="1" applyFont="1" applyFill="1"/>
    <xf numFmtId="44" fontId="1" fillId="11" borderId="12" xfId="0" applyNumberFormat="1" applyFont="1" applyFill="1" applyBorder="1"/>
    <xf numFmtId="49" fontId="14" fillId="0" borderId="7" xfId="0" applyNumberFormat="1" applyFont="1" applyBorder="1" applyAlignment="1">
      <alignment vertical="center"/>
    </xf>
    <xf numFmtId="44" fontId="15" fillId="16" borderId="7" xfId="0" applyNumberFormat="1" applyFont="1" applyFill="1" applyBorder="1"/>
    <xf numFmtId="44" fontId="15" fillId="16" borderId="8" xfId="0" applyNumberFormat="1" applyFont="1" applyFill="1" applyBorder="1"/>
    <xf numFmtId="0" fontId="16" fillId="0" borderId="0" xfId="0" applyFont="1"/>
    <xf numFmtId="165" fontId="7" fillId="0" borderId="0" xfId="1" applyNumberFormat="1" applyFont="1"/>
    <xf numFmtId="43" fontId="15" fillId="16" borderId="11" xfId="1" applyFont="1" applyFill="1" applyBorder="1"/>
    <xf numFmtId="43" fontId="7" fillId="16" borderId="4" xfId="1" applyFont="1" applyFill="1" applyBorder="1"/>
    <xf numFmtId="0" fontId="7" fillId="16" borderId="4" xfId="0" applyFont="1" applyFill="1" applyBorder="1"/>
    <xf numFmtId="0" fontId="19" fillId="6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horizontal="centerContinuous" vertical="center"/>
    </xf>
    <xf numFmtId="49" fontId="2" fillId="0" borderId="0" xfId="0" applyNumberFormat="1" applyFont="1" applyAlignment="1">
      <alignment vertical="center"/>
    </xf>
    <xf numFmtId="49" fontId="0" fillId="3" borderId="0" xfId="0" applyNumberFormat="1" applyFill="1" applyAlignment="1">
      <alignment horizontal="centerContinuous" vertical="center"/>
    </xf>
    <xf numFmtId="49" fontId="0" fillId="2" borderId="0" xfId="0" applyNumberFormat="1" applyFill="1" applyAlignment="1">
      <alignment horizontal="centerContinuous" vertical="center"/>
    </xf>
    <xf numFmtId="49" fontId="0" fillId="4" borderId="0" xfId="0" applyNumberFormat="1" applyFill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/>
    </xf>
    <xf numFmtId="0" fontId="0" fillId="6" borderId="0" xfId="0" applyFill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3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0" fontId="0" fillId="5" borderId="0" xfId="0" applyFill="1" applyAlignment="1">
      <alignment vertical="center"/>
    </xf>
    <xf numFmtId="49" fontId="2" fillId="6" borderId="0" xfId="0" applyNumberFormat="1" applyFont="1" applyFill="1" applyAlignment="1">
      <alignment vertical="center"/>
    </xf>
    <xf numFmtId="164" fontId="4" fillId="5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5" borderId="3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17" fillId="6" borderId="0" xfId="0" applyNumberFormat="1" applyFont="1" applyFill="1" applyAlignment="1">
      <alignment vertical="center"/>
    </xf>
    <xf numFmtId="40" fontId="0" fillId="0" borderId="0" xfId="0" applyNumberFormat="1" applyAlignment="1">
      <alignment vertical="center"/>
    </xf>
    <xf numFmtId="164" fontId="4" fillId="7" borderId="0" xfId="0" applyNumberFormat="1" applyFont="1" applyFill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4" borderId="4" xfId="0" applyNumberFormat="1" applyFont="1" applyFill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5" borderId="4" xfId="0" applyNumberFormat="1" applyFont="1" applyFill="1" applyBorder="1" applyAlignment="1">
      <alignment vertical="center"/>
    </xf>
    <xf numFmtId="164" fontId="17" fillId="6" borderId="4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5" borderId="0" xfId="0" applyFont="1" applyFill="1" applyAlignment="1">
      <alignment vertical="center"/>
    </xf>
    <xf numFmtId="164" fontId="17" fillId="6" borderId="5" xfId="0" applyNumberFormat="1" applyFont="1" applyFill="1" applyBorder="1" applyAlignment="1">
      <alignment vertical="center"/>
    </xf>
    <xf numFmtId="164" fontId="18" fillId="17" borderId="5" xfId="0" applyNumberFormat="1" applyFont="1" applyFill="1" applyBorder="1" applyAlignment="1">
      <alignment vertical="center"/>
    </xf>
    <xf numFmtId="10" fontId="20" fillId="0" borderId="0" xfId="3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4" fontId="2" fillId="4" borderId="6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5" borderId="6" xfId="0" applyNumberFormat="1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0" fillId="0" borderId="0" xfId="0" applyAlignment="1">
      <alignment horizontal="left" vertical="top" wrapText="1"/>
    </xf>
    <xf numFmtId="164" fontId="1" fillId="0" borderId="0" xfId="0" applyNumberFormat="1" applyFont="1" applyAlignment="1">
      <alignment vertical="center"/>
    </xf>
    <xf numFmtId="164" fontId="6" fillId="7" borderId="0" xfId="0" applyNumberFormat="1" applyFont="1" applyFill="1" applyAlignment="1">
      <alignment vertical="center"/>
    </xf>
    <xf numFmtId="0" fontId="21" fillId="0" borderId="0" xfId="0" applyFont="1" applyAlignment="1">
      <alignment vertical="center"/>
    </xf>
    <xf numFmtId="164" fontId="6" fillId="19" borderId="0" xfId="0" applyNumberFormat="1" applyFont="1" applyFill="1" applyAlignment="1">
      <alignment vertical="center"/>
    </xf>
    <xf numFmtId="164" fontId="22" fillId="18" borderId="0" xfId="0" applyNumberFormat="1" applyFont="1" applyFill="1" applyAlignment="1">
      <alignment vertical="center"/>
    </xf>
    <xf numFmtId="49" fontId="10" fillId="5" borderId="10" xfId="0" applyNumberFormat="1" applyFont="1" applyFill="1" applyBorder="1"/>
    <xf numFmtId="164" fontId="18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/>
    </xf>
    <xf numFmtId="43" fontId="0" fillId="0" borderId="0" xfId="0" applyNumberFormat="1" applyAlignment="1">
      <alignment vertical="center"/>
    </xf>
    <xf numFmtId="43" fontId="7" fillId="0" borderId="0" xfId="0" applyNumberFormat="1" applyFont="1"/>
    <xf numFmtId="40" fontId="20" fillId="0" borderId="0" xfId="0" applyNumberFormat="1" applyFont="1" applyAlignment="1">
      <alignment vertical="center"/>
    </xf>
    <xf numFmtId="43" fontId="0" fillId="0" borderId="0" xfId="1" applyFont="1"/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20" fillId="0" borderId="10" xfId="0" applyFont="1" applyBorder="1" applyAlignment="1">
      <alignment vertical="center"/>
    </xf>
    <xf numFmtId="43" fontId="20" fillId="0" borderId="10" xfId="1" applyFont="1" applyBorder="1" applyAlignment="1">
      <alignment vertical="center"/>
    </xf>
    <xf numFmtId="43" fontId="23" fillId="10" borderId="10" xfId="1" applyFont="1" applyFill="1" applyBorder="1" applyAlignment="1">
      <alignment vertical="center"/>
    </xf>
    <xf numFmtId="0" fontId="19" fillId="6" borderId="17" xfId="0" applyFont="1" applyFill="1" applyBorder="1" applyAlignment="1">
      <alignment horizontal="center" vertical="center" wrapText="1"/>
    </xf>
    <xf numFmtId="9" fontId="20" fillId="0" borderId="10" xfId="3" applyFont="1" applyBorder="1" applyAlignment="1">
      <alignment horizontal="center" vertical="center"/>
    </xf>
    <xf numFmtId="0" fontId="20" fillId="10" borderId="10" xfId="0" applyFont="1" applyFill="1" applyBorder="1" applyAlignment="1">
      <alignment vertical="center"/>
    </xf>
    <xf numFmtId="40" fontId="20" fillId="0" borderId="10" xfId="1" applyNumberFormat="1" applyFont="1" applyBorder="1" applyAlignment="1">
      <alignment vertical="center"/>
    </xf>
    <xf numFmtId="43" fontId="20" fillId="5" borderId="10" xfId="1" applyFont="1" applyFill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40" fontId="24" fillId="4" borderId="0" xfId="0" applyNumberFormat="1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164" fontId="6" fillId="20" borderId="0" xfId="0" applyNumberFormat="1" applyFont="1" applyFill="1" applyAlignment="1">
      <alignment vertical="center"/>
    </xf>
    <xf numFmtId="0" fontId="19" fillId="20" borderId="0" xfId="0" applyFont="1" applyFill="1" applyAlignment="1">
      <alignment horizontal="center" vertical="center"/>
    </xf>
    <xf numFmtId="9" fontId="0" fillId="0" borderId="0" xfId="3" applyFont="1" applyAlignment="1">
      <alignment vertical="center"/>
    </xf>
    <xf numFmtId="164" fontId="6" fillId="15" borderId="0" xfId="0" applyNumberFormat="1" applyFont="1" applyFill="1" applyAlignment="1">
      <alignment vertical="center"/>
    </xf>
    <xf numFmtId="0" fontId="19" fillId="15" borderId="0" xfId="0" applyFont="1" applyFill="1" applyAlignment="1">
      <alignment horizontal="center" vertical="center"/>
    </xf>
    <xf numFmtId="164" fontId="17" fillId="15" borderId="0" xfId="0" applyNumberFormat="1" applyFont="1" applyFill="1" applyAlignment="1">
      <alignment vertical="center"/>
    </xf>
    <xf numFmtId="164" fontId="4" fillId="15" borderId="0" xfId="0" applyNumberFormat="1" applyFont="1" applyFill="1" applyAlignment="1">
      <alignment vertical="center"/>
    </xf>
    <xf numFmtId="164" fontId="4" fillId="15" borderId="5" xfId="0" applyNumberFormat="1" applyFont="1" applyFill="1" applyBorder="1" applyAlignment="1">
      <alignment vertical="center"/>
    </xf>
    <xf numFmtId="164" fontId="4" fillId="15" borderId="3" xfId="0" applyNumberFormat="1" applyFont="1" applyFill="1" applyBorder="1" applyAlignment="1">
      <alignment vertical="center"/>
    </xf>
    <xf numFmtId="0" fontId="25" fillId="18" borderId="0" xfId="0" applyFont="1" applyFill="1" applyAlignment="1">
      <alignment horizontal="center" vertical="center"/>
    </xf>
    <xf numFmtId="0" fontId="21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49" fontId="2" fillId="7" borderId="0" xfId="0" applyNumberFormat="1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6" fillId="17" borderId="0" xfId="0" applyFont="1" applyFill="1" applyAlignment="1">
      <alignment horizontal="center"/>
    </xf>
    <xf numFmtId="167" fontId="0" fillId="0" borderId="0" xfId="3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9" fontId="25" fillId="18" borderId="0" xfId="0" applyNumberFormat="1" applyFont="1" applyFill="1" applyAlignment="1">
      <alignment horizontal="center"/>
    </xf>
    <xf numFmtId="164" fontId="27" fillId="18" borderId="0" xfId="0" applyNumberFormat="1" applyFont="1" applyFill="1" applyAlignment="1">
      <alignment vertical="center"/>
    </xf>
    <xf numFmtId="0" fontId="19" fillId="18" borderId="0" xfId="0" applyFont="1" applyFill="1" applyAlignment="1">
      <alignment vertical="center"/>
    </xf>
    <xf numFmtId="0" fontId="28" fillId="18" borderId="0" xfId="0" applyFont="1" applyFill="1" applyAlignment="1">
      <alignment horizontal="center" vertical="center" wrapText="1"/>
    </xf>
    <xf numFmtId="10" fontId="0" fillId="0" borderId="0" xfId="3" applyNumberFormat="1" applyFont="1"/>
    <xf numFmtId="164" fontId="15" fillId="11" borderId="0" xfId="0" applyNumberFormat="1" applyFont="1" applyFill="1" applyAlignment="1">
      <alignment vertical="center"/>
    </xf>
    <xf numFmtId="0" fontId="23" fillId="11" borderId="0" xfId="0" applyFont="1" applyFill="1" applyAlignment="1">
      <alignment horizontal="center" vertical="center"/>
    </xf>
    <xf numFmtId="168" fontId="0" fillId="0" borderId="0" xfId="0" applyNumberFormat="1" applyAlignment="1">
      <alignment vertical="center"/>
    </xf>
    <xf numFmtId="0" fontId="28" fillId="7" borderId="0" xfId="0" applyFont="1" applyFill="1" applyAlignment="1">
      <alignment horizontal="center" vertical="center" wrapText="1"/>
    </xf>
    <xf numFmtId="164" fontId="4" fillId="11" borderId="0" xfId="0" applyNumberFormat="1" applyFont="1" applyFill="1" applyAlignment="1">
      <alignment vertical="center"/>
    </xf>
    <xf numFmtId="0" fontId="29" fillId="7" borderId="0" xfId="0" applyFont="1" applyFill="1" applyAlignment="1">
      <alignment horizontal="center" wrapText="1"/>
    </xf>
    <xf numFmtId="44" fontId="0" fillId="0" borderId="0" xfId="2" applyFont="1" applyAlignment="1">
      <alignment vertical="center"/>
    </xf>
    <xf numFmtId="44" fontId="24" fillId="0" borderId="0" xfId="2" applyFont="1" applyAlignment="1">
      <alignment vertical="center"/>
    </xf>
    <xf numFmtId="164" fontId="6" fillId="21" borderId="0" xfId="0" applyNumberFormat="1" applyFont="1" applyFill="1" applyAlignment="1">
      <alignment vertical="center"/>
    </xf>
    <xf numFmtId="0" fontId="19" fillId="21" borderId="0" xfId="0" applyFont="1" applyFill="1" applyAlignment="1">
      <alignment horizontal="center" vertical="center"/>
    </xf>
    <xf numFmtId="164" fontId="0" fillId="0" borderId="0" xfId="0" applyNumberFormat="1" applyAlignment="1">
      <alignment vertical="center"/>
    </xf>
    <xf numFmtId="0" fontId="30" fillId="7" borderId="0" xfId="0" applyFont="1" applyFill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0" fontId="19" fillId="7" borderId="0" xfId="0" applyFont="1" applyFill="1"/>
    <xf numFmtId="164" fontId="17" fillId="7" borderId="0" xfId="0" applyNumberFormat="1" applyFont="1" applyFill="1" applyAlignment="1">
      <alignment vertical="center"/>
    </xf>
    <xf numFmtId="164" fontId="18" fillId="17" borderId="0" xfId="0" applyNumberFormat="1" applyFont="1" applyFill="1" applyAlignment="1">
      <alignment vertical="center"/>
    </xf>
    <xf numFmtId="0" fontId="19" fillId="19" borderId="0" xfId="0" applyFont="1" applyFill="1" applyAlignment="1">
      <alignment horizontal="center" vertical="center"/>
    </xf>
    <xf numFmtId="44" fontId="24" fillId="5" borderId="0" xfId="2" applyFont="1" applyFill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10" xfId="0" applyBorder="1" applyAlignment="1">
      <alignment vertical="center" wrapText="1"/>
    </xf>
    <xf numFmtId="4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vertical="center" wrapText="1"/>
    </xf>
    <xf numFmtId="9" fontId="0" fillId="0" borderId="0" xfId="3" applyFont="1" applyAlignment="1">
      <alignment vertical="center" wrapText="1"/>
    </xf>
    <xf numFmtId="43" fontId="0" fillId="0" borderId="0" xfId="1" applyFont="1" applyAlignment="1">
      <alignment wrapText="1"/>
    </xf>
    <xf numFmtId="164" fontId="4" fillId="0" borderId="0" xfId="0" applyNumberFormat="1" applyFont="1" applyAlignment="1">
      <alignment vertical="center" wrapText="1"/>
    </xf>
    <xf numFmtId="164" fontId="18" fillId="0" borderId="0" xfId="0" applyNumberFormat="1" applyFont="1" applyAlignment="1">
      <alignment vertical="center" wrapText="1"/>
    </xf>
    <xf numFmtId="43" fontId="0" fillId="0" borderId="0" xfId="1" applyFont="1" applyAlignment="1">
      <alignment vertical="center" wrapText="1"/>
    </xf>
    <xf numFmtId="0" fontId="24" fillId="4" borderId="0" xfId="0" applyFont="1" applyFill="1" applyAlignment="1">
      <alignment horizontal="center" vertical="center" wrapText="1"/>
    </xf>
    <xf numFmtId="40" fontId="24" fillId="4" borderId="0" xfId="0" applyNumberFormat="1" applyFont="1" applyFill="1" applyAlignment="1">
      <alignment horizontal="center" vertical="center" wrapText="1"/>
    </xf>
    <xf numFmtId="167" fontId="0" fillId="0" borderId="0" xfId="3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9" fontId="0" fillId="0" borderId="0" xfId="3" applyFont="1" applyAlignment="1">
      <alignment horizontal="center" vertical="center" wrapText="1"/>
    </xf>
    <xf numFmtId="168" fontId="0" fillId="0" borderId="0" xfId="0" applyNumberFormat="1" applyAlignment="1">
      <alignment vertical="center" wrapText="1"/>
    </xf>
    <xf numFmtId="40" fontId="0" fillId="0" borderId="0" xfId="0" applyNumberFormat="1" applyAlignment="1">
      <alignment wrapText="1"/>
    </xf>
    <xf numFmtId="43" fontId="0" fillId="0" borderId="0" xfId="0" applyNumberFormat="1" applyAlignment="1">
      <alignment vertical="center" wrapText="1"/>
    </xf>
    <xf numFmtId="0" fontId="20" fillId="0" borderId="0" xfId="0" applyFont="1" applyAlignment="1">
      <alignment vertical="center" wrapText="1"/>
    </xf>
    <xf numFmtId="40" fontId="20" fillId="0" borderId="0" xfId="0" applyNumberFormat="1" applyFont="1" applyAlignment="1">
      <alignment vertical="center" wrapText="1"/>
    </xf>
    <xf numFmtId="10" fontId="20" fillId="0" borderId="0" xfId="3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9" fillId="7" borderId="0" xfId="0" applyFont="1" applyFill="1" applyAlignment="1">
      <alignment vertical="center" wrapText="1"/>
    </xf>
    <xf numFmtId="10" fontId="0" fillId="0" borderId="0" xfId="3" applyNumberFormat="1" applyFont="1" applyAlignment="1">
      <alignment vertical="center" wrapText="1"/>
    </xf>
    <xf numFmtId="0" fontId="24" fillId="0" borderId="0" xfId="0" applyFont="1" applyAlignment="1">
      <alignment vertical="center"/>
    </xf>
    <xf numFmtId="43" fontId="24" fillId="0" borderId="0" xfId="1" applyFont="1" applyAlignment="1">
      <alignment vertical="center"/>
    </xf>
    <xf numFmtId="43" fontId="26" fillId="17" borderId="0" xfId="1" applyFont="1" applyFill="1" applyAlignment="1">
      <alignment horizontal="center" vertical="center" wrapText="1"/>
    </xf>
    <xf numFmtId="44" fontId="0" fillId="11" borderId="0" xfId="2" applyFont="1" applyFill="1" applyAlignment="1">
      <alignment vertical="center"/>
    </xf>
    <xf numFmtId="43" fontId="24" fillId="0" borderId="0" xfId="0" applyNumberFormat="1" applyFont="1" applyAlignment="1">
      <alignment vertical="center"/>
    </xf>
    <xf numFmtId="0" fontId="24" fillId="5" borderId="0" xfId="0" applyFont="1" applyFill="1" applyAlignment="1">
      <alignment vertical="center"/>
    </xf>
    <xf numFmtId="0" fontId="24" fillId="11" borderId="0" xfId="0" applyFont="1" applyFill="1" applyAlignment="1">
      <alignment vertical="center"/>
    </xf>
    <xf numFmtId="43" fontId="24" fillId="11" borderId="0" xfId="1" applyFont="1" applyFill="1" applyAlignment="1">
      <alignment vertical="center"/>
    </xf>
    <xf numFmtId="0" fontId="19" fillId="18" borderId="0" xfId="0" applyFont="1" applyFill="1" applyAlignment="1">
      <alignment horizontal="center" vertical="center" wrapText="1"/>
    </xf>
    <xf numFmtId="0" fontId="31" fillId="6" borderId="0" xfId="0" applyFont="1" applyFill="1" applyAlignment="1">
      <alignment vertical="center"/>
    </xf>
    <xf numFmtId="164" fontId="15" fillId="5" borderId="0" xfId="0" applyNumberFormat="1" applyFont="1" applyFill="1" applyAlignment="1">
      <alignment vertical="center"/>
    </xf>
    <xf numFmtId="0" fontId="23" fillId="5" borderId="0" xfId="0" applyFont="1" applyFill="1" applyAlignment="1">
      <alignment horizontal="center" vertical="center"/>
    </xf>
    <xf numFmtId="43" fontId="0" fillId="0" borderId="0" xfId="0" applyNumberFormat="1"/>
    <xf numFmtId="164" fontId="15" fillId="22" borderId="0" xfId="0" applyNumberFormat="1" applyFont="1" applyFill="1" applyAlignment="1">
      <alignment vertical="center"/>
    </xf>
    <xf numFmtId="0" fontId="23" fillId="22" borderId="0" xfId="0" applyFont="1" applyFill="1" applyAlignment="1">
      <alignment horizontal="center" vertical="center"/>
    </xf>
    <xf numFmtId="0" fontId="31" fillId="6" borderId="0" xfId="0" applyFont="1" applyFill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43" fontId="24" fillId="5" borderId="0" xfId="1" applyFont="1" applyFill="1" applyAlignment="1">
      <alignment vertical="center"/>
    </xf>
    <xf numFmtId="37" fontId="0" fillId="0" borderId="0" xfId="1" applyNumberFormat="1" applyFont="1" applyAlignment="1">
      <alignment horizontal="center" vertical="center"/>
    </xf>
    <xf numFmtId="0" fontId="19" fillId="6" borderId="0" xfId="0" applyFont="1" applyFill="1" applyAlignment="1">
      <alignment vertical="center" wrapText="1"/>
    </xf>
    <xf numFmtId="0" fontId="31" fillId="6" borderId="10" xfId="0" applyFont="1" applyFill="1" applyBorder="1" applyAlignment="1">
      <alignment vertical="center" wrapText="1"/>
    </xf>
    <xf numFmtId="0" fontId="32" fillId="6" borderId="0" xfId="0" applyFont="1" applyFill="1" applyAlignment="1">
      <alignment vertical="center" wrapText="1"/>
    </xf>
    <xf numFmtId="0" fontId="31" fillId="6" borderId="0" xfId="0" applyFont="1" applyFill="1" applyAlignment="1">
      <alignment vertical="center" wrapText="1"/>
    </xf>
    <xf numFmtId="40" fontId="31" fillId="6" borderId="0" xfId="0" applyNumberFormat="1" applyFont="1" applyFill="1" applyAlignment="1">
      <alignment horizontal="center" vertical="center" wrapText="1"/>
    </xf>
    <xf numFmtId="9" fontId="31" fillId="6" borderId="0" xfId="3" applyFont="1" applyFill="1" applyAlignment="1">
      <alignment horizontal="center" vertical="center" wrapText="1"/>
    </xf>
    <xf numFmtId="40" fontId="31" fillId="6" borderId="0" xfId="0" applyNumberFormat="1" applyFont="1" applyFill="1" applyAlignment="1">
      <alignment wrapText="1"/>
    </xf>
    <xf numFmtId="0" fontId="31" fillId="6" borderId="0" xfId="0" applyFont="1" applyFill="1" applyAlignment="1">
      <alignment horizontal="left" vertical="center" wrapText="1"/>
    </xf>
    <xf numFmtId="0" fontId="31" fillId="6" borderId="0" xfId="0" applyFont="1" applyFill="1" applyAlignment="1">
      <alignment horizontal="center" wrapText="1"/>
    </xf>
    <xf numFmtId="40" fontId="31" fillId="6" borderId="0" xfId="0" applyNumberFormat="1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wrapText="1"/>
    </xf>
    <xf numFmtId="0" fontId="31" fillId="6" borderId="0" xfId="0" applyFont="1" applyFill="1" applyAlignment="1">
      <alignment wrapText="1"/>
    </xf>
    <xf numFmtId="10" fontId="19" fillId="6" borderId="0" xfId="3" applyNumberFormat="1" applyFont="1" applyFill="1" applyAlignment="1">
      <alignment vertical="center" wrapText="1"/>
    </xf>
    <xf numFmtId="0" fontId="19" fillId="23" borderId="0" xfId="0" applyFont="1" applyFill="1" applyAlignment="1">
      <alignment horizontal="center" vertical="center" wrapText="1"/>
    </xf>
    <xf numFmtId="164" fontId="6" fillId="6" borderId="0" xfId="0" applyNumberFormat="1" applyFont="1" applyFill="1" applyAlignment="1">
      <alignment vertical="center"/>
    </xf>
    <xf numFmtId="49" fontId="1" fillId="0" borderId="1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0" fontId="30" fillId="7" borderId="0" xfId="0" applyNumberFormat="1" applyFont="1" applyFill="1" applyAlignment="1">
      <alignment horizontal="center" vertical="center" wrapText="1"/>
    </xf>
    <xf numFmtId="0" fontId="30" fillId="7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165" fontId="0" fillId="0" borderId="0" xfId="1" applyNumberFormat="1" applyFont="1" applyAlignment="1">
      <alignment vertical="center" wrapText="1"/>
    </xf>
    <xf numFmtId="44" fontId="0" fillId="0" borderId="0" xfId="2" applyFont="1" applyAlignment="1">
      <alignment horizontal="center" vertical="center"/>
    </xf>
    <xf numFmtId="44" fontId="2" fillId="0" borderId="0" xfId="2" applyFont="1" applyAlignment="1">
      <alignment vertical="center"/>
    </xf>
    <xf numFmtId="43" fontId="0" fillId="25" borderId="10" xfId="1" applyFont="1" applyFill="1" applyBorder="1" applyAlignment="1">
      <alignment horizontal="center" vertical="center"/>
    </xf>
    <xf numFmtId="44" fontId="0" fillId="25" borderId="10" xfId="2" applyFont="1" applyFill="1" applyBorder="1" applyAlignment="1">
      <alignment vertical="center"/>
    </xf>
    <xf numFmtId="37" fontId="0" fillId="25" borderId="10" xfId="1" applyNumberFormat="1" applyFont="1" applyFill="1" applyBorder="1" applyAlignment="1">
      <alignment horizontal="center" vertical="center"/>
    </xf>
    <xf numFmtId="0" fontId="24" fillId="0" borderId="10" xfId="0" applyFont="1" applyBorder="1" applyAlignment="1">
      <alignment horizontal="right" vertical="center" wrapText="1"/>
    </xf>
    <xf numFmtId="43" fontId="0" fillId="0" borderId="10" xfId="1" applyFont="1" applyBorder="1" applyAlignment="1">
      <alignment wrapText="1"/>
    </xf>
    <xf numFmtId="43" fontId="0" fillId="0" borderId="10" xfId="1" applyFont="1" applyBorder="1" applyAlignment="1">
      <alignment vertical="center" wrapText="1"/>
    </xf>
    <xf numFmtId="0" fontId="24" fillId="0" borderId="19" xfId="0" applyFont="1" applyBorder="1" applyAlignment="1">
      <alignment horizontal="right" vertical="center" wrapText="1"/>
    </xf>
    <xf numFmtId="43" fontId="0" fillId="0" borderId="19" xfId="1" applyFont="1" applyBorder="1" applyAlignment="1">
      <alignment vertical="center" wrapText="1"/>
    </xf>
    <xf numFmtId="0" fontId="24" fillId="0" borderId="20" xfId="0" applyFont="1" applyBorder="1" applyAlignment="1">
      <alignment horizontal="right" vertical="center" wrapText="1"/>
    </xf>
    <xf numFmtId="44" fontId="24" fillId="0" borderId="21" xfId="0" applyNumberFormat="1" applyFont="1" applyBorder="1" applyAlignment="1">
      <alignment vertical="center" wrapText="1"/>
    </xf>
    <xf numFmtId="43" fontId="0" fillId="25" borderId="22" xfId="1" applyFont="1" applyFill="1" applyBorder="1" applyAlignment="1">
      <alignment horizontal="center" vertical="center"/>
    </xf>
    <xf numFmtId="44" fontId="0" fillId="25" borderId="22" xfId="2" applyFont="1" applyFill="1" applyBorder="1" applyAlignment="1">
      <alignment vertic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43" fontId="24" fillId="0" borderId="11" xfId="1" applyFont="1" applyBorder="1" applyAlignment="1">
      <alignment horizontal="center"/>
    </xf>
    <xf numFmtId="164" fontId="6" fillId="6" borderId="23" xfId="0" applyNumberFormat="1" applyFont="1" applyFill="1" applyBorder="1" applyAlignment="1">
      <alignment vertical="center"/>
    </xf>
    <xf numFmtId="164" fontId="6" fillId="24" borderId="23" xfId="0" applyNumberFormat="1" applyFont="1" applyFill="1" applyBorder="1" applyAlignment="1">
      <alignment vertical="center"/>
    </xf>
    <xf numFmtId="0" fontId="19" fillId="6" borderId="24" xfId="0" applyFont="1" applyFill="1" applyBorder="1" applyAlignment="1">
      <alignment horizontal="center" vertical="center"/>
    </xf>
    <xf numFmtId="0" fontId="19" fillId="24" borderId="24" xfId="0" applyFont="1" applyFill="1" applyBorder="1" applyAlignment="1">
      <alignment horizontal="center" vertical="center"/>
    </xf>
    <xf numFmtId="164" fontId="17" fillId="24" borderId="0" xfId="0" applyNumberFormat="1" applyFont="1" applyFill="1" applyAlignment="1">
      <alignment vertical="center"/>
    </xf>
    <xf numFmtId="164" fontId="15" fillId="22" borderId="3" xfId="0" applyNumberFormat="1" applyFont="1" applyFill="1" applyBorder="1" applyAlignment="1">
      <alignment vertical="center"/>
    </xf>
    <xf numFmtId="0" fontId="23" fillId="22" borderId="4" xfId="0" applyFont="1" applyFill="1" applyBorder="1" applyAlignment="1">
      <alignment horizontal="center" vertical="center"/>
    </xf>
    <xf numFmtId="164" fontId="6" fillId="26" borderId="23" xfId="0" applyNumberFormat="1" applyFont="1" applyFill="1" applyBorder="1" applyAlignment="1">
      <alignment vertical="center"/>
    </xf>
    <xf numFmtId="164" fontId="17" fillId="26" borderId="0" xfId="0" applyNumberFormat="1" applyFont="1" applyFill="1" applyAlignment="1">
      <alignment vertical="center"/>
    </xf>
    <xf numFmtId="164" fontId="4" fillId="26" borderId="0" xfId="0" applyNumberFormat="1" applyFont="1" applyFill="1" applyAlignment="1">
      <alignment vertical="center"/>
    </xf>
    <xf numFmtId="164" fontId="4" fillId="26" borderId="5" xfId="0" applyNumberFormat="1" applyFont="1" applyFill="1" applyBorder="1" applyAlignment="1">
      <alignment vertical="center"/>
    </xf>
    <xf numFmtId="164" fontId="4" fillId="26" borderId="3" xfId="0" applyNumberFormat="1" applyFont="1" applyFill="1" applyBorder="1" applyAlignment="1">
      <alignment vertical="center"/>
    </xf>
    <xf numFmtId="44" fontId="0" fillId="0" borderId="0" xfId="2" applyFont="1" applyAlignment="1">
      <alignment vertical="center" wrapText="1"/>
    </xf>
    <xf numFmtId="44" fontId="20" fillId="0" borderId="0" xfId="2" applyFont="1" applyAlignment="1">
      <alignment vertical="center" wrapText="1"/>
    </xf>
    <xf numFmtId="44" fontId="0" fillId="0" borderId="0" xfId="0" applyNumberFormat="1"/>
    <xf numFmtId="0" fontId="7" fillId="0" borderId="0" xfId="0" applyFont="1" applyAlignment="1">
      <alignment vertical="center"/>
    </xf>
    <xf numFmtId="0" fontId="15" fillId="7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7" fillId="7" borderId="0" xfId="0" applyFont="1" applyFill="1" applyAlignment="1">
      <alignment vertical="center"/>
    </xf>
    <xf numFmtId="0" fontId="17" fillId="6" borderId="0" xfId="0" applyFont="1" applyFill="1" applyAlignment="1">
      <alignment horizontal="center" vertical="center"/>
    </xf>
    <xf numFmtId="0" fontId="17" fillId="20" borderId="0" xfId="0" applyFont="1" applyFill="1" applyAlignment="1">
      <alignment horizontal="center" vertical="center"/>
    </xf>
    <xf numFmtId="0" fontId="17" fillId="15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7" fillId="21" borderId="0" xfId="0" applyFont="1" applyFill="1" applyAlignment="1">
      <alignment horizontal="center" vertical="center"/>
    </xf>
    <xf numFmtId="0" fontId="17" fillId="19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2" borderId="4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24" borderId="24" xfId="0" applyFont="1" applyFill="1" applyBorder="1" applyAlignment="1">
      <alignment horizontal="center" vertical="center"/>
    </xf>
    <xf numFmtId="0" fontId="17" fillId="26" borderId="24" xfId="0" applyFont="1" applyFill="1" applyBorder="1" applyAlignment="1">
      <alignment horizontal="center" vertical="center"/>
    </xf>
    <xf numFmtId="49" fontId="7" fillId="4" borderId="0" xfId="0" applyNumberFormat="1" applyFont="1" applyFill="1" applyAlignment="1">
      <alignment horizontal="centerContinuous" vertical="center"/>
    </xf>
    <xf numFmtId="49" fontId="7" fillId="0" borderId="0" xfId="0" applyNumberFormat="1" applyFont="1" applyAlignment="1">
      <alignment horizontal="centerContinuous" vertical="center"/>
    </xf>
    <xf numFmtId="0" fontId="7" fillId="6" borderId="0" xfId="0" applyFont="1" applyFill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165" fontId="7" fillId="0" borderId="0" xfId="1" applyNumberFormat="1" applyFont="1" applyAlignment="1">
      <alignment vertical="center" wrapText="1"/>
    </xf>
    <xf numFmtId="40" fontId="7" fillId="0" borderId="0" xfId="0" applyNumberFormat="1" applyFont="1" applyAlignment="1">
      <alignment vertical="center" wrapText="1"/>
    </xf>
    <xf numFmtId="43" fontId="7" fillId="0" borderId="0" xfId="1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3" fontId="7" fillId="0" borderId="0" xfId="0" applyNumberFormat="1" applyFont="1" applyAlignment="1">
      <alignment vertical="center" wrapText="1"/>
    </xf>
    <xf numFmtId="0" fontId="17" fillId="7" borderId="0" xfId="0" applyFont="1" applyFill="1" applyAlignment="1">
      <alignment vertical="center" wrapText="1"/>
    </xf>
    <xf numFmtId="10" fontId="7" fillId="0" borderId="0" xfId="3" applyNumberFormat="1" applyFont="1" applyAlignment="1">
      <alignment vertical="center" wrapText="1"/>
    </xf>
    <xf numFmtId="0" fontId="19" fillId="6" borderId="23" xfId="0" applyFont="1" applyFill="1" applyBorder="1" applyAlignment="1">
      <alignment vertical="center" wrapText="1"/>
    </xf>
    <xf numFmtId="0" fontId="31" fillId="6" borderId="23" xfId="0" applyFont="1" applyFill="1" applyBorder="1" applyAlignment="1">
      <alignment horizontal="center" vertical="center" wrapText="1"/>
    </xf>
    <xf numFmtId="40" fontId="31" fillId="6" borderId="26" xfId="0" applyNumberFormat="1" applyFont="1" applyFill="1" applyBorder="1" applyAlignment="1">
      <alignment horizontal="center" vertical="center" wrapText="1"/>
    </xf>
    <xf numFmtId="0" fontId="31" fillId="6" borderId="25" xfId="0" applyFont="1" applyFill="1" applyBorder="1" applyAlignment="1">
      <alignment horizontal="center" vertical="center" wrapText="1"/>
    </xf>
    <xf numFmtId="0" fontId="31" fillId="6" borderId="23" xfId="0" applyFont="1" applyFill="1" applyBorder="1" applyAlignment="1">
      <alignment vertical="center" wrapText="1"/>
    </xf>
    <xf numFmtId="0" fontId="31" fillId="6" borderId="26" xfId="0" applyFont="1" applyFill="1" applyBorder="1" applyAlignment="1">
      <alignment vertical="center" wrapText="1"/>
    </xf>
    <xf numFmtId="9" fontId="31" fillId="6" borderId="25" xfId="3" applyFont="1" applyFill="1" applyBorder="1" applyAlignment="1">
      <alignment horizontal="center" vertical="center" wrapText="1"/>
    </xf>
    <xf numFmtId="0" fontId="31" fillId="6" borderId="26" xfId="0" applyFont="1" applyFill="1" applyBorder="1" applyAlignment="1">
      <alignment horizontal="center" vertical="center" wrapText="1"/>
    </xf>
    <xf numFmtId="0" fontId="31" fillId="6" borderId="25" xfId="0" applyFont="1" applyFill="1" applyBorder="1" applyAlignment="1">
      <alignment vertical="center" wrapText="1"/>
    </xf>
    <xf numFmtId="40" fontId="31" fillId="6" borderId="26" xfId="0" applyNumberFormat="1" applyFont="1" applyFill="1" applyBorder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44" fontId="0" fillId="0" borderId="0" xfId="2" applyFont="1"/>
    <xf numFmtId="0" fontId="1" fillId="5" borderId="1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 wrapText="1"/>
    </xf>
    <xf numFmtId="0" fontId="31" fillId="6" borderId="0" xfId="0" applyFont="1" applyFill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6" fillId="7" borderId="0" xfId="0" applyFont="1" applyFill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23" fillId="10" borderId="14" xfId="0" applyFont="1" applyFill="1" applyBorder="1" applyAlignment="1">
      <alignment horizontal="center" vertical="center" wrapText="1"/>
    </xf>
    <xf numFmtId="0" fontId="23" fillId="10" borderId="17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18AF766C-B025-4993-BBCC-D6A346A13397}"/>
  </tableStyles>
  <colors>
    <mruColors>
      <color rgb="FF0066FF"/>
      <color rgb="FFE2C5FF"/>
      <color rgb="FF0000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1597742</xdr:colOff>
      <xdr:row>383</xdr:row>
      <xdr:rowOff>175845</xdr:rowOff>
    </xdr:from>
    <xdr:to>
      <xdr:col>38</xdr:col>
      <xdr:colOff>1622790</xdr:colOff>
      <xdr:row>392</xdr:row>
      <xdr:rowOff>14652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83133B-11C9-6467-D8DC-799667A31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31934" y="23724576"/>
          <a:ext cx="1626420" cy="1597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7620</xdr:colOff>
      <xdr:row>384</xdr:row>
      <xdr:rowOff>8205</xdr:rowOff>
    </xdr:from>
    <xdr:to>
      <xdr:col>39</xdr:col>
      <xdr:colOff>1619889</xdr:colOff>
      <xdr:row>392</xdr:row>
      <xdr:rowOff>188823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3976E-FCBB-44D9-AE34-1067BD36E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0" y="24011205"/>
          <a:ext cx="1611180" cy="175904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BFD5-32DA-460F-9CA2-C25C86245DE7}">
  <sheetPr>
    <tabColor rgb="FF0066FF"/>
  </sheetPr>
  <dimension ref="A1:AE581"/>
  <sheetViews>
    <sheetView zoomScale="130" zoomScaleNormal="130" workbookViewId="0">
      <pane xSplit="7" ySplit="4" topLeftCell="P439" activePane="bottomRight" state="frozen"/>
      <selection pane="topRight" activeCell="H1" sqref="H1"/>
      <selection pane="bottomLeft" activeCell="A5" sqref="A5"/>
      <selection pane="bottomRight" activeCell="AC445" sqref="AC445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3.6328125" style="46" customWidth="1"/>
    <col min="10" max="10" width="16.81640625" style="46" customWidth="1"/>
    <col min="11" max="11" width="13.6328125" style="46" customWidth="1"/>
    <col min="12" max="12" width="16.81640625" style="46" customWidth="1"/>
    <col min="13" max="13" width="13.6328125" style="46" customWidth="1"/>
    <col min="14" max="14" width="16.81640625" style="46" bestFit="1" customWidth="1"/>
    <col min="15" max="15" width="14.81640625" style="46" bestFit="1" customWidth="1"/>
    <col min="16" max="16" width="16.81640625" style="46" bestFit="1" customWidth="1"/>
    <col min="17" max="17" width="13.6328125" style="46" bestFit="1" customWidth="1"/>
    <col min="18" max="18" width="0.81640625" style="46" customWidth="1"/>
    <col min="19" max="24" width="0.90625" style="45" customWidth="1"/>
    <col min="25" max="25" width="49.453125" style="45" customWidth="1"/>
    <col min="26" max="26" width="13.81640625" style="47" bestFit="1" customWidth="1"/>
    <col min="27" max="27" width="1.6328125" style="46" customWidth="1"/>
    <col min="28" max="28" width="17.1796875" style="46" bestFit="1" customWidth="1"/>
    <col min="29" max="29" width="47.81640625" style="46" customWidth="1"/>
    <col min="30" max="30" width="10.54296875" style="46" bestFit="1" customWidth="1"/>
    <col min="31" max="31" width="11.54296875" style="46" bestFit="1" customWidth="1"/>
    <col min="32" max="16384" width="8.81640625" style="46"/>
  </cols>
  <sheetData>
    <row r="1" spans="1:28" ht="25" customHeight="1" x14ac:dyDescent="0.35">
      <c r="H1" s="103">
        <f t="shared" ref="H1:Q1" si="0">H580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Z580</f>
        <v>811.37</v>
      </c>
      <c r="AA1" s="105"/>
      <c r="AB1" s="106">
        <f>AB580</f>
        <v>-211160.46642000001</v>
      </c>
    </row>
    <row r="2" spans="1:28" ht="16" x14ac:dyDescent="0.35">
      <c r="AB2" s="44" t="s">
        <v>583</v>
      </c>
    </row>
    <row r="3" spans="1:28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B3" s="1" t="s">
        <v>582</v>
      </c>
    </row>
    <row r="4" spans="1:28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B4" s="59" t="s">
        <v>2</v>
      </c>
    </row>
    <row r="5" spans="1:28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</row>
    <row r="6" spans="1:28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</row>
    <row r="7" spans="1:28" ht="16" thickBot="1" x14ac:dyDescent="0.4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</row>
    <row r="8" spans="1:28" hidden="1" x14ac:dyDescent="0.35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</row>
    <row r="9" spans="1:28" hidden="1" x14ac:dyDescent="0.35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B9" s="66">
        <v>960784.8</v>
      </c>
    </row>
    <row r="10" spans="1:28" hidden="1" x14ac:dyDescent="0.35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1">ROUND(H10+J10+L10,5)</f>
        <v>270788.24</v>
      </c>
      <c r="O10" s="66">
        <f t="shared" si="1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B10" s="66"/>
    </row>
    <row r="11" spans="1:28" hidden="1" x14ac:dyDescent="0.35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1"/>
        <v>104161.84</v>
      </c>
      <c r="O11" s="66">
        <f t="shared" si="1"/>
        <v>47215</v>
      </c>
      <c r="P11" s="69">
        <f t="shared" ref="P11:P74" si="2">N11/3</f>
        <v>34720.613333333335</v>
      </c>
      <c r="Q11" s="69">
        <f t="shared" ref="Q11:Q74" si="3">O11/3</f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B11" s="66"/>
    </row>
    <row r="12" spans="1:28" hidden="1" x14ac:dyDescent="0.35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1"/>
        <v>0</v>
      </c>
      <c r="O12" s="66">
        <f t="shared" si="1"/>
        <v>8970</v>
      </c>
      <c r="P12" s="69">
        <f t="shared" si="2"/>
        <v>0</v>
      </c>
      <c r="Q12" s="69">
        <f t="shared" si="3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B12" s="66"/>
    </row>
    <row r="13" spans="1:28" hidden="1" x14ac:dyDescent="0.35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1"/>
        <v>49113.85</v>
      </c>
      <c r="O13" s="66">
        <f t="shared" si="1"/>
        <v>22276</v>
      </c>
      <c r="P13" s="69">
        <f t="shared" si="2"/>
        <v>16371.283333333333</v>
      </c>
      <c r="Q13" s="69">
        <f t="shared" si="3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B13" s="66"/>
    </row>
    <row r="14" spans="1:28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1"/>
        <v>7790</v>
      </c>
      <c r="O14" s="73">
        <f t="shared" si="1"/>
        <v>1400</v>
      </c>
      <c r="P14" s="74">
        <f t="shared" si="2"/>
        <v>2596.6666666666665</v>
      </c>
      <c r="Q14" s="74">
        <f t="shared" si="3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B14" s="73"/>
    </row>
    <row r="15" spans="1:28" hidden="1" x14ac:dyDescent="0.35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4">ROUND(SUM(H9:H14),5)</f>
        <v>171173.36</v>
      </c>
      <c r="I15" s="63">
        <f t="shared" si="4"/>
        <v>33072</v>
      </c>
      <c r="J15" s="64">
        <f t="shared" si="4"/>
        <v>129396.15</v>
      </c>
      <c r="K15" s="64">
        <f t="shared" si="4"/>
        <v>61776</v>
      </c>
      <c r="L15" s="65">
        <f t="shared" si="4"/>
        <v>131284.42000000001</v>
      </c>
      <c r="M15" s="65">
        <f t="shared" si="4"/>
        <v>159494</v>
      </c>
      <c r="N15" s="66">
        <f t="shared" si="1"/>
        <v>431853.93</v>
      </c>
      <c r="O15" s="66">
        <f t="shared" si="1"/>
        <v>254342</v>
      </c>
      <c r="P15" s="69">
        <f t="shared" si="2"/>
        <v>143951.31</v>
      </c>
      <c r="Q15" s="69">
        <f t="shared" si="3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B15" s="66">
        <f>ROUND(SUM(AB9:AB14),5)</f>
        <v>960784.8</v>
      </c>
    </row>
    <row r="16" spans="1:28" hidden="1" x14ac:dyDescent="0.35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B16" s="66"/>
    </row>
    <row r="17" spans="1:28" hidden="1" x14ac:dyDescent="0.35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N35" si="5">ROUND(H17+J17+L17,5)</f>
        <v>101809.82</v>
      </c>
      <c r="O17" s="66">
        <f t="shared" ref="O17:O35" si="6">ROUND(I17+K17+M17,5)</f>
        <v>79973</v>
      </c>
      <c r="P17" s="69">
        <f t="shared" si="2"/>
        <v>33936.606666666667</v>
      </c>
      <c r="Q17" s="69">
        <f t="shared" si="3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B17" s="66"/>
    </row>
    <row r="18" spans="1:28" hidden="1" x14ac:dyDescent="0.35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5"/>
        <v>26984.29</v>
      </c>
      <c r="O18" s="66">
        <f t="shared" si="6"/>
        <v>23625</v>
      </c>
      <c r="P18" s="69">
        <f t="shared" si="2"/>
        <v>8994.7633333333342</v>
      </c>
      <c r="Q18" s="69">
        <f t="shared" si="3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B18" s="66"/>
    </row>
    <row r="19" spans="1:28" hidden="1" x14ac:dyDescent="0.35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5"/>
        <v>17270</v>
      </c>
      <c r="O19" s="66">
        <f t="shared" si="6"/>
        <v>35512</v>
      </c>
      <c r="P19" s="69">
        <f t="shared" si="2"/>
        <v>5756.666666666667</v>
      </c>
      <c r="Q19" s="69">
        <f t="shared" si="3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B19" s="66"/>
    </row>
    <row r="20" spans="1:28" hidden="1" x14ac:dyDescent="0.35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5"/>
        <v>22714.81</v>
      </c>
      <c r="O20" s="66">
        <f t="shared" si="6"/>
        <v>35292</v>
      </c>
      <c r="P20" s="69">
        <f t="shared" si="2"/>
        <v>7571.6033333333335</v>
      </c>
      <c r="Q20" s="69">
        <f t="shared" si="3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B20" s="66"/>
    </row>
    <row r="21" spans="1:28" hidden="1" x14ac:dyDescent="0.35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5"/>
        <v>3255.05</v>
      </c>
      <c r="O21" s="66">
        <f t="shared" si="6"/>
        <v>0</v>
      </c>
      <c r="P21" s="69">
        <f t="shared" si="2"/>
        <v>1085.0166666666667</v>
      </c>
      <c r="Q21" s="69">
        <f t="shared" si="3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B21" s="66"/>
    </row>
    <row r="22" spans="1:28" hidden="1" x14ac:dyDescent="0.35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5"/>
        <v>24336.65</v>
      </c>
      <c r="O22" s="66">
        <f t="shared" si="6"/>
        <v>58135</v>
      </c>
      <c r="P22" s="69">
        <f t="shared" si="2"/>
        <v>8112.2166666666672</v>
      </c>
      <c r="Q22" s="69">
        <f t="shared" si="3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B22" s="66"/>
    </row>
    <row r="23" spans="1:28" hidden="1" x14ac:dyDescent="0.35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5"/>
        <v>3560.05</v>
      </c>
      <c r="O23" s="66">
        <f t="shared" si="6"/>
        <v>0</v>
      </c>
      <c r="P23" s="69">
        <f t="shared" si="2"/>
        <v>1186.6833333333334</v>
      </c>
      <c r="Q23" s="69">
        <f t="shared" si="3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B23" s="66"/>
    </row>
    <row r="24" spans="1:28" hidden="1" x14ac:dyDescent="0.35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5"/>
        <v>20454.099999999999</v>
      </c>
      <c r="O24" s="66">
        <f t="shared" si="6"/>
        <v>42287</v>
      </c>
      <c r="P24" s="69">
        <f t="shared" si="2"/>
        <v>6818.0333333333328</v>
      </c>
      <c r="Q24" s="69">
        <f t="shared" si="3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B24" s="66"/>
    </row>
    <row r="25" spans="1:28" hidden="1" x14ac:dyDescent="0.35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5"/>
        <v>13358.41</v>
      </c>
      <c r="O25" s="66">
        <f t="shared" si="6"/>
        <v>17758</v>
      </c>
      <c r="P25" s="69">
        <f t="shared" si="2"/>
        <v>4452.8033333333333</v>
      </c>
      <c r="Q25" s="69">
        <f t="shared" si="3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B25" s="66"/>
    </row>
    <row r="26" spans="1:28" hidden="1" x14ac:dyDescent="0.35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5"/>
        <v>5642.08</v>
      </c>
      <c r="O26" s="66">
        <f t="shared" si="6"/>
        <v>0</v>
      </c>
      <c r="P26" s="69">
        <f t="shared" si="2"/>
        <v>1880.6933333333334</v>
      </c>
      <c r="Q26" s="69">
        <f t="shared" si="3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B26" s="66"/>
    </row>
    <row r="27" spans="1:28" hidden="1" x14ac:dyDescent="0.35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5"/>
        <v>28947.17</v>
      </c>
      <c r="O27" s="66">
        <f t="shared" si="6"/>
        <v>23569</v>
      </c>
      <c r="P27" s="69">
        <f t="shared" si="2"/>
        <v>9649.0566666666655</v>
      </c>
      <c r="Q27" s="69">
        <f t="shared" si="3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B27" s="66"/>
    </row>
    <row r="28" spans="1:28" hidden="1" x14ac:dyDescent="0.35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5"/>
        <v>6391.99</v>
      </c>
      <c r="O28" s="66">
        <f t="shared" si="6"/>
        <v>5858</v>
      </c>
      <c r="P28" s="69">
        <f t="shared" si="2"/>
        <v>2130.6633333333334</v>
      </c>
      <c r="Q28" s="69">
        <f t="shared" si="3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B28" s="66"/>
    </row>
    <row r="29" spans="1:28" hidden="1" x14ac:dyDescent="0.35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5"/>
        <v>33957.879999999997</v>
      </c>
      <c r="O29" s="66">
        <f t="shared" si="6"/>
        <v>66808</v>
      </c>
      <c r="P29" s="69">
        <f t="shared" si="2"/>
        <v>11319.293333333333</v>
      </c>
      <c r="Q29" s="69">
        <f t="shared" si="3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B29" s="66"/>
    </row>
    <row r="30" spans="1:28" hidden="1" x14ac:dyDescent="0.35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5"/>
        <v>44017.48</v>
      </c>
      <c r="O30" s="66">
        <f t="shared" si="6"/>
        <v>49854</v>
      </c>
      <c r="P30" s="69">
        <f t="shared" si="2"/>
        <v>14672.493333333334</v>
      </c>
      <c r="Q30" s="69">
        <f t="shared" si="3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B30" s="66"/>
    </row>
    <row r="31" spans="1:28" hidden="1" x14ac:dyDescent="0.35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5"/>
        <v>64578.81</v>
      </c>
      <c r="O31" s="66">
        <f t="shared" si="6"/>
        <v>27090</v>
      </c>
      <c r="P31" s="69">
        <f t="shared" si="2"/>
        <v>21526.27</v>
      </c>
      <c r="Q31" s="69">
        <f t="shared" si="3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B31" s="66"/>
    </row>
    <row r="32" spans="1:28" hidden="1" x14ac:dyDescent="0.35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5"/>
        <v>14800.16</v>
      </c>
      <c r="O32" s="66">
        <f t="shared" si="6"/>
        <v>0</v>
      </c>
      <c r="P32" s="69">
        <f t="shared" si="2"/>
        <v>4933.3866666666663</v>
      </c>
      <c r="Q32" s="69">
        <f t="shared" si="3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B32" s="66"/>
    </row>
    <row r="33" spans="1:28" hidden="1" x14ac:dyDescent="0.35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5"/>
        <v>1604.11</v>
      </c>
      <c r="O33" s="66">
        <f t="shared" si="6"/>
        <v>22561</v>
      </c>
      <c r="P33" s="69">
        <f t="shared" si="2"/>
        <v>534.70333333333326</v>
      </c>
      <c r="Q33" s="69">
        <f t="shared" si="3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B33" s="66"/>
    </row>
    <row r="34" spans="1:28" hidden="1" x14ac:dyDescent="0.35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5"/>
        <v>1104</v>
      </c>
      <c r="O34" s="66">
        <f t="shared" si="6"/>
        <v>7038</v>
      </c>
      <c r="P34" s="69">
        <f t="shared" si="2"/>
        <v>368</v>
      </c>
      <c r="Q34" s="69">
        <f t="shared" si="3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B34" s="66"/>
    </row>
    <row r="35" spans="1:28" hidden="1" x14ac:dyDescent="0.35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5"/>
        <v>0</v>
      </c>
      <c r="O35" s="66">
        <f t="shared" si="6"/>
        <v>15254</v>
      </c>
      <c r="P35" s="69">
        <f t="shared" si="2"/>
        <v>0</v>
      </c>
      <c r="Q35" s="69">
        <f t="shared" si="3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B35" s="66"/>
    </row>
    <row r="36" spans="1:28" hidden="1" x14ac:dyDescent="0.35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2"/>
        <v>1854.64</v>
      </c>
      <c r="Q36" s="69">
        <f t="shared" si="3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B36" s="66"/>
    </row>
    <row r="37" spans="1:28" hidden="1" x14ac:dyDescent="0.35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2"/>
        <v>0</v>
      </c>
      <c r="Q37" s="69">
        <f t="shared" si="3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B37" s="66"/>
    </row>
    <row r="38" spans="1:28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2"/>
        <v>0</v>
      </c>
      <c r="Q38" s="74">
        <f t="shared" si="3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B38" s="73"/>
    </row>
    <row r="39" spans="1:28" hidden="1" x14ac:dyDescent="0.35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7">ROUND(SUM(H16:H38),5)</f>
        <v>125929.22</v>
      </c>
      <c r="I39" s="63">
        <f t="shared" si="7"/>
        <v>120263</v>
      </c>
      <c r="J39" s="64">
        <f t="shared" si="7"/>
        <v>136830.26</v>
      </c>
      <c r="K39" s="64">
        <f t="shared" si="7"/>
        <v>203448</v>
      </c>
      <c r="L39" s="65">
        <f t="shared" si="7"/>
        <v>177591.3</v>
      </c>
      <c r="M39" s="65">
        <f t="shared" si="7"/>
        <v>186903</v>
      </c>
      <c r="N39" s="66">
        <f>ROUND(H39+J39+L39,5)</f>
        <v>440350.78</v>
      </c>
      <c r="O39" s="66">
        <f>ROUND(I39+K39+M39,5)</f>
        <v>510614</v>
      </c>
      <c r="P39" s="69">
        <f t="shared" si="2"/>
        <v>146783.59333333335</v>
      </c>
      <c r="Q39" s="69">
        <f t="shared" si="3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B39" s="66">
        <f>ROUND(SUM(AB16:AB38),5)</f>
        <v>0</v>
      </c>
    </row>
    <row r="40" spans="1:28" hidden="1" x14ac:dyDescent="0.35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B40" s="66"/>
    </row>
    <row r="41" spans="1:28" hidden="1" x14ac:dyDescent="0.35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8">ROUND(H41+J41+L41,5)</f>
        <v>17081.599999999999</v>
      </c>
      <c r="O41" s="66">
        <f t="shared" si="8"/>
        <v>44688</v>
      </c>
      <c r="P41" s="69">
        <f t="shared" si="2"/>
        <v>5693.8666666666659</v>
      </c>
      <c r="Q41" s="69">
        <f t="shared" si="3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B41" s="66"/>
    </row>
    <row r="42" spans="1:28" hidden="1" x14ac:dyDescent="0.35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8"/>
        <v>1953.03</v>
      </c>
      <c r="O42" s="66">
        <f t="shared" si="8"/>
        <v>0</v>
      </c>
      <c r="P42" s="69">
        <f t="shared" si="2"/>
        <v>651.01</v>
      </c>
      <c r="Q42" s="69">
        <f t="shared" si="3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B42" s="66"/>
    </row>
    <row r="43" spans="1:28" hidden="1" x14ac:dyDescent="0.35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8"/>
        <v>6637.98</v>
      </c>
      <c r="O43" s="66">
        <f t="shared" si="8"/>
        <v>16220</v>
      </c>
      <c r="P43" s="69">
        <f t="shared" si="2"/>
        <v>2212.66</v>
      </c>
      <c r="Q43" s="69">
        <f t="shared" si="3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B43" s="66"/>
    </row>
    <row r="44" spans="1:28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8"/>
        <v>0</v>
      </c>
      <c r="O44" s="73">
        <f t="shared" si="8"/>
        <v>0</v>
      </c>
      <c r="P44" s="74">
        <f t="shared" si="2"/>
        <v>0</v>
      </c>
      <c r="Q44" s="74">
        <f t="shared" si="3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B44" s="73"/>
    </row>
    <row r="45" spans="1:28" hidden="1" x14ac:dyDescent="0.35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9">ROUND(SUM(H40:H44),5)</f>
        <v>5918.6</v>
      </c>
      <c r="I45" s="63">
        <f t="shared" si="9"/>
        <v>27950</v>
      </c>
      <c r="J45" s="64">
        <f t="shared" si="9"/>
        <v>10455</v>
      </c>
      <c r="K45" s="64">
        <f t="shared" si="9"/>
        <v>22248</v>
      </c>
      <c r="L45" s="65">
        <f t="shared" si="9"/>
        <v>9299.01</v>
      </c>
      <c r="M45" s="65">
        <f t="shared" si="9"/>
        <v>10710</v>
      </c>
      <c r="N45" s="66">
        <f t="shared" si="8"/>
        <v>25672.61</v>
      </c>
      <c r="O45" s="66">
        <f t="shared" si="8"/>
        <v>60908</v>
      </c>
      <c r="P45" s="69">
        <f t="shared" si="2"/>
        <v>8557.5366666666669</v>
      </c>
      <c r="Q45" s="69">
        <f t="shared" si="3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B45" s="66">
        <f>ROUND(SUM(AB40:AB44),5)</f>
        <v>0</v>
      </c>
    </row>
    <row r="46" spans="1:28" hidden="1" x14ac:dyDescent="0.35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B46" s="66"/>
    </row>
    <row r="47" spans="1:28" hidden="1" x14ac:dyDescent="0.35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N63" si="10">ROUND(H47+J47+L47,5)</f>
        <v>87354.12</v>
      </c>
      <c r="O47" s="66">
        <f t="shared" ref="O47:O63" si="11">ROUND(I47+K47+M47,5)</f>
        <v>72146</v>
      </c>
      <c r="P47" s="69">
        <f t="shared" si="2"/>
        <v>29118.039999999997</v>
      </c>
      <c r="Q47" s="69">
        <f t="shared" si="3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B47" s="66"/>
    </row>
    <row r="48" spans="1:28" hidden="1" x14ac:dyDescent="0.35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0"/>
        <v>12866.68</v>
      </c>
      <c r="O48" s="66">
        <f t="shared" si="11"/>
        <v>23176</v>
      </c>
      <c r="P48" s="69">
        <f t="shared" si="2"/>
        <v>4288.8933333333334</v>
      </c>
      <c r="Q48" s="69">
        <f t="shared" si="3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B48" s="66"/>
    </row>
    <row r="49" spans="1:28" hidden="1" x14ac:dyDescent="0.35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0"/>
        <v>1104</v>
      </c>
      <c r="O49" s="66">
        <f t="shared" si="11"/>
        <v>19670</v>
      </c>
      <c r="P49" s="69">
        <f t="shared" si="2"/>
        <v>368</v>
      </c>
      <c r="Q49" s="69">
        <f t="shared" si="3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B49" s="66"/>
    </row>
    <row r="50" spans="1:28" hidden="1" x14ac:dyDescent="0.35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0"/>
        <v>35352.550000000003</v>
      </c>
      <c r="O50" s="66">
        <f t="shared" si="11"/>
        <v>25225</v>
      </c>
      <c r="P50" s="69">
        <f t="shared" si="2"/>
        <v>11784.183333333334</v>
      </c>
      <c r="Q50" s="69">
        <f t="shared" si="3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B50" s="66"/>
    </row>
    <row r="51" spans="1:28" hidden="1" x14ac:dyDescent="0.35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0"/>
        <v>3884.55</v>
      </c>
      <c r="O51" s="66">
        <f t="shared" si="11"/>
        <v>1190</v>
      </c>
      <c r="P51" s="69">
        <f t="shared" si="2"/>
        <v>1294.8500000000001</v>
      </c>
      <c r="Q51" s="69">
        <f t="shared" si="3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B51" s="66"/>
    </row>
    <row r="52" spans="1:28" hidden="1" x14ac:dyDescent="0.35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0"/>
        <v>3960</v>
      </c>
      <c r="O52" s="66">
        <f t="shared" si="11"/>
        <v>11560</v>
      </c>
      <c r="P52" s="69">
        <f t="shared" si="2"/>
        <v>1320</v>
      </c>
      <c r="Q52" s="69">
        <f t="shared" si="3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B52" s="66"/>
    </row>
    <row r="53" spans="1:28" hidden="1" x14ac:dyDescent="0.35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0"/>
        <v>546</v>
      </c>
      <c r="O53" s="66">
        <f t="shared" si="11"/>
        <v>10387</v>
      </c>
      <c r="P53" s="69">
        <f t="shared" si="2"/>
        <v>182</v>
      </c>
      <c r="Q53" s="69">
        <f t="shared" si="3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B53" s="66"/>
    </row>
    <row r="54" spans="1:28" hidden="1" x14ac:dyDescent="0.35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0"/>
        <v>8740.36</v>
      </c>
      <c r="O54" s="66">
        <f t="shared" si="11"/>
        <v>19808</v>
      </c>
      <c r="P54" s="69">
        <f t="shared" si="2"/>
        <v>2913.4533333333334</v>
      </c>
      <c r="Q54" s="69">
        <f t="shared" si="3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B54" s="66"/>
    </row>
    <row r="55" spans="1:28" hidden="1" x14ac:dyDescent="0.35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0"/>
        <v>594</v>
      </c>
      <c r="O55" s="66">
        <f t="shared" si="11"/>
        <v>24884</v>
      </c>
      <c r="P55" s="69">
        <f t="shared" si="2"/>
        <v>198</v>
      </c>
      <c r="Q55" s="69">
        <f t="shared" si="3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B55" s="66"/>
    </row>
    <row r="56" spans="1:28" hidden="1" x14ac:dyDescent="0.35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0"/>
        <v>690</v>
      </c>
      <c r="O56" s="66">
        <f t="shared" si="11"/>
        <v>5419</v>
      </c>
      <c r="P56" s="69">
        <f t="shared" si="2"/>
        <v>230</v>
      </c>
      <c r="Q56" s="69">
        <f t="shared" si="3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B56" s="66"/>
    </row>
    <row r="57" spans="1:28" hidden="1" x14ac:dyDescent="0.35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0"/>
        <v>1413.6</v>
      </c>
      <c r="O57" s="66">
        <f t="shared" si="11"/>
        <v>27552</v>
      </c>
      <c r="P57" s="69">
        <f t="shared" si="2"/>
        <v>471.2</v>
      </c>
      <c r="Q57" s="69">
        <f t="shared" si="3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B57" s="66"/>
    </row>
    <row r="58" spans="1:28" hidden="1" x14ac:dyDescent="0.35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0"/>
        <v>174920.21</v>
      </c>
      <c r="O58" s="66">
        <f t="shared" si="11"/>
        <v>143746</v>
      </c>
      <c r="P58" s="69">
        <f t="shared" si="2"/>
        <v>58306.736666666664</v>
      </c>
      <c r="Q58" s="69">
        <f t="shared" si="3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B58" s="66"/>
    </row>
    <row r="59" spans="1:28" hidden="1" x14ac:dyDescent="0.35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0"/>
        <v>12307.07</v>
      </c>
      <c r="O59" s="66">
        <f t="shared" si="11"/>
        <v>24217</v>
      </c>
      <c r="P59" s="69">
        <f t="shared" si="2"/>
        <v>4102.3566666666666</v>
      </c>
      <c r="Q59" s="69">
        <f t="shared" si="3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B59" s="66"/>
    </row>
    <row r="60" spans="1:28" hidden="1" x14ac:dyDescent="0.35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0"/>
        <v>23322.21</v>
      </c>
      <c r="O60" s="66">
        <f t="shared" si="11"/>
        <v>22992</v>
      </c>
      <c r="P60" s="69">
        <f t="shared" si="2"/>
        <v>7774.07</v>
      </c>
      <c r="Q60" s="69">
        <f t="shared" si="3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B60" s="66"/>
    </row>
    <row r="61" spans="1:28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0"/>
        <v>4553.9799999999996</v>
      </c>
      <c r="O61" s="73">
        <f t="shared" si="11"/>
        <v>0</v>
      </c>
      <c r="P61" s="74">
        <f t="shared" si="2"/>
        <v>1517.9933333333331</v>
      </c>
      <c r="Q61" s="74">
        <f t="shared" si="3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B61" s="73"/>
    </row>
    <row r="62" spans="1:28" hidden="1" x14ac:dyDescent="0.35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2">ROUND(SUM(H46:H61),5)</f>
        <v>137372.26</v>
      </c>
      <c r="I62" s="63">
        <f t="shared" si="12"/>
        <v>73450</v>
      </c>
      <c r="J62" s="64">
        <f t="shared" si="12"/>
        <v>111914.03</v>
      </c>
      <c r="K62" s="64">
        <f t="shared" si="12"/>
        <v>203796</v>
      </c>
      <c r="L62" s="65">
        <f t="shared" si="12"/>
        <v>122323.04</v>
      </c>
      <c r="M62" s="65">
        <f t="shared" si="12"/>
        <v>154726</v>
      </c>
      <c r="N62" s="66">
        <f t="shared" si="10"/>
        <v>371609.33</v>
      </c>
      <c r="O62" s="66">
        <f t="shared" si="11"/>
        <v>431972</v>
      </c>
      <c r="P62" s="69">
        <f t="shared" si="2"/>
        <v>123869.77666666667</v>
      </c>
      <c r="Q62" s="69">
        <f t="shared" si="3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B62" s="66">
        <f>ROUND(SUM(AB46:AB61),5)</f>
        <v>0</v>
      </c>
    </row>
    <row r="63" spans="1:28" hidden="1" x14ac:dyDescent="0.35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0"/>
        <v>34181.74</v>
      </c>
      <c r="O63" s="66">
        <f t="shared" si="11"/>
        <v>66123.38</v>
      </c>
      <c r="P63" s="69">
        <f t="shared" si="2"/>
        <v>11393.913333333332</v>
      </c>
      <c r="Q63" s="69">
        <f t="shared" si="3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B63" s="66"/>
    </row>
    <row r="64" spans="1:28" hidden="1" x14ac:dyDescent="0.35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B64" s="66"/>
    </row>
    <row r="65" spans="1:28" hidden="1" x14ac:dyDescent="0.35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13">ROUND(H65+J65+L65,5)</f>
        <v>106817.3</v>
      </c>
      <c r="O65" s="66">
        <f t="shared" si="13"/>
        <v>56558</v>
      </c>
      <c r="P65" s="69">
        <f t="shared" si="2"/>
        <v>35605.76666666667</v>
      </c>
      <c r="Q65" s="69">
        <f t="shared" si="3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B65" s="66"/>
    </row>
    <row r="66" spans="1:28" hidden="1" x14ac:dyDescent="0.35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13"/>
        <v>63970.64</v>
      </c>
      <c r="O66" s="66">
        <f t="shared" si="13"/>
        <v>68284</v>
      </c>
      <c r="P66" s="69">
        <f t="shared" si="2"/>
        <v>21323.546666666665</v>
      </c>
      <c r="Q66" s="69">
        <f t="shared" si="3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B66" s="66"/>
    </row>
    <row r="67" spans="1:28" hidden="1" x14ac:dyDescent="0.35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13"/>
        <v>1794</v>
      </c>
      <c r="O67" s="66">
        <f t="shared" si="13"/>
        <v>15153</v>
      </c>
      <c r="P67" s="69">
        <f t="shared" si="2"/>
        <v>598</v>
      </c>
      <c r="Q67" s="69">
        <f t="shared" si="3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B67" s="66"/>
    </row>
    <row r="68" spans="1:28" hidden="1" x14ac:dyDescent="0.35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13"/>
        <v>22842.29</v>
      </c>
      <c r="O68" s="66">
        <f t="shared" si="13"/>
        <v>61166</v>
      </c>
      <c r="P68" s="69">
        <f t="shared" si="2"/>
        <v>7614.0966666666673</v>
      </c>
      <c r="Q68" s="69">
        <f t="shared" si="3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B68" s="66"/>
    </row>
    <row r="69" spans="1:28" hidden="1" x14ac:dyDescent="0.35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13"/>
        <v>9232</v>
      </c>
      <c r="O69" s="66">
        <f t="shared" si="13"/>
        <v>16972</v>
      </c>
      <c r="P69" s="69">
        <f t="shared" si="2"/>
        <v>3077.3333333333335</v>
      </c>
      <c r="Q69" s="69">
        <f t="shared" si="3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B69" s="66"/>
    </row>
    <row r="70" spans="1:28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13"/>
        <v>11879.44</v>
      </c>
      <c r="O70" s="73">
        <f t="shared" si="13"/>
        <v>43386</v>
      </c>
      <c r="P70" s="74">
        <f t="shared" si="2"/>
        <v>3959.8133333333335</v>
      </c>
      <c r="Q70" s="74">
        <f t="shared" si="3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B70" s="73"/>
    </row>
    <row r="71" spans="1:28" hidden="1" x14ac:dyDescent="0.35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14">ROUND(SUM(H64:H70),5)</f>
        <v>53816.6</v>
      </c>
      <c r="I71" s="63">
        <f t="shared" si="14"/>
        <v>52052</v>
      </c>
      <c r="J71" s="64">
        <f t="shared" si="14"/>
        <v>74785.06</v>
      </c>
      <c r="K71" s="64">
        <f t="shared" si="14"/>
        <v>127356</v>
      </c>
      <c r="L71" s="65">
        <f t="shared" si="14"/>
        <v>87934.01</v>
      </c>
      <c r="M71" s="65">
        <f t="shared" si="14"/>
        <v>82111</v>
      </c>
      <c r="N71" s="66">
        <f t="shared" si="13"/>
        <v>216535.67</v>
      </c>
      <c r="O71" s="66">
        <f t="shared" si="13"/>
        <v>261519</v>
      </c>
      <c r="P71" s="69">
        <f t="shared" si="2"/>
        <v>72178.556666666671</v>
      </c>
      <c r="Q71" s="69">
        <f t="shared" si="3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B71" s="66">
        <f>ROUND(SUM(AB64:AB70),5)</f>
        <v>0</v>
      </c>
    </row>
    <row r="72" spans="1:28" hidden="1" x14ac:dyDescent="0.35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B72" s="66"/>
    </row>
    <row r="73" spans="1:28" hidden="1" x14ac:dyDescent="0.35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15">ROUND(H73+J73+L73,5)</f>
        <v>5364.31</v>
      </c>
      <c r="O73" s="66">
        <f t="shared" si="15"/>
        <v>9909</v>
      </c>
      <c r="P73" s="69">
        <f t="shared" si="2"/>
        <v>1788.1033333333335</v>
      </c>
      <c r="Q73" s="69">
        <f t="shared" si="3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B73" s="66"/>
    </row>
    <row r="74" spans="1:28" hidden="1" x14ac:dyDescent="0.35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15"/>
        <v>46000.91</v>
      </c>
      <c r="O74" s="66">
        <f t="shared" si="15"/>
        <v>29903</v>
      </c>
      <c r="P74" s="69">
        <f t="shared" si="2"/>
        <v>15333.636666666667</v>
      </c>
      <c r="Q74" s="69">
        <f t="shared" si="3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B74" s="66"/>
    </row>
    <row r="75" spans="1:28" hidden="1" x14ac:dyDescent="0.35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15"/>
        <v>0</v>
      </c>
      <c r="O75" s="66">
        <f t="shared" si="15"/>
        <v>31248</v>
      </c>
      <c r="P75" s="69">
        <f t="shared" ref="P75:P137" si="16">N75/3</f>
        <v>0</v>
      </c>
      <c r="Q75" s="69">
        <f t="shared" ref="Q75:Q137" si="17">O75/3</f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B75" s="66"/>
    </row>
    <row r="76" spans="1:28" hidden="1" x14ac:dyDescent="0.35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15"/>
        <v>29409.79</v>
      </c>
      <c r="O76" s="66">
        <f t="shared" si="15"/>
        <v>27007</v>
      </c>
      <c r="P76" s="69">
        <f t="shared" si="16"/>
        <v>9803.2633333333342</v>
      </c>
      <c r="Q76" s="69">
        <f t="shared" si="17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B76" s="66"/>
    </row>
    <row r="77" spans="1:28" hidden="1" x14ac:dyDescent="0.35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15"/>
        <v>3458.77</v>
      </c>
      <c r="O77" s="66">
        <f t="shared" si="15"/>
        <v>7965</v>
      </c>
      <c r="P77" s="69">
        <f t="shared" si="16"/>
        <v>1152.9233333333334</v>
      </c>
      <c r="Q77" s="69">
        <f t="shared" si="17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B77" s="66"/>
    </row>
    <row r="78" spans="1:28" hidden="1" x14ac:dyDescent="0.35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15"/>
        <v>21632.07</v>
      </c>
      <c r="O78" s="66">
        <f t="shared" si="15"/>
        <v>25676</v>
      </c>
      <c r="P78" s="69">
        <f t="shared" si="16"/>
        <v>7210.69</v>
      </c>
      <c r="Q78" s="69">
        <f t="shared" si="17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B78" s="66"/>
    </row>
    <row r="79" spans="1:28" hidden="1" x14ac:dyDescent="0.35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15"/>
        <v>966</v>
      </c>
      <c r="O79" s="66">
        <f t="shared" si="15"/>
        <v>3588</v>
      </c>
      <c r="P79" s="69">
        <f t="shared" si="16"/>
        <v>322</v>
      </c>
      <c r="Q79" s="69">
        <f t="shared" si="17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B79" s="66"/>
    </row>
    <row r="80" spans="1:28" hidden="1" x14ac:dyDescent="0.35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15"/>
        <v>0</v>
      </c>
      <c r="O80" s="66">
        <f t="shared" si="15"/>
        <v>3901</v>
      </c>
      <c r="P80" s="69">
        <f t="shared" si="16"/>
        <v>0</v>
      </c>
      <c r="Q80" s="69">
        <f t="shared" si="17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B80" s="66"/>
    </row>
    <row r="81" spans="1:28" hidden="1" x14ac:dyDescent="0.35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ref="P81" si="18">N81/3</f>
        <v>0</v>
      </c>
      <c r="Q81" s="69">
        <f t="shared" ref="Q81" si="19">O81/3</f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B81" s="66"/>
    </row>
    <row r="82" spans="1:28" hidden="1" x14ac:dyDescent="0.35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0">ROUND(H82+J82+L82,5)</f>
        <v>0</v>
      </c>
      <c r="O82" s="66">
        <f t="shared" si="20"/>
        <v>0</v>
      </c>
      <c r="P82" s="69">
        <f t="shared" si="16"/>
        <v>0</v>
      </c>
      <c r="Q82" s="69">
        <f t="shared" si="17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B82" s="66"/>
    </row>
    <row r="83" spans="1:28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0"/>
        <v>0</v>
      </c>
      <c r="O83" s="73">
        <f t="shared" si="20"/>
        <v>0</v>
      </c>
      <c r="P83" s="74">
        <f t="shared" si="16"/>
        <v>0</v>
      </c>
      <c r="Q83" s="74">
        <f t="shared" si="17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B83" s="73"/>
    </row>
    <row r="84" spans="1:28" hidden="1" x14ac:dyDescent="0.35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1">ROUND(SUM(H72:H83),5)</f>
        <v>39159.980000000003</v>
      </c>
      <c r="I84" s="63">
        <f t="shared" si="21"/>
        <v>39468</v>
      </c>
      <c r="J84" s="64">
        <f t="shared" si="21"/>
        <v>32291.99</v>
      </c>
      <c r="K84" s="64">
        <f t="shared" si="21"/>
        <v>31248</v>
      </c>
      <c r="L84" s="65">
        <f t="shared" si="21"/>
        <v>35379.879999999997</v>
      </c>
      <c r="M84" s="65">
        <f t="shared" si="21"/>
        <v>68481</v>
      </c>
      <c r="N84" s="66">
        <f t="shared" si="20"/>
        <v>106831.85</v>
      </c>
      <c r="O84" s="66">
        <f t="shared" si="20"/>
        <v>139197</v>
      </c>
      <c r="P84" s="69">
        <f t="shared" si="16"/>
        <v>35610.616666666669</v>
      </c>
      <c r="Q84" s="69">
        <f t="shared" si="17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B84" s="66">
        <f>ROUND(SUM(AB72:AB83),5)</f>
        <v>0</v>
      </c>
    </row>
    <row r="85" spans="1:28" hidden="1" x14ac:dyDescent="0.35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B85" s="66"/>
    </row>
    <row r="86" spans="1:28" hidden="1" x14ac:dyDescent="0.35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22">ROUND(H86+J86+L86,5)</f>
        <v>41055.360000000001</v>
      </c>
      <c r="O86" s="66">
        <f t="shared" si="22"/>
        <v>61593</v>
      </c>
      <c r="P86" s="69">
        <f t="shared" si="16"/>
        <v>13685.12</v>
      </c>
      <c r="Q86" s="69">
        <f t="shared" si="17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B86" s="66"/>
    </row>
    <row r="87" spans="1:28" hidden="1" x14ac:dyDescent="0.35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22"/>
        <v>4557.07</v>
      </c>
      <c r="O87" s="66">
        <f t="shared" si="22"/>
        <v>5852</v>
      </c>
      <c r="P87" s="69">
        <f t="shared" si="16"/>
        <v>1519.0233333333333</v>
      </c>
      <c r="Q87" s="69">
        <f t="shared" si="17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B87" s="66"/>
    </row>
    <row r="88" spans="1:28" hidden="1" x14ac:dyDescent="0.35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22"/>
        <v>9699</v>
      </c>
      <c r="O88" s="66">
        <f t="shared" si="22"/>
        <v>58996</v>
      </c>
      <c r="P88" s="69">
        <f t="shared" si="16"/>
        <v>3233</v>
      </c>
      <c r="Q88" s="69">
        <f t="shared" si="17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B88" s="66"/>
    </row>
    <row r="89" spans="1:28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22"/>
        <v>4967.9799999999996</v>
      </c>
      <c r="O89" s="73">
        <f t="shared" si="22"/>
        <v>15466</v>
      </c>
      <c r="P89" s="74">
        <f t="shared" si="16"/>
        <v>1655.9933333333331</v>
      </c>
      <c r="Q89" s="74">
        <f t="shared" si="17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B89" s="73"/>
    </row>
    <row r="90" spans="1:28" hidden="1" x14ac:dyDescent="0.35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23">ROUND(SUM(H85:H89),5)</f>
        <v>20271.38</v>
      </c>
      <c r="I90" s="63">
        <f t="shared" si="23"/>
        <v>42055</v>
      </c>
      <c r="J90" s="64">
        <f t="shared" si="23"/>
        <v>14973.03</v>
      </c>
      <c r="K90" s="64">
        <f t="shared" si="23"/>
        <v>58944</v>
      </c>
      <c r="L90" s="65">
        <f t="shared" si="23"/>
        <v>25035</v>
      </c>
      <c r="M90" s="65">
        <f t="shared" si="23"/>
        <v>40908</v>
      </c>
      <c r="N90" s="66">
        <f t="shared" si="22"/>
        <v>60279.41</v>
      </c>
      <c r="O90" s="66">
        <f t="shared" si="22"/>
        <v>141907</v>
      </c>
      <c r="P90" s="69">
        <f t="shared" si="16"/>
        <v>20093.136666666669</v>
      </c>
      <c r="Q90" s="69">
        <f t="shared" si="17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B90" s="66">
        <f>ROUND(SUM(AB85:AB89),5)</f>
        <v>0</v>
      </c>
    </row>
    <row r="91" spans="1:28" hidden="1" x14ac:dyDescent="0.35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B91" s="66"/>
    </row>
    <row r="92" spans="1:28" hidden="1" x14ac:dyDescent="0.35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N100" si="24">ROUND(H92+J92+L92,5)</f>
        <v>108862.85</v>
      </c>
      <c r="O92" s="66">
        <f t="shared" ref="O92:O100" si="25">ROUND(I92+K92+M92,5)</f>
        <v>69579</v>
      </c>
      <c r="P92" s="69">
        <f t="shared" si="16"/>
        <v>36287.616666666669</v>
      </c>
      <c r="Q92" s="69">
        <f t="shared" si="17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B92" s="66"/>
    </row>
    <row r="93" spans="1:28" hidden="1" x14ac:dyDescent="0.35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24"/>
        <v>14518.12</v>
      </c>
      <c r="O93" s="66">
        <f t="shared" si="25"/>
        <v>19733</v>
      </c>
      <c r="P93" s="69">
        <f t="shared" si="16"/>
        <v>4839.3733333333339</v>
      </c>
      <c r="Q93" s="69">
        <f t="shared" si="17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B93" s="66"/>
    </row>
    <row r="94" spans="1:28" hidden="1" x14ac:dyDescent="0.35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24"/>
        <v>43484.49</v>
      </c>
      <c r="O94" s="66">
        <f t="shared" si="25"/>
        <v>62432</v>
      </c>
      <c r="P94" s="69">
        <f t="shared" si="16"/>
        <v>14494.83</v>
      </c>
      <c r="Q94" s="69">
        <f t="shared" si="17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B94" s="66"/>
    </row>
    <row r="95" spans="1:28" hidden="1" x14ac:dyDescent="0.35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24"/>
        <v>4211.0600000000004</v>
      </c>
      <c r="O95" s="66">
        <f t="shared" si="25"/>
        <v>13454</v>
      </c>
      <c r="P95" s="69">
        <f t="shared" si="16"/>
        <v>1403.6866666666667</v>
      </c>
      <c r="Q95" s="69">
        <f t="shared" si="17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B95" s="66"/>
    </row>
    <row r="96" spans="1:28" hidden="1" x14ac:dyDescent="0.35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24"/>
        <v>49443.53</v>
      </c>
      <c r="O96" s="66">
        <f t="shared" si="25"/>
        <v>34119</v>
      </c>
      <c r="P96" s="69">
        <f t="shared" si="16"/>
        <v>16481.176666666666</v>
      </c>
      <c r="Q96" s="69">
        <f t="shared" si="17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B96" s="66"/>
    </row>
    <row r="97" spans="1:28" hidden="1" x14ac:dyDescent="0.35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24"/>
        <v>5328.03</v>
      </c>
      <c r="O97" s="66">
        <f t="shared" si="25"/>
        <v>7526</v>
      </c>
      <c r="P97" s="69">
        <f t="shared" si="16"/>
        <v>1776.01</v>
      </c>
      <c r="Q97" s="69">
        <f t="shared" si="17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B97" s="66"/>
    </row>
    <row r="98" spans="1:28" hidden="1" x14ac:dyDescent="0.35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24"/>
        <v>63633.29</v>
      </c>
      <c r="O98" s="66">
        <f t="shared" si="25"/>
        <v>69145</v>
      </c>
      <c r="P98" s="69">
        <f t="shared" si="16"/>
        <v>21211.096666666668</v>
      </c>
      <c r="Q98" s="69">
        <f t="shared" si="17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B98" s="66"/>
    </row>
    <row r="99" spans="1:28" hidden="1" x14ac:dyDescent="0.35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24"/>
        <v>7554.05</v>
      </c>
      <c r="O99" s="66">
        <f t="shared" si="25"/>
        <v>16058</v>
      </c>
      <c r="P99" s="69">
        <f t="shared" si="16"/>
        <v>2518.0166666666669</v>
      </c>
      <c r="Q99" s="69">
        <f t="shared" si="17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B99" s="66"/>
    </row>
    <row r="100" spans="1:28" hidden="1" x14ac:dyDescent="0.35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24"/>
        <v>5514</v>
      </c>
      <c r="O100" s="66">
        <f t="shared" si="25"/>
        <v>12319</v>
      </c>
      <c r="P100" s="69">
        <f t="shared" si="16"/>
        <v>1838</v>
      </c>
      <c r="Q100" s="69">
        <f t="shared" si="17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B100" s="66"/>
    </row>
    <row r="101" spans="1:28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B101" s="73"/>
    </row>
    <row r="102" spans="1:28" hidden="1" x14ac:dyDescent="0.35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26">ROUND(SUM(H91:H100),5)</f>
        <v>81944.17</v>
      </c>
      <c r="I102" s="63">
        <f t="shared" si="26"/>
        <v>70005</v>
      </c>
      <c r="J102" s="64">
        <f t="shared" si="26"/>
        <v>112983.21</v>
      </c>
      <c r="K102" s="64">
        <f t="shared" si="26"/>
        <v>122376</v>
      </c>
      <c r="L102" s="65">
        <f t="shared" si="26"/>
        <v>107622.04</v>
      </c>
      <c r="M102" s="65">
        <f t="shared" si="26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16"/>
        <v>100849.80666666666</v>
      </c>
      <c r="Q102" s="69">
        <f t="shared" si="17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B102" s="66">
        <f>ROUND(SUM(AB91:AB101),5)</f>
        <v>0</v>
      </c>
    </row>
    <row r="103" spans="1:28" hidden="1" x14ac:dyDescent="0.35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16"/>
        <v>0</v>
      </c>
      <c r="Q103" s="69">
        <f t="shared" si="17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B103" s="66"/>
    </row>
    <row r="104" spans="1:28" hidden="1" x14ac:dyDescent="0.35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N111" si="27">ROUND(H104+J104+L104,5)</f>
        <v>74439.240000000005</v>
      </c>
      <c r="O104" s="66">
        <f t="shared" ref="O104:O111" si="28">ROUND(I104+K104+M104,5)</f>
        <v>63264</v>
      </c>
      <c r="P104" s="69">
        <f t="shared" si="16"/>
        <v>24813.08</v>
      </c>
      <c r="Q104" s="69">
        <f t="shared" si="17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B104" s="66"/>
    </row>
    <row r="105" spans="1:28" hidden="1" x14ac:dyDescent="0.35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27"/>
        <v>13570.83</v>
      </c>
      <c r="O105" s="66">
        <f t="shared" si="28"/>
        <v>26229</v>
      </c>
      <c r="P105" s="69">
        <f t="shared" si="16"/>
        <v>4523.6099999999997</v>
      </c>
      <c r="Q105" s="69">
        <f t="shared" si="17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B105" s="66"/>
    </row>
    <row r="106" spans="1:28" hidden="1" x14ac:dyDescent="0.35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27"/>
        <v>31132.720000000001</v>
      </c>
      <c r="O106" s="66">
        <f t="shared" si="28"/>
        <v>23118</v>
      </c>
      <c r="P106" s="69">
        <f t="shared" si="16"/>
        <v>10377.573333333334</v>
      </c>
      <c r="Q106" s="69">
        <f t="shared" si="17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B106" s="66"/>
    </row>
    <row r="107" spans="1:28" hidden="1" x14ac:dyDescent="0.35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27"/>
        <v>5105.97</v>
      </c>
      <c r="O107" s="66">
        <f t="shared" si="28"/>
        <v>7489</v>
      </c>
      <c r="P107" s="69">
        <f t="shared" si="16"/>
        <v>1701.99</v>
      </c>
      <c r="Q107" s="69">
        <f t="shared" si="17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B107" s="66"/>
    </row>
    <row r="108" spans="1:28" hidden="1" x14ac:dyDescent="0.35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27"/>
        <v>60762.3</v>
      </c>
      <c r="O108" s="66">
        <f t="shared" si="28"/>
        <v>41781</v>
      </c>
      <c r="P108" s="69">
        <f t="shared" si="16"/>
        <v>20254.100000000002</v>
      </c>
      <c r="Q108" s="69">
        <f t="shared" si="17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B108" s="66"/>
    </row>
    <row r="109" spans="1:28" hidden="1" x14ac:dyDescent="0.35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27"/>
        <v>20355.89</v>
      </c>
      <c r="O109" s="66">
        <f t="shared" si="28"/>
        <v>5382</v>
      </c>
      <c r="P109" s="69">
        <f t="shared" si="16"/>
        <v>6785.2966666666662</v>
      </c>
      <c r="Q109" s="69">
        <f t="shared" si="17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B109" s="66"/>
    </row>
    <row r="110" spans="1:28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27"/>
        <v>3399.97</v>
      </c>
      <c r="O110" s="66">
        <f t="shared" si="28"/>
        <v>0</v>
      </c>
      <c r="P110" s="69">
        <f t="shared" si="16"/>
        <v>1133.3233333333333</v>
      </c>
      <c r="Q110" s="69">
        <f t="shared" si="17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B110" s="66"/>
    </row>
    <row r="111" spans="1:28" hidden="1" x14ac:dyDescent="0.35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29">ROUND(SUM(H103:H110),5)</f>
        <v>59018.03</v>
      </c>
      <c r="I111" s="75">
        <f t="shared" si="29"/>
        <v>31525</v>
      </c>
      <c r="J111" s="76">
        <f t="shared" si="29"/>
        <v>66518.98</v>
      </c>
      <c r="K111" s="76">
        <f t="shared" si="29"/>
        <v>44976</v>
      </c>
      <c r="L111" s="77">
        <f t="shared" si="29"/>
        <v>83229.91</v>
      </c>
      <c r="M111" s="77">
        <f t="shared" si="29"/>
        <v>90762</v>
      </c>
      <c r="N111" s="78">
        <f t="shared" si="27"/>
        <v>208766.92</v>
      </c>
      <c r="O111" s="78">
        <f t="shared" si="28"/>
        <v>167263</v>
      </c>
      <c r="P111" s="79">
        <f t="shared" si="16"/>
        <v>69588.973333333342</v>
      </c>
      <c r="Q111" s="79">
        <f t="shared" si="17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B111" s="78">
        <f>ROUND(SUM(AB103:AB110),5)</f>
        <v>0</v>
      </c>
    </row>
    <row r="112" spans="1:28" hidden="1" x14ac:dyDescent="0.35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16"/>
        <v>0</v>
      </c>
      <c r="Q112" s="69">
        <f t="shared" si="17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B112" s="66"/>
    </row>
    <row r="113" spans="1:28" hidden="1" x14ac:dyDescent="0.35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30">ROUND(H113+J113+L113,5)</f>
        <v>453828.9</v>
      </c>
      <c r="O113" s="66">
        <f t="shared" si="30"/>
        <v>406218</v>
      </c>
      <c r="P113" s="69">
        <f t="shared" si="16"/>
        <v>151276.30000000002</v>
      </c>
      <c r="Q113" s="69">
        <f t="shared" si="17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B113" s="66">
        <v>0</v>
      </c>
    </row>
    <row r="114" spans="1:28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30"/>
        <v>0</v>
      </c>
      <c r="O114" s="73">
        <f t="shared" si="30"/>
        <v>0</v>
      </c>
      <c r="P114" s="74">
        <f t="shared" si="16"/>
        <v>0</v>
      </c>
      <c r="Q114" s="74">
        <f t="shared" si="17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B114" s="66">
        <v>0</v>
      </c>
    </row>
    <row r="115" spans="1:28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31">ROUND(SUM(H112:H114),5)</f>
        <v>57491.4</v>
      </c>
      <c r="I115" s="63">
        <f t="shared" si="31"/>
        <v>406218</v>
      </c>
      <c r="J115" s="64">
        <f t="shared" si="31"/>
        <v>150471.5</v>
      </c>
      <c r="K115" s="64">
        <f t="shared" si="31"/>
        <v>0</v>
      </c>
      <c r="L115" s="65">
        <f t="shared" si="31"/>
        <v>245866</v>
      </c>
      <c r="M115" s="65">
        <f t="shared" si="31"/>
        <v>0</v>
      </c>
      <c r="N115" s="66">
        <f t="shared" si="30"/>
        <v>453828.9</v>
      </c>
      <c r="O115" s="66">
        <f t="shared" si="30"/>
        <v>406218</v>
      </c>
      <c r="P115" s="69">
        <f t="shared" si="16"/>
        <v>151276.30000000002</v>
      </c>
      <c r="Q115" s="69">
        <f t="shared" si="17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B115" s="73">
        <v>0</v>
      </c>
    </row>
    <row r="116" spans="1:28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32">ROUND(H8+H15+H39+H45+SUM(H62:H63)+H71+H84+H90+H102+H111+SUM(H115:H115),5)</f>
        <v>760409.73</v>
      </c>
      <c r="I116" s="75">
        <f t="shared" si="32"/>
        <v>912984</v>
      </c>
      <c r="J116" s="76">
        <f t="shared" si="32"/>
        <v>855809.22</v>
      </c>
      <c r="K116" s="76">
        <f t="shared" si="32"/>
        <v>904615.38</v>
      </c>
      <c r="L116" s="77">
        <f t="shared" si="32"/>
        <v>1036241.61</v>
      </c>
      <c r="M116" s="77">
        <f t="shared" si="32"/>
        <v>926829</v>
      </c>
      <c r="N116" s="78">
        <f t="shared" si="30"/>
        <v>2652460.56</v>
      </c>
      <c r="O116" s="78">
        <f t="shared" si="30"/>
        <v>2744428.38</v>
      </c>
      <c r="P116" s="79">
        <f t="shared" si="16"/>
        <v>884153.52</v>
      </c>
      <c r="Q116" s="79">
        <f t="shared" si="17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B116" s="80">
        <f>ROUND(AB8+AB15+AB39+AB45+SUM(AB62:AB63)+AB71+AB84+AB90+AB102+AB111+SUM(AB115:AB115),5)</f>
        <v>960784.8</v>
      </c>
    </row>
    <row r="117" spans="1:28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16"/>
        <v>0</v>
      </c>
      <c r="Q117" s="69">
        <f t="shared" si="17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B117" s="66"/>
    </row>
    <row r="118" spans="1:28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16"/>
        <v>0</v>
      </c>
      <c r="Q118" s="69">
        <f t="shared" si="17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B118" s="66">
        <v>1043950</v>
      </c>
    </row>
    <row r="119" spans="1:28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33">ROUND(H119+J119+L119,5)</f>
        <v>488400</v>
      </c>
      <c r="O119" s="66">
        <f t="shared" si="33"/>
        <v>485585</v>
      </c>
      <c r="P119" s="69">
        <f t="shared" si="16"/>
        <v>162800</v>
      </c>
      <c r="Q119" s="69">
        <f t="shared" si="17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B119" s="66"/>
    </row>
    <row r="120" spans="1:28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33"/>
        <v>399075</v>
      </c>
      <c r="O120" s="66">
        <f t="shared" si="33"/>
        <v>126010</v>
      </c>
      <c r="P120" s="69">
        <f t="shared" si="16"/>
        <v>133025</v>
      </c>
      <c r="Q120" s="69">
        <f t="shared" si="17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B120" s="66"/>
    </row>
    <row r="121" spans="1:28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33"/>
        <v>265</v>
      </c>
      <c r="O121" s="66">
        <f t="shared" si="33"/>
        <v>0</v>
      </c>
      <c r="P121" s="69">
        <f t="shared" si="16"/>
        <v>88.333333333333329</v>
      </c>
      <c r="Q121" s="69">
        <f t="shared" si="17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B121" s="66"/>
    </row>
    <row r="122" spans="1:28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33"/>
        <v>265</v>
      </c>
      <c r="O122" s="66">
        <f t="shared" si="33"/>
        <v>91390</v>
      </c>
      <c r="P122" s="69">
        <f t="shared" si="16"/>
        <v>88.333333333333329</v>
      </c>
      <c r="Q122" s="69">
        <f t="shared" si="17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B122" s="66"/>
    </row>
    <row r="123" spans="1:28" ht="16" hidden="1" thickBot="1" x14ac:dyDescent="0.4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33"/>
        <v>98830</v>
      </c>
      <c r="O123" s="66">
        <f t="shared" si="33"/>
        <v>125165</v>
      </c>
      <c r="P123" s="69">
        <f t="shared" si="16"/>
        <v>32943.333333333336</v>
      </c>
      <c r="Q123" s="69">
        <f t="shared" si="17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B123" s="66"/>
    </row>
    <row r="124" spans="1:28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34">ROUND(SUM(H118:H123),5)</f>
        <v>322815</v>
      </c>
      <c r="I124" s="75">
        <f t="shared" si="34"/>
        <v>280085</v>
      </c>
      <c r="J124" s="76">
        <f t="shared" si="34"/>
        <v>327395</v>
      </c>
      <c r="K124" s="76">
        <f t="shared" si="34"/>
        <v>231075</v>
      </c>
      <c r="L124" s="77">
        <f t="shared" si="34"/>
        <v>336625</v>
      </c>
      <c r="M124" s="77">
        <f t="shared" si="34"/>
        <v>316990</v>
      </c>
      <c r="N124" s="78">
        <f t="shared" si="33"/>
        <v>986835</v>
      </c>
      <c r="O124" s="78">
        <f t="shared" si="33"/>
        <v>828150</v>
      </c>
      <c r="P124" s="79">
        <f t="shared" si="16"/>
        <v>328945</v>
      </c>
      <c r="Q124" s="79">
        <f t="shared" si="17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B124" s="78">
        <f>ROUND(SUM(AB118:AB123),5)</f>
        <v>1043950</v>
      </c>
    </row>
    <row r="125" spans="1:28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16"/>
        <v>0</v>
      </c>
      <c r="Q125" s="69">
        <f t="shared" si="17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B125" s="66"/>
    </row>
    <row r="126" spans="1:28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35">ROUND(H126+J126+L126,5)</f>
        <v>294615</v>
      </c>
      <c r="O126" s="66">
        <f t="shared" si="35"/>
        <v>236035</v>
      </c>
      <c r="P126" s="69">
        <f t="shared" si="16"/>
        <v>98205</v>
      </c>
      <c r="Q126" s="69">
        <f t="shared" si="17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B126" s="66"/>
    </row>
    <row r="127" spans="1:28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35"/>
        <v>96940</v>
      </c>
      <c r="O127" s="66">
        <f t="shared" si="35"/>
        <v>135795</v>
      </c>
      <c r="P127" s="69">
        <f t="shared" si="16"/>
        <v>32313.333333333332</v>
      </c>
      <c r="Q127" s="69">
        <f t="shared" si="17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B127" s="66"/>
    </row>
    <row r="128" spans="1:28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35"/>
        <v>69790</v>
      </c>
      <c r="O128" s="66">
        <f t="shared" si="35"/>
        <v>111720</v>
      </c>
      <c r="P128" s="69">
        <f t="shared" si="16"/>
        <v>23263.333333333332</v>
      </c>
      <c r="Q128" s="69">
        <f t="shared" si="17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B128" s="66"/>
    </row>
    <row r="129" spans="1:28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35"/>
        <v>81000</v>
      </c>
      <c r="O129" s="73">
        <f t="shared" si="35"/>
        <v>99880</v>
      </c>
      <c r="P129" s="74">
        <f t="shared" si="16"/>
        <v>27000</v>
      </c>
      <c r="Q129" s="74">
        <f t="shared" si="17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B129" s="73"/>
    </row>
    <row r="130" spans="1:28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36">ROUND(SUM(H125:H129),5)</f>
        <v>172910</v>
      </c>
      <c r="I130" s="63">
        <f t="shared" si="36"/>
        <v>222395</v>
      </c>
      <c r="J130" s="64">
        <f t="shared" si="36"/>
        <v>180035</v>
      </c>
      <c r="K130" s="64">
        <f t="shared" si="36"/>
        <v>178545</v>
      </c>
      <c r="L130" s="65">
        <f t="shared" si="36"/>
        <v>189400</v>
      </c>
      <c r="M130" s="65">
        <f t="shared" si="36"/>
        <v>182490</v>
      </c>
      <c r="N130" s="66">
        <f t="shared" si="35"/>
        <v>542345</v>
      </c>
      <c r="O130" s="66">
        <f t="shared" si="35"/>
        <v>583430</v>
      </c>
      <c r="P130" s="69">
        <f t="shared" si="16"/>
        <v>180781.66666666666</v>
      </c>
      <c r="Q130" s="69">
        <f t="shared" si="17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B130" s="66">
        <f>ROUND(SUM(AB125:AB129),5)</f>
        <v>0</v>
      </c>
    </row>
    <row r="131" spans="1:28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16"/>
        <v>0</v>
      </c>
      <c r="Q131" s="69">
        <f t="shared" si="17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B131" s="66"/>
    </row>
    <row r="132" spans="1:28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37">ROUND(H132+J132+L132,5)</f>
        <v>59355</v>
      </c>
      <c r="O132" s="66">
        <f t="shared" si="37"/>
        <v>117110</v>
      </c>
      <c r="P132" s="69">
        <f t="shared" si="16"/>
        <v>19785</v>
      </c>
      <c r="Q132" s="69">
        <f t="shared" si="17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B132" s="66"/>
    </row>
    <row r="133" spans="1:28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37"/>
        <v>22765</v>
      </c>
      <c r="O133" s="66">
        <f t="shared" si="37"/>
        <v>58385</v>
      </c>
      <c r="P133" s="69">
        <f t="shared" si="16"/>
        <v>7588.333333333333</v>
      </c>
      <c r="Q133" s="69">
        <f t="shared" si="17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B133" s="66"/>
    </row>
    <row r="134" spans="1:28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37"/>
        <v>55100</v>
      </c>
      <c r="O134" s="73">
        <f t="shared" si="37"/>
        <v>63285</v>
      </c>
      <c r="P134" s="74">
        <f t="shared" si="16"/>
        <v>18366.666666666668</v>
      </c>
      <c r="Q134" s="74">
        <f t="shared" si="17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B134" s="73"/>
    </row>
    <row r="135" spans="1:28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38">ROUND(SUM(H131:H134),5)</f>
        <v>47660</v>
      </c>
      <c r="I135" s="63">
        <f t="shared" si="38"/>
        <v>89480</v>
      </c>
      <c r="J135" s="64">
        <f t="shared" si="38"/>
        <v>50325</v>
      </c>
      <c r="K135" s="64">
        <f t="shared" si="38"/>
        <v>95015</v>
      </c>
      <c r="L135" s="65">
        <f t="shared" si="38"/>
        <v>39235</v>
      </c>
      <c r="M135" s="65">
        <f t="shared" si="38"/>
        <v>54285</v>
      </c>
      <c r="N135" s="66">
        <f t="shared" si="37"/>
        <v>137220</v>
      </c>
      <c r="O135" s="66">
        <f t="shared" si="37"/>
        <v>238780</v>
      </c>
      <c r="P135" s="69">
        <f t="shared" si="16"/>
        <v>45740</v>
      </c>
      <c r="Q135" s="69">
        <f t="shared" si="17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B135" s="66">
        <f>ROUND(SUM(AB131:AB134),5)</f>
        <v>0</v>
      </c>
    </row>
    <row r="136" spans="1:28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16"/>
        <v>0</v>
      </c>
      <c r="Q136" s="69">
        <f t="shared" si="17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B136" s="66"/>
    </row>
    <row r="137" spans="1:28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39">ROUND(H137+J137+L137,5)</f>
        <v>139495</v>
      </c>
      <c r="O137" s="66">
        <f t="shared" si="39"/>
        <v>160315</v>
      </c>
      <c r="P137" s="69">
        <f t="shared" si="16"/>
        <v>46498.333333333336</v>
      </c>
      <c r="Q137" s="69">
        <f t="shared" si="17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B137" s="66"/>
    </row>
    <row r="138" spans="1:28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39"/>
        <v>11925</v>
      </c>
      <c r="O138" s="66">
        <f t="shared" si="39"/>
        <v>57525</v>
      </c>
      <c r="P138" s="69">
        <f t="shared" ref="P138:P198" si="40">N138/3</f>
        <v>3975</v>
      </c>
      <c r="Q138" s="69">
        <f t="shared" ref="Q138:Q198" si="41">O138/3</f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B138" s="66"/>
    </row>
    <row r="139" spans="1:28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39"/>
        <v>54560</v>
      </c>
      <c r="O139" s="66">
        <f t="shared" si="39"/>
        <v>80605</v>
      </c>
      <c r="P139" s="69">
        <f t="shared" si="40"/>
        <v>18186.666666666668</v>
      </c>
      <c r="Q139" s="69">
        <f t="shared" si="41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B139" s="66"/>
    </row>
    <row r="140" spans="1:28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39"/>
        <v>35915</v>
      </c>
      <c r="O140" s="73">
        <f t="shared" si="39"/>
        <v>52710</v>
      </c>
      <c r="P140" s="74">
        <f t="shared" si="40"/>
        <v>11971.666666666666</v>
      </c>
      <c r="Q140" s="74">
        <f t="shared" si="41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B140" s="73"/>
    </row>
    <row r="141" spans="1:28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42">ROUND(SUM(H136:H140),5)</f>
        <v>92055</v>
      </c>
      <c r="I141" s="63">
        <f t="shared" si="42"/>
        <v>121215</v>
      </c>
      <c r="J141" s="64">
        <f t="shared" si="42"/>
        <v>73370</v>
      </c>
      <c r="K141" s="64">
        <f t="shared" si="42"/>
        <v>124725</v>
      </c>
      <c r="L141" s="65">
        <f t="shared" si="42"/>
        <v>76470</v>
      </c>
      <c r="M141" s="65">
        <f t="shared" si="42"/>
        <v>105215</v>
      </c>
      <c r="N141" s="66">
        <f t="shared" si="39"/>
        <v>241895</v>
      </c>
      <c r="O141" s="66">
        <f t="shared" si="39"/>
        <v>351155</v>
      </c>
      <c r="P141" s="69">
        <f t="shared" si="40"/>
        <v>80631.666666666672</v>
      </c>
      <c r="Q141" s="69">
        <f t="shared" si="41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B141" s="66">
        <f>ROUND(SUM(AB136:AB140),5)</f>
        <v>0</v>
      </c>
    </row>
    <row r="142" spans="1:28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40"/>
        <v>0</v>
      </c>
      <c r="Q142" s="69">
        <f t="shared" si="41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B142" s="66"/>
    </row>
    <row r="143" spans="1:28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40"/>
        <v>-129721.66666666667</v>
      </c>
      <c r="Q143" s="74">
        <f t="shared" si="41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B143" s="73">
        <v>-116261.69</v>
      </c>
    </row>
    <row r="144" spans="1:28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43">ROUND(SUM(H142:H143),5)</f>
        <v>-125650</v>
      </c>
      <c r="I144" s="63">
        <f t="shared" si="43"/>
        <v>-126150</v>
      </c>
      <c r="J144" s="64">
        <f t="shared" si="43"/>
        <v>-133460</v>
      </c>
      <c r="K144" s="64">
        <f t="shared" si="43"/>
        <v>-130115.02</v>
      </c>
      <c r="L144" s="65">
        <f t="shared" si="43"/>
        <v>-130055</v>
      </c>
      <c r="M144" s="65">
        <f t="shared" si="43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40"/>
        <v>-129721.66666666667</v>
      </c>
      <c r="Q144" s="69">
        <f t="shared" si="41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B144" s="66">
        <f>ROUND(SUM(AB142:AB143),5)</f>
        <v>-116261.69</v>
      </c>
    </row>
    <row r="145" spans="1:29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40"/>
        <v>0</v>
      </c>
      <c r="Q145" s="69">
        <f t="shared" si="41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B145" s="66"/>
      <c r="AC145" s="81"/>
    </row>
    <row r="146" spans="1:29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44">ROUND(H146+J146+L146,5)</f>
        <v>15355</v>
      </c>
      <c r="O146" s="66">
        <f t="shared" si="44"/>
        <v>40980</v>
      </c>
      <c r="P146" s="69">
        <f t="shared" si="40"/>
        <v>5118.333333333333</v>
      </c>
      <c r="Q146" s="69">
        <f t="shared" si="41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B146" s="66"/>
    </row>
    <row r="147" spans="1:29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44"/>
        <v>11325</v>
      </c>
      <c r="O147" s="66">
        <f t="shared" si="44"/>
        <v>40155</v>
      </c>
      <c r="P147" s="69">
        <f t="shared" si="40"/>
        <v>3775</v>
      </c>
      <c r="Q147" s="69">
        <f t="shared" si="41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B147" s="66"/>
    </row>
    <row r="148" spans="1:29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44"/>
        <v>13910</v>
      </c>
      <c r="O148" s="66">
        <f t="shared" si="44"/>
        <v>41310</v>
      </c>
      <c r="P148" s="69">
        <f t="shared" si="40"/>
        <v>4636.666666666667</v>
      </c>
      <c r="Q148" s="69">
        <f t="shared" si="41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B148" s="66"/>
    </row>
    <row r="149" spans="1:29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44"/>
        <v>14095</v>
      </c>
      <c r="O149" s="66">
        <f t="shared" si="44"/>
        <v>40355</v>
      </c>
      <c r="P149" s="69">
        <f t="shared" si="40"/>
        <v>4698.333333333333</v>
      </c>
      <c r="Q149" s="69">
        <f t="shared" si="41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B149" s="66"/>
    </row>
    <row r="150" spans="1:29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44"/>
        <v>25215</v>
      </c>
      <c r="O150" s="73">
        <f t="shared" si="44"/>
        <v>66355</v>
      </c>
      <c r="P150" s="74">
        <f t="shared" si="40"/>
        <v>8405</v>
      </c>
      <c r="Q150" s="74">
        <f t="shared" si="41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B150" s="73"/>
    </row>
    <row r="151" spans="1:29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45">ROUND(SUM(H145:H150),5)</f>
        <v>28635</v>
      </c>
      <c r="I151" s="63">
        <f t="shared" si="45"/>
        <v>84725</v>
      </c>
      <c r="J151" s="64">
        <f t="shared" si="45"/>
        <v>25420</v>
      </c>
      <c r="K151" s="64">
        <f t="shared" si="45"/>
        <v>100435</v>
      </c>
      <c r="L151" s="65">
        <f t="shared" si="45"/>
        <v>25845</v>
      </c>
      <c r="M151" s="65">
        <f t="shared" si="45"/>
        <v>43995</v>
      </c>
      <c r="N151" s="66">
        <f t="shared" si="44"/>
        <v>79900</v>
      </c>
      <c r="O151" s="66">
        <f t="shared" si="44"/>
        <v>229155</v>
      </c>
      <c r="P151" s="69">
        <f t="shared" si="40"/>
        <v>26633.333333333332</v>
      </c>
      <c r="Q151" s="69">
        <f t="shared" si="41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B151" s="66">
        <f>ROUND(SUM(AB145:AB150),5)</f>
        <v>0</v>
      </c>
    </row>
    <row r="152" spans="1:29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40"/>
        <v>0</v>
      </c>
      <c r="Q152" s="69">
        <f t="shared" si="41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B152" s="66"/>
    </row>
    <row r="153" spans="1:29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46">ROUND(H153+J153+L153,5)</f>
        <v>158780</v>
      </c>
      <c r="O153" s="66">
        <f t="shared" si="46"/>
        <v>106120</v>
      </c>
      <c r="P153" s="69">
        <f t="shared" si="40"/>
        <v>52926.666666666664</v>
      </c>
      <c r="Q153" s="69">
        <f t="shared" si="41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B153" s="66"/>
    </row>
    <row r="154" spans="1:29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46"/>
        <v>0</v>
      </c>
      <c r="O154" s="66">
        <f t="shared" si="46"/>
        <v>0</v>
      </c>
      <c r="P154" s="69">
        <f t="shared" si="40"/>
        <v>0</v>
      </c>
      <c r="Q154" s="69">
        <f t="shared" si="41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B154" s="66"/>
    </row>
    <row r="155" spans="1:29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46"/>
        <v>20005</v>
      </c>
      <c r="O155" s="73">
        <f t="shared" si="46"/>
        <v>57720</v>
      </c>
      <c r="P155" s="74">
        <f t="shared" si="40"/>
        <v>6668.333333333333</v>
      </c>
      <c r="Q155" s="74">
        <f t="shared" si="41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B155" s="73"/>
    </row>
    <row r="156" spans="1:29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47">ROUND(SUM(H152:H155),5)</f>
        <v>49410</v>
      </c>
      <c r="I156" s="63">
        <f t="shared" si="47"/>
        <v>53770</v>
      </c>
      <c r="J156" s="64">
        <f t="shared" si="47"/>
        <v>64775</v>
      </c>
      <c r="K156" s="64">
        <f t="shared" si="47"/>
        <v>53565</v>
      </c>
      <c r="L156" s="65">
        <f t="shared" si="47"/>
        <v>64600</v>
      </c>
      <c r="M156" s="65">
        <f t="shared" si="47"/>
        <v>56505</v>
      </c>
      <c r="N156" s="66">
        <f t="shared" si="46"/>
        <v>178785</v>
      </c>
      <c r="O156" s="66">
        <f t="shared" si="46"/>
        <v>163840</v>
      </c>
      <c r="P156" s="69">
        <f t="shared" si="40"/>
        <v>59595</v>
      </c>
      <c r="Q156" s="69">
        <f t="shared" si="41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B156" s="66">
        <f>ROUND(SUM(AB152:AB155),5)</f>
        <v>0</v>
      </c>
    </row>
    <row r="157" spans="1:29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40"/>
        <v>0</v>
      </c>
      <c r="Q157" s="69">
        <f t="shared" si="41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B157" s="66"/>
    </row>
    <row r="158" spans="1:29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40"/>
        <v>44666.666666666664</v>
      </c>
      <c r="Q158" s="74">
        <f t="shared" si="41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B158" s="73"/>
    </row>
    <row r="159" spans="1:29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48">ROUND(SUM(H157:H158),5)</f>
        <v>40160</v>
      </c>
      <c r="I159" s="63">
        <f t="shared" si="48"/>
        <v>39540</v>
      </c>
      <c r="J159" s="64">
        <f t="shared" si="48"/>
        <v>42655</v>
      </c>
      <c r="K159" s="64">
        <f t="shared" si="48"/>
        <v>40060</v>
      </c>
      <c r="L159" s="65">
        <f t="shared" si="48"/>
        <v>51185</v>
      </c>
      <c r="M159" s="65">
        <f t="shared" si="48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40"/>
        <v>44666.666666666664</v>
      </c>
      <c r="Q159" s="69">
        <f t="shared" si="41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B159" s="66">
        <f>ROUND(SUM(AB157:AB158),5)</f>
        <v>0</v>
      </c>
    </row>
    <row r="160" spans="1:29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40"/>
        <v>0</v>
      </c>
      <c r="Q160" s="69">
        <f t="shared" si="41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B160" s="66"/>
    </row>
    <row r="161" spans="1:29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49">ROUND(H161+J161+L161,5)</f>
        <v>246750</v>
      </c>
      <c r="O161" s="66">
        <f t="shared" si="49"/>
        <v>185670</v>
      </c>
      <c r="P161" s="69">
        <f t="shared" si="40"/>
        <v>82250</v>
      </c>
      <c r="Q161" s="69">
        <f t="shared" si="41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B161" s="66"/>
    </row>
    <row r="162" spans="1:29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49"/>
        <v>151865</v>
      </c>
      <c r="O162" s="66">
        <f t="shared" si="49"/>
        <v>108245</v>
      </c>
      <c r="P162" s="69">
        <f t="shared" si="40"/>
        <v>50621.666666666664</v>
      </c>
      <c r="Q162" s="69">
        <f t="shared" si="41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B162" s="66"/>
    </row>
    <row r="163" spans="1:29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49"/>
        <v>110740</v>
      </c>
      <c r="O163" s="73">
        <f t="shared" si="49"/>
        <v>97550</v>
      </c>
      <c r="P163" s="74">
        <f t="shared" si="40"/>
        <v>36913.333333333336</v>
      </c>
      <c r="Q163" s="74">
        <f t="shared" si="41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B163" s="73"/>
    </row>
    <row r="164" spans="1:29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50">ROUND(SUM(H160:H163),5)</f>
        <v>154940</v>
      </c>
      <c r="I164" s="63">
        <f t="shared" si="50"/>
        <v>123940</v>
      </c>
      <c r="J164" s="64">
        <f t="shared" si="50"/>
        <v>167910</v>
      </c>
      <c r="K164" s="64">
        <f t="shared" si="50"/>
        <v>108130</v>
      </c>
      <c r="L164" s="65">
        <f t="shared" si="50"/>
        <v>186505</v>
      </c>
      <c r="M164" s="65">
        <f t="shared" si="50"/>
        <v>159395</v>
      </c>
      <c r="N164" s="66">
        <f t="shared" si="49"/>
        <v>509355</v>
      </c>
      <c r="O164" s="66">
        <f t="shared" si="49"/>
        <v>391465</v>
      </c>
      <c r="P164" s="69">
        <f t="shared" si="40"/>
        <v>169785</v>
      </c>
      <c r="Q164" s="69">
        <f t="shared" si="41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B164" s="66">
        <f>ROUND(SUM(AB160:AB163),5)</f>
        <v>0</v>
      </c>
    </row>
    <row r="165" spans="1:29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40"/>
        <v>0</v>
      </c>
      <c r="Q165" s="69">
        <f t="shared" si="41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B165" s="66"/>
    </row>
    <row r="166" spans="1:29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51">ROUND(H166+J166+L166,5)</f>
        <v>223285</v>
      </c>
      <c r="O166" s="66">
        <f t="shared" si="51"/>
        <v>112600</v>
      </c>
      <c r="P166" s="69">
        <f t="shared" si="40"/>
        <v>74428.333333333328</v>
      </c>
      <c r="Q166" s="69">
        <f t="shared" si="41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B166" s="66"/>
    </row>
    <row r="167" spans="1:29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51"/>
        <v>1035</v>
      </c>
      <c r="O167" s="73">
        <f t="shared" si="51"/>
        <v>10779.56</v>
      </c>
      <c r="P167" s="74">
        <f t="shared" si="40"/>
        <v>345</v>
      </c>
      <c r="Q167" s="74">
        <f t="shared" si="41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B167" s="73"/>
    </row>
    <row r="168" spans="1:29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52">ROUND(SUM(H165:H167),5)</f>
        <v>66205</v>
      </c>
      <c r="I168" s="63">
        <f t="shared" si="52"/>
        <v>36000</v>
      </c>
      <c r="J168" s="64">
        <f t="shared" si="52"/>
        <v>76590</v>
      </c>
      <c r="K168" s="64">
        <f t="shared" si="52"/>
        <v>32349.56</v>
      </c>
      <c r="L168" s="65">
        <f t="shared" si="52"/>
        <v>81525</v>
      </c>
      <c r="M168" s="65">
        <f t="shared" si="52"/>
        <v>55030</v>
      </c>
      <c r="N168" s="66">
        <f t="shared" si="51"/>
        <v>224320</v>
      </c>
      <c r="O168" s="66">
        <f t="shared" si="51"/>
        <v>123379.56</v>
      </c>
      <c r="P168" s="69">
        <f t="shared" si="40"/>
        <v>74773.333333333328</v>
      </c>
      <c r="Q168" s="69">
        <f t="shared" si="41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B168" s="66">
        <f>ROUND(SUM(AB165:AB167),5)</f>
        <v>0</v>
      </c>
    </row>
    <row r="169" spans="1:29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51"/>
        <v>0</v>
      </c>
      <c r="O169" s="73">
        <f t="shared" si="51"/>
        <v>0</v>
      </c>
      <c r="P169" s="74">
        <f t="shared" si="40"/>
        <v>0</v>
      </c>
      <c r="Q169" s="74">
        <f t="shared" si="41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B169" s="73">
        <v>0</v>
      </c>
    </row>
    <row r="170" spans="1:29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53">ROUND(H117+H124+H130+H135+H141+H144+H151+H156+H159+H164+SUM(H168:H169),5)</f>
        <v>849140</v>
      </c>
      <c r="I170" s="63">
        <f t="shared" si="53"/>
        <v>925000</v>
      </c>
      <c r="J170" s="64">
        <f t="shared" si="53"/>
        <v>875015</v>
      </c>
      <c r="K170" s="64">
        <f t="shared" si="53"/>
        <v>833784.54</v>
      </c>
      <c r="L170" s="65">
        <f t="shared" si="53"/>
        <v>921335</v>
      </c>
      <c r="M170" s="65">
        <f t="shared" si="53"/>
        <v>890121</v>
      </c>
      <c r="N170" s="66">
        <f t="shared" si="51"/>
        <v>2645490</v>
      </c>
      <c r="O170" s="66">
        <f t="shared" si="51"/>
        <v>2648905.54</v>
      </c>
      <c r="P170" s="69">
        <f t="shared" si="40"/>
        <v>881830</v>
      </c>
      <c r="Q170" s="69">
        <f t="shared" si="41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B170" s="80">
        <f>ROUND(AB117+AB124+AB130+AB135+AB141+AB144+AB151+AB156+AB159+AB164+SUM(AB168:AB169),5)</f>
        <v>927688.31</v>
      </c>
    </row>
    <row r="171" spans="1:29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40"/>
        <v>0</v>
      </c>
      <c r="Q171" s="69">
        <f t="shared" si="41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B171" s="66"/>
    </row>
    <row r="172" spans="1:29" ht="43.5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N183" si="54">ROUND(H172+J172+L172,5)</f>
        <v>322169.82</v>
      </c>
      <c r="O172" s="66">
        <f t="shared" ref="O172:O183" si="55">ROUND(I172+K172+M172,5)</f>
        <v>137000</v>
      </c>
      <c r="P172" s="69">
        <f t="shared" si="40"/>
        <v>107389.94</v>
      </c>
      <c r="Q172" s="69">
        <f t="shared" si="41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B172" s="66">
        <v>264250</v>
      </c>
      <c r="AC172" s="102" t="s">
        <v>881</v>
      </c>
    </row>
    <row r="173" spans="1:29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54"/>
        <v>242478.99</v>
      </c>
      <c r="O173" s="66">
        <f t="shared" si="55"/>
        <v>253000</v>
      </c>
      <c r="P173" s="69">
        <f>N173/3</f>
        <v>80826.33</v>
      </c>
      <c r="Q173" s="69">
        <f t="shared" si="41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B173" s="66">
        <f>26750+29750+19500+10625</f>
        <v>86625</v>
      </c>
    </row>
    <row r="174" spans="1:29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54"/>
        <v>7072</v>
      </c>
      <c r="O174" s="66">
        <f t="shared" si="55"/>
        <v>8000</v>
      </c>
      <c r="P174" s="69">
        <f t="shared" si="40"/>
        <v>2357.3333333333335</v>
      </c>
      <c r="Q174" s="69">
        <f t="shared" si="41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B174" s="66">
        <v>0</v>
      </c>
    </row>
    <row r="175" spans="1:29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54"/>
        <v>0</v>
      </c>
      <c r="O175" s="66">
        <f t="shared" si="55"/>
        <v>0</v>
      </c>
      <c r="P175" s="69">
        <f t="shared" si="40"/>
        <v>0</v>
      </c>
      <c r="Q175" s="69">
        <f t="shared" si="41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B175" s="66">
        <v>0</v>
      </c>
    </row>
    <row r="176" spans="1:29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54"/>
        <v>11385</v>
      </c>
      <c r="O176" s="66">
        <f t="shared" si="55"/>
        <v>39800</v>
      </c>
      <c r="P176" s="69">
        <f t="shared" si="40"/>
        <v>3795</v>
      </c>
      <c r="Q176" s="69">
        <f t="shared" si="41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B176" s="66">
        <v>7425</v>
      </c>
    </row>
    <row r="177" spans="1:29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54"/>
        <v>0</v>
      </c>
      <c r="O177" s="66">
        <f t="shared" si="55"/>
        <v>15000</v>
      </c>
      <c r="P177" s="69">
        <f t="shared" si="40"/>
        <v>0</v>
      </c>
      <c r="Q177" s="69">
        <f t="shared" si="41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B177" s="66">
        <v>0</v>
      </c>
      <c r="AC177" s="46">
        <v>1000</v>
      </c>
    </row>
    <row r="178" spans="1:29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54"/>
        <v>3000</v>
      </c>
      <c r="O178" s="66">
        <f t="shared" si="55"/>
        <v>11000</v>
      </c>
      <c r="P178" s="69">
        <f t="shared" si="40"/>
        <v>1000</v>
      </c>
      <c r="Q178" s="69">
        <f t="shared" si="41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B178" s="66">
        <v>0</v>
      </c>
      <c r="AC178" s="111">
        <v>265</v>
      </c>
    </row>
    <row r="179" spans="1:29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54"/>
        <v>56296.39</v>
      </c>
      <c r="O179" s="66">
        <f t="shared" si="55"/>
        <v>28065</v>
      </c>
      <c r="P179" s="69">
        <f t="shared" si="40"/>
        <v>18765.463333333333</v>
      </c>
      <c r="Q179" s="69">
        <f t="shared" si="41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B179" s="66">
        <v>16325</v>
      </c>
      <c r="AC179" s="111">
        <f>AC177*AC178</f>
        <v>265000</v>
      </c>
    </row>
    <row r="180" spans="1:29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54"/>
        <v>9375</v>
      </c>
      <c r="O180" s="66">
        <f t="shared" si="55"/>
        <v>18070</v>
      </c>
      <c r="P180" s="69">
        <f t="shared" si="40"/>
        <v>3125</v>
      </c>
      <c r="Q180" s="69">
        <f t="shared" si="41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B180" s="66">
        <v>10050</v>
      </c>
    </row>
    <row r="181" spans="1:29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54"/>
        <v>5322.15</v>
      </c>
      <c r="O181" s="66">
        <f t="shared" si="55"/>
        <v>4200</v>
      </c>
      <c r="P181" s="69">
        <f t="shared" si="40"/>
        <v>1774.05</v>
      </c>
      <c r="Q181" s="69">
        <f t="shared" si="41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B181" s="66">
        <v>1200</v>
      </c>
    </row>
    <row r="182" spans="1:29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56">ROUND(SUM(H171:H181),5)</f>
        <v>94478.28</v>
      </c>
      <c r="I182" s="83">
        <f t="shared" si="56"/>
        <v>186755</v>
      </c>
      <c r="J182" s="84">
        <f t="shared" si="56"/>
        <v>252523.42</v>
      </c>
      <c r="K182" s="84">
        <f t="shared" si="56"/>
        <v>146000</v>
      </c>
      <c r="L182" s="85">
        <f t="shared" si="56"/>
        <v>310097.65000000002</v>
      </c>
      <c r="M182" s="85">
        <f t="shared" si="56"/>
        <v>181380</v>
      </c>
      <c r="N182" s="86">
        <f t="shared" si="54"/>
        <v>657099.35</v>
      </c>
      <c r="O182" s="86">
        <f t="shared" si="55"/>
        <v>514135</v>
      </c>
      <c r="P182" s="87">
        <f t="shared" si="40"/>
        <v>219033.11666666667</v>
      </c>
      <c r="Q182" s="87">
        <f t="shared" si="41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B182" s="88">
        <f>ROUND(SUM(AB171:AB181),5)</f>
        <v>385875</v>
      </c>
    </row>
    <row r="183" spans="1:29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57">ROUND(H7+H116+H170+H182,5)</f>
        <v>1704028.01</v>
      </c>
      <c r="I183" s="63">
        <f t="shared" si="57"/>
        <v>2024739</v>
      </c>
      <c r="J183" s="64">
        <f t="shared" si="57"/>
        <v>1983347.64</v>
      </c>
      <c r="K183" s="64">
        <f t="shared" si="57"/>
        <v>1884399.92</v>
      </c>
      <c r="L183" s="65">
        <f t="shared" si="57"/>
        <v>2267674.2599999998</v>
      </c>
      <c r="M183" s="65">
        <f t="shared" si="57"/>
        <v>1998330</v>
      </c>
      <c r="N183" s="66">
        <f t="shared" si="54"/>
        <v>5955049.9100000001</v>
      </c>
      <c r="O183" s="66">
        <f t="shared" si="55"/>
        <v>5907468.9199999999</v>
      </c>
      <c r="P183" s="69">
        <f t="shared" si="40"/>
        <v>1985016.6366666667</v>
      </c>
      <c r="Q183" s="69">
        <f t="shared" si="41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B183" s="66">
        <f>ROUND(AB7+AB116+AB170+AB182,5)</f>
        <v>2274348.11</v>
      </c>
    </row>
    <row r="184" spans="1:29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40"/>
        <v>0</v>
      </c>
      <c r="Q184" s="69">
        <f t="shared" si="41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B184" s="66"/>
    </row>
    <row r="185" spans="1:29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58">ROUND(H185+J185+L185,5)</f>
        <v>465847.8</v>
      </c>
      <c r="O185" s="66">
        <f t="shared" si="58"/>
        <v>521768</v>
      </c>
      <c r="P185" s="69">
        <f t="shared" si="40"/>
        <v>155282.6</v>
      </c>
      <c r="Q185" s="69">
        <f t="shared" si="41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B185" s="66">
        <f>ROUND(94796.75, 0)</f>
        <v>94797</v>
      </c>
      <c r="AC185" s="111"/>
    </row>
    <row r="186" spans="1:29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58"/>
        <v>77592.62</v>
      </c>
      <c r="O186" s="66">
        <f t="shared" si="58"/>
        <v>92000</v>
      </c>
      <c r="P186" s="69">
        <f t="shared" si="40"/>
        <v>25864.206666666665</v>
      </c>
      <c r="Q186" s="69">
        <f t="shared" si="41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B186" s="66">
        <v>25000</v>
      </c>
    </row>
    <row r="187" spans="1:29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58"/>
        <v>15133.13</v>
      </c>
      <c r="O187" s="66">
        <f t="shared" si="58"/>
        <v>61000</v>
      </c>
      <c r="P187" s="69">
        <f t="shared" si="40"/>
        <v>5044.3766666666661</v>
      </c>
      <c r="Q187" s="69">
        <f t="shared" si="41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B187" s="66">
        <v>5000</v>
      </c>
    </row>
    <row r="188" spans="1:29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59">ROUND(SUM(H184:H187),5)</f>
        <v>213369.38</v>
      </c>
      <c r="I188" s="75">
        <f t="shared" si="59"/>
        <v>213000</v>
      </c>
      <c r="J188" s="76">
        <f t="shared" si="59"/>
        <v>193755.57</v>
      </c>
      <c r="K188" s="76">
        <f t="shared" si="59"/>
        <v>240000</v>
      </c>
      <c r="L188" s="77">
        <f t="shared" si="59"/>
        <v>151448.6</v>
      </c>
      <c r="M188" s="77">
        <f t="shared" si="59"/>
        <v>221768</v>
      </c>
      <c r="N188" s="78">
        <f t="shared" si="58"/>
        <v>558573.55000000005</v>
      </c>
      <c r="O188" s="78">
        <f t="shared" si="58"/>
        <v>674768</v>
      </c>
      <c r="P188" s="79">
        <f t="shared" si="40"/>
        <v>186191.18333333335</v>
      </c>
      <c r="Q188" s="79">
        <f t="shared" si="41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B188" s="80">
        <f>ROUND(SUM(AB184:AB187),5)</f>
        <v>124797</v>
      </c>
    </row>
    <row r="189" spans="1:29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40"/>
        <v>0</v>
      </c>
      <c r="Q189" s="69">
        <f t="shared" si="41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B189" s="66"/>
    </row>
    <row r="190" spans="1:29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40"/>
        <v>96804.536666666667</v>
      </c>
      <c r="Q190" s="74">
        <f t="shared" si="41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B190" s="73">
        <v>100000</v>
      </c>
    </row>
    <row r="191" spans="1:29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60">ROUND(SUM(H189:H190),5)</f>
        <v>61772.91</v>
      </c>
      <c r="I191" s="63">
        <f t="shared" si="60"/>
        <v>30000</v>
      </c>
      <c r="J191" s="64">
        <f t="shared" si="60"/>
        <v>114884.79</v>
      </c>
      <c r="K191" s="64">
        <f t="shared" si="60"/>
        <v>60000</v>
      </c>
      <c r="L191" s="65">
        <f t="shared" si="60"/>
        <v>113755.91</v>
      </c>
      <c r="M191" s="65">
        <f t="shared" si="60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40"/>
        <v>96804.536666666667</v>
      </c>
      <c r="Q191" s="69">
        <f t="shared" si="41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B191" s="80">
        <f>ROUND(SUM(AB189:AB190),5)</f>
        <v>100000</v>
      </c>
    </row>
    <row r="192" spans="1:29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B192" s="66"/>
    </row>
    <row r="193" spans="1:29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61">ROUND(H193+J193+L193,5)</f>
        <v>333403.68</v>
      </c>
      <c r="O193" s="66">
        <f t="shared" si="61"/>
        <v>338929</v>
      </c>
      <c r="P193" s="69">
        <f t="shared" si="40"/>
        <v>111134.56</v>
      </c>
      <c r="Q193" s="69">
        <f t="shared" si="41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B193" s="66">
        <f>ROUND(142010.17, 0)</f>
        <v>142010</v>
      </c>
    </row>
    <row r="194" spans="1:29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61"/>
        <v>694468.19</v>
      </c>
      <c r="O194" s="66">
        <f t="shared" si="61"/>
        <v>750379</v>
      </c>
      <c r="P194" s="69">
        <f t="shared" si="40"/>
        <v>231489.39666666664</v>
      </c>
      <c r="Q194" s="69">
        <f t="shared" si="41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B194" s="66">
        <v>299000</v>
      </c>
    </row>
    <row r="195" spans="1:29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61"/>
        <v>76944.899999999994</v>
      </c>
      <c r="O195" s="66">
        <f t="shared" si="61"/>
        <v>54756</v>
      </c>
      <c r="P195" s="69">
        <f t="shared" si="40"/>
        <v>25648.3</v>
      </c>
      <c r="Q195" s="69">
        <f t="shared" si="41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B195" s="66">
        <f>(88*12)*25</f>
        <v>26400</v>
      </c>
      <c r="AC195" s="46" t="s">
        <v>849</v>
      </c>
    </row>
    <row r="196" spans="1:29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61"/>
        <v>582630.68999999994</v>
      </c>
      <c r="O196" s="66">
        <f t="shared" si="61"/>
        <v>470773.25</v>
      </c>
      <c r="P196" s="69">
        <f t="shared" si="40"/>
        <v>194210.22999999998</v>
      </c>
      <c r="Q196" s="69">
        <f t="shared" si="41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B196" s="66">
        <f>ROUND(202248.75, 0)</f>
        <v>202249</v>
      </c>
      <c r="AC196" s="110" t="s">
        <v>850</v>
      </c>
    </row>
    <row r="197" spans="1:29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61"/>
        <v>3315663.86</v>
      </c>
      <c r="O197" s="66">
        <f t="shared" si="61"/>
        <v>3738792</v>
      </c>
      <c r="P197" s="69">
        <f t="shared" si="40"/>
        <v>1105221.2866666666</v>
      </c>
      <c r="Q197" s="69">
        <f t="shared" si="41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B197" s="109">
        <v>1247277</v>
      </c>
    </row>
    <row r="198" spans="1:29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62">ROUND(SUM(H192:H197),5)</f>
        <v>1617990.72</v>
      </c>
      <c r="I198" s="75">
        <f t="shared" si="62"/>
        <v>1764843.75</v>
      </c>
      <c r="J198" s="76">
        <f t="shared" si="62"/>
        <v>1649149.39</v>
      </c>
      <c r="K198" s="76">
        <f t="shared" si="62"/>
        <v>1716700</v>
      </c>
      <c r="L198" s="77">
        <f t="shared" si="62"/>
        <v>1735971.21</v>
      </c>
      <c r="M198" s="77">
        <f t="shared" si="62"/>
        <v>1872085.5</v>
      </c>
      <c r="N198" s="78">
        <f t="shared" si="61"/>
        <v>5003111.32</v>
      </c>
      <c r="O198" s="78">
        <f t="shared" si="61"/>
        <v>5353629.25</v>
      </c>
      <c r="P198" s="79">
        <f t="shared" si="40"/>
        <v>1667703.7733333334</v>
      </c>
      <c r="Q198" s="79">
        <f t="shared" si="41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B198" s="80">
        <f>ROUND(SUM(AB192:AB197),5)</f>
        <v>1916936</v>
      </c>
      <c r="AC198" s="81">
        <f>Z198-AB198</f>
        <v>21289</v>
      </c>
    </row>
    <row r="199" spans="1:29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B199" s="66"/>
    </row>
    <row r="200" spans="1:29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P259" si="63">N200/3</f>
        <v>5375.666666666667</v>
      </c>
      <c r="Q200" s="74">
        <f t="shared" ref="Q200:Q259" si="64">O200/3</f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B200" s="73">
        <v>6980</v>
      </c>
      <c r="AC200" s="111">
        <f>AB196+AB197</f>
        <v>1449526</v>
      </c>
    </row>
    <row r="201" spans="1:29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65">ROUND(SUM(H199:H200),5)</f>
        <v>5928</v>
      </c>
      <c r="I201" s="63">
        <f t="shared" si="65"/>
        <v>6321</v>
      </c>
      <c r="J201" s="64">
        <f t="shared" si="65"/>
        <v>4164</v>
      </c>
      <c r="K201" s="64">
        <f t="shared" si="65"/>
        <v>7265</v>
      </c>
      <c r="L201" s="65">
        <f t="shared" si="65"/>
        <v>6035</v>
      </c>
      <c r="M201" s="65">
        <f t="shared" si="65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63"/>
        <v>5375.666666666667</v>
      </c>
      <c r="Q201" s="69">
        <f t="shared" si="64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B201" s="80">
        <f>ROUND(SUM(AB199:AB200),5)</f>
        <v>6980</v>
      </c>
      <c r="AC201" s="111">
        <f>AC200*0.86</f>
        <v>1246592.3599999999</v>
      </c>
    </row>
    <row r="202" spans="1:29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B202" s="66"/>
    </row>
    <row r="203" spans="1:29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63"/>
        <v>4066.6533333333332</v>
      </c>
      <c r="Q203" s="69">
        <f t="shared" si="64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B203" s="66">
        <v>2400</v>
      </c>
    </row>
    <row r="204" spans="1:29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63"/>
        <v>666.66666666666663</v>
      </c>
      <c r="Q204" s="69">
        <f t="shared" si="64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B204" s="66">
        <v>0</v>
      </c>
    </row>
    <row r="205" spans="1:29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63"/>
        <v>330</v>
      </c>
      <c r="Q205" s="69">
        <f t="shared" si="64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B205" s="66">
        <v>210</v>
      </c>
    </row>
    <row r="206" spans="1:29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63"/>
        <v>11731.87</v>
      </c>
      <c r="Q206" s="69">
        <f t="shared" si="64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B206" s="66">
        <v>10000</v>
      </c>
    </row>
    <row r="207" spans="1:29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66">ROUND(SUM(H202:H206),5)</f>
        <v>22749.62</v>
      </c>
      <c r="I207" s="75">
        <f t="shared" si="66"/>
        <v>7950</v>
      </c>
      <c r="J207" s="76">
        <f t="shared" si="66"/>
        <v>10219.52</v>
      </c>
      <c r="K207" s="76">
        <f t="shared" si="66"/>
        <v>2840</v>
      </c>
      <c r="L207" s="77">
        <f t="shared" si="66"/>
        <v>17416.43</v>
      </c>
      <c r="M207" s="77">
        <f t="shared" si="66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63"/>
        <v>16795.189999999999</v>
      </c>
      <c r="Q207" s="79">
        <f t="shared" si="64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B207" s="80">
        <f>ROUND(SUM(AB202:AB206),5)</f>
        <v>12610</v>
      </c>
    </row>
    <row r="208" spans="1:29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B208" s="66"/>
    </row>
    <row r="209" spans="1:29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B209" s="66"/>
    </row>
    <row r="210" spans="1:29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63"/>
        <v>4434.333333333333</v>
      </c>
      <c r="Q210" s="69">
        <f t="shared" si="64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B210" s="66">
        <v>1500</v>
      </c>
    </row>
    <row r="211" spans="1:29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63"/>
        <v>78916.666666666672</v>
      </c>
      <c r="Q211" s="69">
        <f t="shared" si="64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B211" s="66">
        <v>77000</v>
      </c>
      <c r="AC211" s="46" t="s">
        <v>854</v>
      </c>
    </row>
    <row r="212" spans="1:29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63"/>
        <v>1180</v>
      </c>
      <c r="Q212" s="69">
        <f t="shared" si="64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B212" s="66">
        <v>0</v>
      </c>
    </row>
    <row r="213" spans="1:29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63"/>
        <v>725696</v>
      </c>
      <c r="Q213" s="69">
        <f t="shared" si="64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B213" s="66">
        <v>644500</v>
      </c>
      <c r="AC213" s="46" t="s">
        <v>853</v>
      </c>
    </row>
    <row r="214" spans="1:29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63"/>
        <v>114800</v>
      </c>
      <c r="Q214" s="69">
        <f t="shared" si="64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B214" s="66">
        <v>153000</v>
      </c>
      <c r="AC214" s="46" t="s">
        <v>855</v>
      </c>
    </row>
    <row r="215" spans="1:29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67">ROUND(SUM(H209:H214),5)</f>
        <v>884166</v>
      </c>
      <c r="I215" s="75">
        <f t="shared" si="67"/>
        <v>788300</v>
      </c>
      <c r="J215" s="76">
        <f t="shared" si="67"/>
        <v>968225</v>
      </c>
      <c r="K215" s="76">
        <f t="shared" si="67"/>
        <v>966375</v>
      </c>
      <c r="L215" s="77">
        <f t="shared" si="67"/>
        <v>922690</v>
      </c>
      <c r="M215" s="77">
        <f t="shared" si="67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63"/>
        <v>925027</v>
      </c>
      <c r="Q215" s="79">
        <f t="shared" si="64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B215" s="80">
        <f>ROUND(SUM(AB209:AB214),5)</f>
        <v>876000</v>
      </c>
      <c r="AC215" s="127">
        <f>AB215-AB423</f>
        <v>-28046</v>
      </c>
    </row>
    <row r="216" spans="1:29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B216" s="66"/>
      <c r="AC216" s="128" t="s">
        <v>892</v>
      </c>
    </row>
    <row r="217" spans="1:29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63"/>
        <v>4578.333333333333</v>
      </c>
      <c r="Q217" s="69">
        <f t="shared" si="64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B217" s="66">
        <v>0</v>
      </c>
    </row>
    <row r="218" spans="1:29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63"/>
        <v>4578.333333333333</v>
      </c>
      <c r="Q218" s="79">
        <f t="shared" si="64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B218" s="86"/>
    </row>
    <row r="219" spans="1:29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68">ROUND(H208+H215+H218,5)</f>
        <v>884166</v>
      </c>
      <c r="I219" s="83">
        <f t="shared" si="68"/>
        <v>788300</v>
      </c>
      <c r="J219" s="84">
        <f t="shared" si="68"/>
        <v>981960</v>
      </c>
      <c r="K219" s="84">
        <f t="shared" si="68"/>
        <v>966375</v>
      </c>
      <c r="L219" s="85">
        <f t="shared" si="68"/>
        <v>922690</v>
      </c>
      <c r="M219" s="85">
        <f t="shared" si="68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63"/>
        <v>929605.33333333337</v>
      </c>
      <c r="Q219" s="87">
        <f t="shared" si="64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B219" s="88">
        <f>ROUND(AB208+AB215+AB218,5)</f>
        <v>876000</v>
      </c>
    </row>
    <row r="220" spans="1:29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69">ROUND(H6+H183+H188+H191+H198+H201+H207+H219,5)</f>
        <v>4510004.6399999997</v>
      </c>
      <c r="I220" s="63">
        <f t="shared" si="69"/>
        <v>4835153.75</v>
      </c>
      <c r="J220" s="64">
        <f t="shared" si="69"/>
        <v>4937480.91</v>
      </c>
      <c r="K220" s="64">
        <f t="shared" si="69"/>
        <v>4877579.92</v>
      </c>
      <c r="L220" s="65">
        <f t="shared" si="69"/>
        <v>5214991.41</v>
      </c>
      <c r="M220" s="65">
        <f t="shared" si="69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63"/>
        <v>4887492.32</v>
      </c>
      <c r="Q220" s="69">
        <f t="shared" si="64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B220" s="66">
        <f>ROUND(AB6+AB183+AB188+AB191+AB198+AB201+AB207+AB219,5)</f>
        <v>5311671.1100000003</v>
      </c>
      <c r="AC220" s="111">
        <f>AB220-Z220</f>
        <v>35303.919999999925</v>
      </c>
    </row>
    <row r="221" spans="1:29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B221" s="66"/>
    </row>
    <row r="222" spans="1:29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B222" s="66"/>
    </row>
    <row r="223" spans="1:29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70">ROUND(H223+J223+L223,5)</f>
        <v>14645.71</v>
      </c>
      <c r="O223" s="66">
        <f t="shared" si="70"/>
        <v>15644.98</v>
      </c>
      <c r="P223" s="69">
        <f t="shared" si="63"/>
        <v>4881.9033333333327</v>
      </c>
      <c r="Q223" s="69">
        <f t="shared" si="64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B223" s="66">
        <f>ROUND(5691.67, 0)</f>
        <v>5692</v>
      </c>
    </row>
    <row r="224" spans="1:29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70"/>
        <v>3195.19</v>
      </c>
      <c r="O224" s="66">
        <f t="shared" si="70"/>
        <v>7437.44</v>
      </c>
      <c r="P224" s="69">
        <f t="shared" si="63"/>
        <v>1065.0633333333333</v>
      </c>
      <c r="Q224" s="69">
        <f t="shared" si="64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B224" s="66">
        <v>3348</v>
      </c>
    </row>
    <row r="225" spans="1:28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71">ROUND(SUM(H222:H224),5)</f>
        <v>5911.22</v>
      </c>
      <c r="I225" s="75">
        <f t="shared" si="71"/>
        <v>5833.45</v>
      </c>
      <c r="J225" s="76">
        <f t="shared" si="71"/>
        <v>5605.52</v>
      </c>
      <c r="K225" s="76">
        <f t="shared" si="71"/>
        <v>5849.17</v>
      </c>
      <c r="L225" s="77">
        <f t="shared" si="71"/>
        <v>6324.16</v>
      </c>
      <c r="M225" s="77">
        <f t="shared" si="71"/>
        <v>11399.8</v>
      </c>
      <c r="N225" s="78">
        <f t="shared" si="70"/>
        <v>17840.900000000001</v>
      </c>
      <c r="O225" s="78">
        <f t="shared" si="70"/>
        <v>23082.42</v>
      </c>
      <c r="P225" s="79">
        <f t="shared" si="63"/>
        <v>5946.9666666666672</v>
      </c>
      <c r="Q225" s="79">
        <f t="shared" si="64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B225" s="80">
        <f>ROUND(SUM(AB222:AB224),5)</f>
        <v>9040</v>
      </c>
    </row>
    <row r="226" spans="1:28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B226" s="66"/>
    </row>
    <row r="227" spans="1:28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B227" s="66">
        <f>AB9*0.237196</f>
        <v>227894.31142079999</v>
      </c>
    </row>
    <row r="228" spans="1:28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63"/>
        <v>621.57000000000005</v>
      </c>
      <c r="Q228" s="69">
        <f t="shared" si="64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B228" s="66"/>
    </row>
    <row r="229" spans="1:28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63"/>
        <v>0</v>
      </c>
      <c r="Q229" s="69">
        <f t="shared" si="64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B229" s="66"/>
    </row>
    <row r="230" spans="1:28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72">ROUND(H230+J230+L230,5)</f>
        <v>160678.19</v>
      </c>
      <c r="O230" s="66">
        <f t="shared" si="72"/>
        <v>76847.710000000006</v>
      </c>
      <c r="P230" s="69">
        <f t="shared" si="63"/>
        <v>53559.396666666667</v>
      </c>
      <c r="Q230" s="69">
        <f t="shared" si="64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B230" s="66"/>
    </row>
    <row r="231" spans="1:28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72"/>
        <v>4393.6000000000004</v>
      </c>
      <c r="O231" s="66">
        <f t="shared" si="72"/>
        <v>3748.32</v>
      </c>
      <c r="P231" s="69">
        <f t="shared" si="63"/>
        <v>1464.5333333333335</v>
      </c>
      <c r="Q231" s="69">
        <f t="shared" si="64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B231" s="66"/>
    </row>
    <row r="232" spans="1:28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72"/>
        <v>3931.71</v>
      </c>
      <c r="O232" s="66">
        <f t="shared" si="72"/>
        <v>1056.04</v>
      </c>
      <c r="P232" s="69">
        <f t="shared" si="63"/>
        <v>1310.57</v>
      </c>
      <c r="Q232" s="69">
        <f t="shared" si="64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B232" s="66"/>
    </row>
    <row r="233" spans="1:28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72"/>
        <v>1953.44</v>
      </c>
      <c r="O233" s="73">
        <f t="shared" si="72"/>
        <v>100</v>
      </c>
      <c r="P233" s="74">
        <f t="shared" si="63"/>
        <v>651.14666666666665</v>
      </c>
      <c r="Q233" s="74">
        <f t="shared" si="64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B233" s="73"/>
    </row>
    <row r="234" spans="1:28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73">ROUND(SUM(H229:H233),5)</f>
        <v>66004.350000000006</v>
      </c>
      <c r="I234" s="63">
        <f t="shared" si="73"/>
        <v>0</v>
      </c>
      <c r="J234" s="64">
        <f t="shared" si="73"/>
        <v>53975.49</v>
      </c>
      <c r="K234" s="64">
        <f t="shared" si="73"/>
        <v>13281.84</v>
      </c>
      <c r="L234" s="65">
        <f t="shared" si="73"/>
        <v>50977.1</v>
      </c>
      <c r="M234" s="65">
        <f t="shared" si="73"/>
        <v>68470.23</v>
      </c>
      <c r="N234" s="66">
        <f t="shared" si="72"/>
        <v>170956.94</v>
      </c>
      <c r="O234" s="66">
        <f t="shared" si="72"/>
        <v>81752.070000000007</v>
      </c>
      <c r="P234" s="69">
        <f t="shared" si="63"/>
        <v>56985.646666666667</v>
      </c>
      <c r="Q234" s="69">
        <f t="shared" si="64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B234" s="66">
        <f>ROUND(SUM(AB229:AB233),5)</f>
        <v>0</v>
      </c>
    </row>
    <row r="235" spans="1:28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B235" s="66"/>
    </row>
    <row r="236" spans="1:28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43" si="74">ROUND(H236+J236+L236,5)</f>
        <v>10300.370000000001</v>
      </c>
      <c r="O236" s="66">
        <f t="shared" si="74"/>
        <v>7978.18</v>
      </c>
      <c r="P236" s="69">
        <f t="shared" si="63"/>
        <v>3433.4566666666669</v>
      </c>
      <c r="Q236" s="69">
        <f t="shared" si="64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B236" s="66"/>
    </row>
    <row r="237" spans="1:28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74"/>
        <v>265.04000000000002</v>
      </c>
      <c r="O237" s="66">
        <f t="shared" si="74"/>
        <v>2079.58</v>
      </c>
      <c r="P237" s="69">
        <f t="shared" si="63"/>
        <v>88.346666666666678</v>
      </c>
      <c r="Q237" s="69">
        <f t="shared" si="64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B237" s="66"/>
    </row>
    <row r="238" spans="1:28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74"/>
        <v>291.58999999999997</v>
      </c>
      <c r="O238" s="66">
        <f t="shared" si="74"/>
        <v>6330.08</v>
      </c>
      <c r="P238" s="69">
        <f t="shared" si="63"/>
        <v>97.196666666666658</v>
      </c>
      <c r="Q238" s="69">
        <f t="shared" si="64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B238" s="66"/>
    </row>
    <row r="239" spans="1:28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74"/>
        <v>1002.62</v>
      </c>
      <c r="O239" s="66">
        <f t="shared" si="74"/>
        <v>3299.3</v>
      </c>
      <c r="P239" s="69">
        <f t="shared" si="63"/>
        <v>334.20666666666665</v>
      </c>
      <c r="Q239" s="69">
        <f t="shared" si="64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B239" s="66"/>
    </row>
    <row r="240" spans="1:28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74"/>
        <v>384.28</v>
      </c>
      <c r="O240" s="66">
        <f t="shared" si="74"/>
        <v>0</v>
      </c>
      <c r="P240" s="69">
        <f t="shared" si="63"/>
        <v>128.09333333333333</v>
      </c>
      <c r="Q240" s="69">
        <f t="shared" si="64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B240" s="66"/>
    </row>
    <row r="241" spans="1:28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74"/>
        <v>1703.01</v>
      </c>
      <c r="O241" s="66">
        <f t="shared" si="74"/>
        <v>6458.46</v>
      </c>
      <c r="P241" s="69">
        <f t="shared" si="63"/>
        <v>567.66999999999996</v>
      </c>
      <c r="Q241" s="69">
        <f t="shared" si="64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B241" s="66"/>
    </row>
    <row r="242" spans="1:28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74"/>
        <v>844.98</v>
      </c>
      <c r="O242" s="66">
        <f t="shared" si="74"/>
        <v>4878.88</v>
      </c>
      <c r="P242" s="69">
        <f t="shared" si="63"/>
        <v>281.66000000000003</v>
      </c>
      <c r="Q242" s="69">
        <f t="shared" si="64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B242" s="66"/>
    </row>
    <row r="243" spans="1:28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74"/>
        <v>952.7</v>
      </c>
      <c r="O243" s="66">
        <f t="shared" si="74"/>
        <v>759.86</v>
      </c>
      <c r="P243" s="69">
        <f t="shared" si="63"/>
        <v>317.56666666666666</v>
      </c>
      <c r="Q243" s="69">
        <f t="shared" si="64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B243" s="66"/>
    </row>
    <row r="244" spans="1:28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ref="N244:N257" si="75">ROUND(H244+J244+L244,5)</f>
        <v>-279.7</v>
      </c>
      <c r="O244" s="66">
        <v>0</v>
      </c>
      <c r="P244" s="69">
        <f t="shared" si="63"/>
        <v>-93.233333333333334</v>
      </c>
      <c r="Q244" s="69">
        <f t="shared" si="64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B244" s="66"/>
    </row>
    <row r="245" spans="1:28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75"/>
        <v>2068.73</v>
      </c>
      <c r="O245" s="66">
        <f>ROUND(I245+K245+M245,5)</f>
        <v>600</v>
      </c>
      <c r="P245" s="69">
        <f t="shared" si="63"/>
        <v>689.57666666666671</v>
      </c>
      <c r="Q245" s="69">
        <f t="shared" si="64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B245" s="66"/>
    </row>
    <row r="246" spans="1:28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75"/>
        <v>126.77</v>
      </c>
      <c r="O246" s="66">
        <f>ROUND(I246+K246+M246,5)</f>
        <v>100</v>
      </c>
      <c r="P246" s="69">
        <f t="shared" si="63"/>
        <v>42.256666666666668</v>
      </c>
      <c r="Q246" s="69">
        <f t="shared" si="64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B246" s="66"/>
    </row>
    <row r="247" spans="1:28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75"/>
        <v>4683.93</v>
      </c>
      <c r="O247" s="66">
        <f>ROUND(I247+K247+M247,5)</f>
        <v>7118.32</v>
      </c>
      <c r="P247" s="69">
        <f t="shared" si="63"/>
        <v>1561.3100000000002</v>
      </c>
      <c r="Q247" s="69">
        <f t="shared" si="64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B247" s="66"/>
    </row>
    <row r="248" spans="1:28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75"/>
        <v>2913.09</v>
      </c>
      <c r="O248" s="66">
        <f>ROUND(I248+K248+M248,5)</f>
        <v>4719.0200000000004</v>
      </c>
      <c r="P248" s="69">
        <f t="shared" si="63"/>
        <v>971.03000000000009</v>
      </c>
      <c r="Q248" s="69">
        <f t="shared" si="64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B248" s="66"/>
    </row>
    <row r="249" spans="1:28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75"/>
        <v>4608.63</v>
      </c>
      <c r="O249" s="66">
        <f>ROUND(I249+K249+M249,5)</f>
        <v>1619.72</v>
      </c>
      <c r="P249" s="69">
        <f t="shared" si="63"/>
        <v>1536.21</v>
      </c>
      <c r="Q249" s="69">
        <f t="shared" si="64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B249" s="66"/>
    </row>
    <row r="250" spans="1:28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75"/>
        <v>78.989999999999995</v>
      </c>
      <c r="O250" s="66">
        <v>0</v>
      </c>
      <c r="P250" s="69">
        <f t="shared" si="63"/>
        <v>26.33</v>
      </c>
      <c r="Q250" s="69">
        <f t="shared" si="64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B250" s="66"/>
    </row>
    <row r="251" spans="1:28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75"/>
        <v>0</v>
      </c>
      <c r="O251" s="66">
        <f>ROUND(I251+K251+M251,5)</f>
        <v>1219.72</v>
      </c>
      <c r="P251" s="69">
        <f t="shared" si="63"/>
        <v>0</v>
      </c>
      <c r="Q251" s="69">
        <f t="shared" si="64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B251" s="66"/>
    </row>
    <row r="252" spans="1:28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si="75"/>
        <v>469.32</v>
      </c>
      <c r="O252" s="66">
        <f>ROUND(I252+K252+M252,5)</f>
        <v>356.04</v>
      </c>
      <c r="P252" s="69">
        <f t="shared" si="63"/>
        <v>156.44</v>
      </c>
      <c r="Q252" s="69">
        <f t="shared" si="64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B252" s="66"/>
    </row>
    <row r="253" spans="1:28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75"/>
        <v>0</v>
      </c>
      <c r="O253" s="66">
        <f>ROUND(I253+K253+M253,5)</f>
        <v>1524.16</v>
      </c>
      <c r="P253" s="69">
        <f t="shared" si="63"/>
        <v>0</v>
      </c>
      <c r="Q253" s="69">
        <f t="shared" si="64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B253" s="66"/>
    </row>
    <row r="254" spans="1:28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75"/>
        <v>295.95</v>
      </c>
      <c r="O254" s="66">
        <v>0</v>
      </c>
      <c r="P254" s="69">
        <f t="shared" si="63"/>
        <v>98.649999999999991</v>
      </c>
      <c r="Q254" s="69">
        <f t="shared" si="64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B254" s="66"/>
    </row>
    <row r="255" spans="1:28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75"/>
        <v>0</v>
      </c>
      <c r="O255" s="66">
        <f>ROUND(I255+K255+M255,5)</f>
        <v>0</v>
      </c>
      <c r="P255" s="69">
        <f t="shared" si="63"/>
        <v>0</v>
      </c>
      <c r="Q255" s="69">
        <f t="shared" si="64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B255" s="66"/>
    </row>
    <row r="256" spans="1:28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75"/>
        <v>0</v>
      </c>
      <c r="O256" s="73">
        <f>ROUND(I256+K256+M256,5)</f>
        <v>0</v>
      </c>
      <c r="P256" s="74">
        <f t="shared" si="63"/>
        <v>0</v>
      </c>
      <c r="Q256" s="74">
        <f t="shared" si="64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B256" s="73"/>
    </row>
    <row r="257" spans="1:28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76">ROUND(SUM(H235:H256),5)</f>
        <v>9952.77</v>
      </c>
      <c r="I257" s="63">
        <f t="shared" si="76"/>
        <v>0</v>
      </c>
      <c r="J257" s="64">
        <f t="shared" si="76"/>
        <v>12257.65</v>
      </c>
      <c r="K257" s="64">
        <f t="shared" si="76"/>
        <v>43741.32</v>
      </c>
      <c r="L257" s="65">
        <f t="shared" si="76"/>
        <v>8499.8799999999992</v>
      </c>
      <c r="M257" s="65">
        <f t="shared" si="76"/>
        <v>5300</v>
      </c>
      <c r="N257" s="66">
        <f t="shared" si="75"/>
        <v>30710.3</v>
      </c>
      <c r="O257" s="66">
        <f>ROUND(I257+K257+M257,5)</f>
        <v>49041.32</v>
      </c>
      <c r="P257" s="69">
        <f t="shared" si="63"/>
        <v>10236.766666666666</v>
      </c>
      <c r="Q257" s="69">
        <f t="shared" si="64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B257" s="66">
        <f>ROUND(SUM(AB235:AB256),5)</f>
        <v>0</v>
      </c>
    </row>
    <row r="258" spans="1:28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63"/>
        <v>0</v>
      </c>
      <c r="Q258" s="69">
        <f t="shared" si="64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B258" s="66"/>
    </row>
    <row r="259" spans="1:28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77">ROUND(H259+J259+L259,5)</f>
        <v>292.07</v>
      </c>
      <c r="O259" s="66">
        <f t="shared" si="77"/>
        <v>3559.16</v>
      </c>
      <c r="P259" s="69">
        <f t="shared" si="63"/>
        <v>97.356666666666669</v>
      </c>
      <c r="Q259" s="69">
        <f t="shared" si="64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B259" s="66"/>
    </row>
    <row r="260" spans="1:28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77"/>
        <v>0</v>
      </c>
      <c r="O260" s="66">
        <f t="shared" si="77"/>
        <v>0</v>
      </c>
      <c r="P260" s="69">
        <f t="shared" ref="P260:P323" si="78">N260/3</f>
        <v>0</v>
      </c>
      <c r="Q260" s="69">
        <f t="shared" ref="Q260:Q323" si="79">O260/3</f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B260" s="66"/>
    </row>
    <row r="261" spans="1:28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77"/>
        <v>414.94</v>
      </c>
      <c r="O261" s="66">
        <f t="shared" si="77"/>
        <v>1624.16</v>
      </c>
      <c r="P261" s="69">
        <f t="shared" si="78"/>
        <v>138.31333333333333</v>
      </c>
      <c r="Q261" s="69">
        <f t="shared" si="79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B261" s="66"/>
    </row>
    <row r="262" spans="1:28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77"/>
        <v>0</v>
      </c>
      <c r="O262" s="73">
        <f t="shared" si="77"/>
        <v>0</v>
      </c>
      <c r="P262" s="74">
        <f t="shared" si="78"/>
        <v>0</v>
      </c>
      <c r="Q262" s="74">
        <f t="shared" si="79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B262" s="73"/>
    </row>
    <row r="263" spans="1:28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80">ROUND(SUM(H258:H262),5)</f>
        <v>414.94</v>
      </c>
      <c r="I263" s="63">
        <f t="shared" si="80"/>
        <v>0</v>
      </c>
      <c r="J263" s="64">
        <f t="shared" si="80"/>
        <v>73.44</v>
      </c>
      <c r="K263" s="64">
        <f t="shared" si="80"/>
        <v>4783.32</v>
      </c>
      <c r="L263" s="65">
        <f t="shared" si="80"/>
        <v>218.63</v>
      </c>
      <c r="M263" s="65">
        <f t="shared" si="80"/>
        <v>400</v>
      </c>
      <c r="N263" s="66">
        <f t="shared" si="77"/>
        <v>707.01</v>
      </c>
      <c r="O263" s="66">
        <f t="shared" si="77"/>
        <v>5183.32</v>
      </c>
      <c r="P263" s="69">
        <f t="shared" si="78"/>
        <v>235.67</v>
      </c>
      <c r="Q263" s="69">
        <f t="shared" si="79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B263" s="66">
        <f>ROUND(SUM(AB258:AB262),5)</f>
        <v>0</v>
      </c>
    </row>
    <row r="264" spans="1:28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B264" s="66"/>
    </row>
    <row r="265" spans="1:28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N280" si="81">ROUND(H265+J265+L265,5)</f>
        <v>9233.0499999999993</v>
      </c>
      <c r="O265" s="66">
        <f t="shared" ref="O265:O280" si="82">ROUND(I265+K265+M265,5)</f>
        <v>5438.74</v>
      </c>
      <c r="P265" s="69">
        <f t="shared" si="78"/>
        <v>3077.6833333333329</v>
      </c>
      <c r="Q265" s="69">
        <f t="shared" si="79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B265" s="66"/>
    </row>
    <row r="266" spans="1:28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81"/>
        <v>173.59</v>
      </c>
      <c r="O266" s="66">
        <f t="shared" si="82"/>
        <v>2539.44</v>
      </c>
      <c r="P266" s="69">
        <f t="shared" si="78"/>
        <v>57.863333333333337</v>
      </c>
      <c r="Q266" s="69">
        <f t="shared" si="79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B266" s="66"/>
    </row>
    <row r="267" spans="1:28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81"/>
        <v>99.76</v>
      </c>
      <c r="O267" s="66">
        <f t="shared" si="82"/>
        <v>1980.2</v>
      </c>
      <c r="P267" s="69">
        <f t="shared" si="78"/>
        <v>33.253333333333337</v>
      </c>
      <c r="Q267" s="69">
        <f t="shared" si="79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B267" s="66"/>
    </row>
    <row r="268" spans="1:28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81"/>
        <v>2756.34</v>
      </c>
      <c r="O268" s="66">
        <f t="shared" si="82"/>
        <v>956.04</v>
      </c>
      <c r="P268" s="69">
        <f t="shared" si="78"/>
        <v>918.78000000000009</v>
      </c>
      <c r="Q268" s="69">
        <f t="shared" si="79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B268" s="66"/>
    </row>
    <row r="269" spans="1:28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81"/>
        <v>62</v>
      </c>
      <c r="O269" s="66">
        <f t="shared" si="82"/>
        <v>718</v>
      </c>
      <c r="P269" s="69">
        <f t="shared" si="78"/>
        <v>20.666666666666668</v>
      </c>
      <c r="Q269" s="69">
        <f t="shared" si="79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B269" s="66"/>
    </row>
    <row r="270" spans="1:28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81"/>
        <v>5017.79</v>
      </c>
      <c r="O270" s="66">
        <f t="shared" si="82"/>
        <v>1535.1</v>
      </c>
      <c r="P270" s="69">
        <f t="shared" si="78"/>
        <v>1672.5966666666666</v>
      </c>
      <c r="Q270" s="69">
        <f t="shared" si="79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B270" s="66"/>
    </row>
    <row r="271" spans="1:28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81"/>
        <v>0</v>
      </c>
      <c r="O271" s="66">
        <f t="shared" si="82"/>
        <v>1880.2</v>
      </c>
      <c r="P271" s="69">
        <f t="shared" si="78"/>
        <v>0</v>
      </c>
      <c r="Q271" s="69">
        <f t="shared" si="79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B271" s="66"/>
    </row>
    <row r="272" spans="1:28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81"/>
        <v>1851.6</v>
      </c>
      <c r="O272" s="66">
        <f t="shared" si="82"/>
        <v>1624.16</v>
      </c>
      <c r="P272" s="69">
        <f t="shared" si="78"/>
        <v>617.19999999999993</v>
      </c>
      <c r="Q272" s="69">
        <f t="shared" si="79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B272" s="66"/>
    </row>
    <row r="273" spans="1:28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81"/>
        <v>0</v>
      </c>
      <c r="O273" s="66">
        <f t="shared" si="82"/>
        <v>6709.32</v>
      </c>
      <c r="P273" s="69">
        <f t="shared" si="78"/>
        <v>0</v>
      </c>
      <c r="Q273" s="69">
        <f t="shared" si="79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B273" s="66"/>
    </row>
    <row r="274" spans="1:28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81"/>
        <v>0</v>
      </c>
      <c r="O274" s="66">
        <f t="shared" si="82"/>
        <v>1983.36</v>
      </c>
      <c r="P274" s="69">
        <f t="shared" si="78"/>
        <v>0</v>
      </c>
      <c r="Q274" s="69">
        <f t="shared" si="79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B274" s="66"/>
    </row>
    <row r="275" spans="1:28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81"/>
        <v>0</v>
      </c>
      <c r="O275" s="66">
        <f t="shared" si="82"/>
        <v>4759.01</v>
      </c>
      <c r="P275" s="69">
        <f t="shared" si="78"/>
        <v>0</v>
      </c>
      <c r="Q275" s="69">
        <f t="shared" si="79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B275" s="66"/>
    </row>
    <row r="276" spans="1:28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81"/>
        <v>8987.11</v>
      </c>
      <c r="O276" s="66">
        <f t="shared" si="82"/>
        <v>17088.16</v>
      </c>
      <c r="P276" s="69">
        <f t="shared" si="78"/>
        <v>2995.7033333333334</v>
      </c>
      <c r="Q276" s="69">
        <f t="shared" si="79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B276" s="66"/>
    </row>
    <row r="277" spans="1:28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81"/>
        <v>170.91</v>
      </c>
      <c r="O277" s="66">
        <f t="shared" si="82"/>
        <v>4097.04</v>
      </c>
      <c r="P277" s="69">
        <f t="shared" si="78"/>
        <v>56.97</v>
      </c>
      <c r="Q277" s="69">
        <f t="shared" si="79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B277" s="66"/>
    </row>
    <row r="278" spans="1:28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81"/>
        <v>1914.86</v>
      </c>
      <c r="O278" s="66">
        <f t="shared" si="82"/>
        <v>1668.12</v>
      </c>
      <c r="P278" s="69">
        <f t="shared" si="78"/>
        <v>638.28666666666663</v>
      </c>
      <c r="Q278" s="69">
        <f t="shared" si="79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B278" s="66"/>
    </row>
    <row r="279" spans="1:28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81"/>
        <v>581.79999999999995</v>
      </c>
      <c r="O279" s="73">
        <f t="shared" si="82"/>
        <v>0</v>
      </c>
      <c r="P279" s="74">
        <f t="shared" si="78"/>
        <v>193.93333333333331</v>
      </c>
      <c r="Q279" s="74">
        <f t="shared" si="79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B279" s="73"/>
    </row>
    <row r="280" spans="1:28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83">ROUND(SUM(H264:H279),5)</f>
        <v>11247.41</v>
      </c>
      <c r="I280" s="63">
        <f t="shared" si="83"/>
        <v>0</v>
      </c>
      <c r="J280" s="64">
        <f t="shared" si="83"/>
        <v>13538.34</v>
      </c>
      <c r="K280" s="64">
        <f t="shared" si="83"/>
        <v>43816.14</v>
      </c>
      <c r="L280" s="65">
        <f t="shared" si="83"/>
        <v>6063.06</v>
      </c>
      <c r="M280" s="65">
        <f t="shared" si="83"/>
        <v>9160.75</v>
      </c>
      <c r="N280" s="66">
        <f t="shared" si="81"/>
        <v>30848.81</v>
      </c>
      <c r="O280" s="66">
        <f t="shared" si="82"/>
        <v>52976.89</v>
      </c>
      <c r="P280" s="69">
        <f t="shared" si="78"/>
        <v>10282.936666666666</v>
      </c>
      <c r="Q280" s="69">
        <f t="shared" si="79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B280" s="66">
        <f>ROUND(SUM(AB264:AB279),5)</f>
        <v>0</v>
      </c>
    </row>
    <row r="281" spans="1:28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78"/>
        <v>0</v>
      </c>
      <c r="Q281" s="69">
        <f t="shared" si="79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B281" s="66"/>
    </row>
    <row r="282" spans="1:28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84">ROUND(H282+J282+L282,5)</f>
        <v>9840.1</v>
      </c>
      <c r="O282" s="66">
        <f t="shared" si="84"/>
        <v>6658.46</v>
      </c>
      <c r="P282" s="69">
        <f t="shared" si="78"/>
        <v>3280.0333333333333</v>
      </c>
      <c r="Q282" s="69">
        <f t="shared" si="79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B282" s="66"/>
    </row>
    <row r="283" spans="1:28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84"/>
        <v>9035.52</v>
      </c>
      <c r="O283" s="66">
        <f t="shared" si="84"/>
        <v>7418.32</v>
      </c>
      <c r="P283" s="69">
        <f t="shared" si="78"/>
        <v>3011.84</v>
      </c>
      <c r="Q283" s="69">
        <f t="shared" si="79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B283" s="66"/>
    </row>
    <row r="284" spans="1:28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84"/>
        <v>0</v>
      </c>
      <c r="O284" s="66">
        <f t="shared" si="84"/>
        <v>656.04</v>
      </c>
      <c r="P284" s="69">
        <f t="shared" si="78"/>
        <v>0</v>
      </c>
      <c r="Q284" s="69">
        <f t="shared" si="79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B284" s="66"/>
    </row>
    <row r="285" spans="1:28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84"/>
        <v>2620.06</v>
      </c>
      <c r="O285" s="66">
        <f t="shared" si="84"/>
        <v>7118.32</v>
      </c>
      <c r="P285" s="69">
        <f t="shared" si="78"/>
        <v>873.35333333333335</v>
      </c>
      <c r="Q285" s="69">
        <f t="shared" si="79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B285" s="66"/>
    </row>
    <row r="286" spans="1:28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84"/>
        <v>2099.5700000000002</v>
      </c>
      <c r="O286" s="66">
        <f t="shared" si="84"/>
        <v>1012.08</v>
      </c>
      <c r="P286" s="69">
        <f t="shared" si="78"/>
        <v>699.85666666666668</v>
      </c>
      <c r="Q286" s="69">
        <f t="shared" si="79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B286" s="66"/>
    </row>
    <row r="287" spans="1:28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84"/>
        <v>1066.75</v>
      </c>
      <c r="O287" s="73">
        <f t="shared" si="84"/>
        <v>6918.32</v>
      </c>
      <c r="P287" s="74">
        <f t="shared" si="78"/>
        <v>355.58333333333331</v>
      </c>
      <c r="Q287" s="74">
        <f t="shared" si="79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B287" s="73"/>
    </row>
    <row r="288" spans="1:28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85">ROUND(SUM(H281:H287),5)</f>
        <v>5366.39</v>
      </c>
      <c r="I288" s="63">
        <f t="shared" si="85"/>
        <v>0</v>
      </c>
      <c r="J288" s="64">
        <f t="shared" si="85"/>
        <v>9447.02</v>
      </c>
      <c r="K288" s="64">
        <f t="shared" si="85"/>
        <v>27381.54</v>
      </c>
      <c r="L288" s="65">
        <f t="shared" si="85"/>
        <v>9848.59</v>
      </c>
      <c r="M288" s="65">
        <f t="shared" si="85"/>
        <v>2400</v>
      </c>
      <c r="N288" s="66">
        <f t="shared" si="84"/>
        <v>24662</v>
      </c>
      <c r="O288" s="66">
        <f t="shared" si="84"/>
        <v>29781.54</v>
      </c>
      <c r="P288" s="69">
        <f t="shared" si="78"/>
        <v>8220.6666666666661</v>
      </c>
      <c r="Q288" s="69">
        <f t="shared" si="79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B288" s="66">
        <f>ROUND(SUM(AB281:AB287),5)</f>
        <v>0</v>
      </c>
    </row>
    <row r="289" spans="1:28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B289" s="66"/>
    </row>
    <row r="290" spans="1:28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N301" si="86">ROUND(H290+J290+L290,5)</f>
        <v>513.95000000000005</v>
      </c>
      <c r="O290" s="66">
        <f t="shared" ref="O290:O301" si="87">ROUND(I290+K290+M290,5)</f>
        <v>300</v>
      </c>
      <c r="P290" s="69">
        <f t="shared" si="78"/>
        <v>171.31666666666669</v>
      </c>
      <c r="Q290" s="69">
        <f t="shared" si="79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B290" s="66"/>
    </row>
    <row r="291" spans="1:28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86"/>
        <v>5543.87</v>
      </c>
      <c r="O291" s="66">
        <f t="shared" si="87"/>
        <v>800</v>
      </c>
      <c r="P291" s="69">
        <f t="shared" si="78"/>
        <v>1847.9566666666667</v>
      </c>
      <c r="Q291" s="69">
        <f t="shared" si="79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B291" s="66"/>
    </row>
    <row r="292" spans="1:28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86"/>
        <v>0</v>
      </c>
      <c r="O292" s="66">
        <f t="shared" si="87"/>
        <v>6718.32</v>
      </c>
      <c r="P292" s="69">
        <f t="shared" si="78"/>
        <v>0</v>
      </c>
      <c r="Q292" s="69">
        <f t="shared" si="79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B292" s="66"/>
    </row>
    <row r="293" spans="1:28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86"/>
        <v>1829.97</v>
      </c>
      <c r="O293" s="66">
        <f t="shared" si="87"/>
        <v>400</v>
      </c>
      <c r="P293" s="69">
        <f t="shared" si="78"/>
        <v>609.99</v>
      </c>
      <c r="Q293" s="69">
        <f t="shared" si="79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B293" s="66"/>
    </row>
    <row r="294" spans="1:28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86"/>
        <v>574.11</v>
      </c>
      <c r="O294" s="66">
        <f t="shared" si="87"/>
        <v>200</v>
      </c>
      <c r="P294" s="69">
        <f t="shared" si="78"/>
        <v>191.37</v>
      </c>
      <c r="Q294" s="69">
        <f t="shared" si="79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B294" s="66"/>
    </row>
    <row r="295" spans="1:28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86"/>
        <v>2094.56</v>
      </c>
      <c r="O295" s="66">
        <f t="shared" si="87"/>
        <v>700</v>
      </c>
      <c r="P295" s="69">
        <f t="shared" si="78"/>
        <v>698.18666666666661</v>
      </c>
      <c r="Q295" s="69">
        <f t="shared" si="79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B295" s="66"/>
    </row>
    <row r="296" spans="1:28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86"/>
        <v>143.52000000000001</v>
      </c>
      <c r="O296" s="66">
        <f t="shared" si="87"/>
        <v>0</v>
      </c>
      <c r="P296" s="69">
        <f t="shared" si="78"/>
        <v>47.84</v>
      </c>
      <c r="Q296" s="69">
        <f t="shared" si="79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B296" s="66"/>
    </row>
    <row r="297" spans="1:28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86"/>
        <v>0</v>
      </c>
      <c r="O297" s="66">
        <f t="shared" si="87"/>
        <v>100</v>
      </c>
      <c r="P297" s="69">
        <f t="shared" si="78"/>
        <v>0</v>
      </c>
      <c r="Q297" s="69">
        <f t="shared" si="79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B297" s="66"/>
    </row>
    <row r="298" spans="1:28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86"/>
        <v>1205.7</v>
      </c>
      <c r="O298" s="66">
        <f t="shared" si="87"/>
        <v>0</v>
      </c>
      <c r="P298" s="69">
        <f t="shared" si="78"/>
        <v>401.90000000000003</v>
      </c>
      <c r="Q298" s="69">
        <f t="shared" si="79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B298" s="66"/>
    </row>
    <row r="299" spans="1:28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86"/>
        <v>0</v>
      </c>
      <c r="O299" s="66">
        <f t="shared" si="87"/>
        <v>0</v>
      </c>
      <c r="P299" s="69">
        <f t="shared" si="78"/>
        <v>0</v>
      </c>
      <c r="Q299" s="69">
        <f t="shared" si="79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B299" s="66"/>
    </row>
    <row r="300" spans="1:28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86"/>
        <v>0</v>
      </c>
      <c r="O300" s="73">
        <f t="shared" si="87"/>
        <v>0</v>
      </c>
      <c r="P300" s="74">
        <f t="shared" si="78"/>
        <v>0</v>
      </c>
      <c r="Q300" s="74">
        <f t="shared" si="79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B300" s="73"/>
    </row>
    <row r="301" spans="1:28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88">ROUND(SUM(H289:H300),5)</f>
        <v>3691.61</v>
      </c>
      <c r="I301" s="63">
        <f t="shared" si="88"/>
        <v>0</v>
      </c>
      <c r="J301" s="64">
        <f t="shared" si="88"/>
        <v>4249.07</v>
      </c>
      <c r="K301" s="64">
        <f t="shared" si="88"/>
        <v>6718.32</v>
      </c>
      <c r="L301" s="65">
        <f t="shared" si="88"/>
        <v>3965</v>
      </c>
      <c r="M301" s="65">
        <f t="shared" si="88"/>
        <v>2500</v>
      </c>
      <c r="N301" s="66">
        <f t="shared" si="86"/>
        <v>11905.68</v>
      </c>
      <c r="O301" s="66">
        <f t="shared" si="87"/>
        <v>9218.32</v>
      </c>
      <c r="P301" s="69">
        <f t="shared" si="78"/>
        <v>3968.56</v>
      </c>
      <c r="Q301" s="69">
        <f t="shared" si="79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B301" s="66">
        <f>ROUND(SUM(AB289:AB300),5)</f>
        <v>0</v>
      </c>
    </row>
    <row r="302" spans="1:28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B302" s="66"/>
    </row>
    <row r="303" spans="1:28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89">ROUND(H303+J303+L303,5)</f>
        <v>4407.63</v>
      </c>
      <c r="O303" s="66">
        <f t="shared" si="89"/>
        <v>7218.32</v>
      </c>
      <c r="P303" s="69">
        <f t="shared" si="78"/>
        <v>1469.21</v>
      </c>
      <c r="Q303" s="69">
        <f t="shared" si="79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B303" s="66"/>
    </row>
    <row r="304" spans="1:28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89"/>
        <v>62.18</v>
      </c>
      <c r="O304" s="66">
        <f t="shared" si="89"/>
        <v>659.86</v>
      </c>
      <c r="P304" s="69">
        <f t="shared" si="78"/>
        <v>20.726666666666667</v>
      </c>
      <c r="Q304" s="69">
        <f t="shared" si="79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B304" s="66"/>
    </row>
    <row r="305" spans="1:28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89"/>
        <v>1422.94</v>
      </c>
      <c r="O305" s="66">
        <f t="shared" si="89"/>
        <v>5438.74</v>
      </c>
      <c r="P305" s="69">
        <f t="shared" si="78"/>
        <v>474.31333333333333</v>
      </c>
      <c r="Q305" s="69">
        <f t="shared" si="79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B305" s="66"/>
    </row>
    <row r="306" spans="1:28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89"/>
        <v>602.46</v>
      </c>
      <c r="O306" s="73">
        <f t="shared" si="89"/>
        <v>756.04</v>
      </c>
      <c r="P306" s="74">
        <f t="shared" si="78"/>
        <v>200.82000000000002</v>
      </c>
      <c r="Q306" s="74">
        <f t="shared" si="79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B306" s="73"/>
    </row>
    <row r="307" spans="1:28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90">ROUND(SUM(H302:H306),5)</f>
        <v>358.49</v>
      </c>
      <c r="I307" s="63">
        <f t="shared" si="90"/>
        <v>0</v>
      </c>
      <c r="J307" s="64">
        <f t="shared" si="90"/>
        <v>1711.98</v>
      </c>
      <c r="K307" s="64">
        <f t="shared" si="90"/>
        <v>12672.96</v>
      </c>
      <c r="L307" s="65">
        <f t="shared" si="90"/>
        <v>4424.74</v>
      </c>
      <c r="M307" s="65">
        <f t="shared" si="90"/>
        <v>1400</v>
      </c>
      <c r="N307" s="66">
        <f t="shared" si="89"/>
        <v>6495.21</v>
      </c>
      <c r="O307" s="66">
        <f t="shared" si="89"/>
        <v>14072.96</v>
      </c>
      <c r="P307" s="69">
        <f t="shared" si="78"/>
        <v>2165.0700000000002</v>
      </c>
      <c r="Q307" s="69">
        <f t="shared" si="79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B307" s="66">
        <f>ROUND(SUM(AB302:AB306),5)</f>
        <v>0</v>
      </c>
    </row>
    <row r="308" spans="1:28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B308" s="66"/>
    </row>
    <row r="309" spans="1:28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N319" si="91">ROUND(H309+J309+L309,5)</f>
        <v>9703.68</v>
      </c>
      <c r="O309" s="66">
        <f t="shared" ref="O309:O319" si="92">ROUND(I309+K309+M309,5)</f>
        <v>5278.88</v>
      </c>
      <c r="P309" s="69">
        <f t="shared" si="78"/>
        <v>3234.56</v>
      </c>
      <c r="Q309" s="69">
        <f t="shared" si="79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B309" s="66"/>
    </row>
    <row r="310" spans="1:28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91"/>
        <v>884.39</v>
      </c>
      <c r="O310" s="66">
        <f t="shared" si="92"/>
        <v>2439.44</v>
      </c>
      <c r="P310" s="69">
        <f t="shared" si="78"/>
        <v>294.79666666666668</v>
      </c>
      <c r="Q310" s="69">
        <f t="shared" si="79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B310" s="66"/>
    </row>
    <row r="311" spans="1:28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91"/>
        <v>979.97</v>
      </c>
      <c r="O311" s="66">
        <f t="shared" si="92"/>
        <v>6758.46</v>
      </c>
      <c r="P311" s="69">
        <f t="shared" si="78"/>
        <v>326.65666666666669</v>
      </c>
      <c r="Q311" s="69">
        <f t="shared" si="79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B311" s="66"/>
    </row>
    <row r="312" spans="1:28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91"/>
        <v>404.46</v>
      </c>
      <c r="O312" s="66">
        <f t="shared" si="92"/>
        <v>1679.58</v>
      </c>
      <c r="P312" s="69">
        <f t="shared" si="78"/>
        <v>134.82</v>
      </c>
      <c r="Q312" s="69">
        <f t="shared" si="79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B312" s="66"/>
    </row>
    <row r="313" spans="1:28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91"/>
        <v>4314.07</v>
      </c>
      <c r="O313" s="66">
        <f t="shared" si="92"/>
        <v>2480.1999999999998</v>
      </c>
      <c r="P313" s="69">
        <f t="shared" si="78"/>
        <v>1438.0233333333333</v>
      </c>
      <c r="Q313" s="69">
        <f t="shared" si="79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B313" s="66"/>
    </row>
    <row r="314" spans="1:28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91"/>
        <v>487.74</v>
      </c>
      <c r="O314" s="66">
        <f t="shared" si="92"/>
        <v>912.08</v>
      </c>
      <c r="P314" s="69">
        <f t="shared" si="78"/>
        <v>162.58000000000001</v>
      </c>
      <c r="Q314" s="69">
        <f t="shared" si="79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B314" s="66"/>
    </row>
    <row r="315" spans="1:28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91"/>
        <v>2326.19</v>
      </c>
      <c r="O315" s="66">
        <f t="shared" si="92"/>
        <v>6398.6</v>
      </c>
      <c r="P315" s="69">
        <f t="shared" si="78"/>
        <v>775.39666666666665</v>
      </c>
      <c r="Q315" s="69">
        <f t="shared" si="79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B315" s="66"/>
    </row>
    <row r="316" spans="1:28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91"/>
        <v>229.23</v>
      </c>
      <c r="O316" s="66">
        <f t="shared" si="92"/>
        <v>2239.44</v>
      </c>
      <c r="P316" s="69">
        <f t="shared" si="78"/>
        <v>76.41</v>
      </c>
      <c r="Q316" s="69">
        <f t="shared" si="79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B316" s="66"/>
    </row>
    <row r="317" spans="1:28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91"/>
        <v>759.74</v>
      </c>
      <c r="O317" s="66">
        <f t="shared" si="92"/>
        <v>1524.12</v>
      </c>
      <c r="P317" s="69">
        <f t="shared" si="78"/>
        <v>253.24666666666667</v>
      </c>
      <c r="Q317" s="69">
        <f t="shared" si="79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B317" s="66"/>
    </row>
    <row r="318" spans="1:28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91"/>
        <v>84.4</v>
      </c>
      <c r="O318" s="73">
        <f t="shared" si="92"/>
        <v>0</v>
      </c>
      <c r="P318" s="74">
        <f t="shared" si="78"/>
        <v>28.133333333333336</v>
      </c>
      <c r="Q318" s="74">
        <f t="shared" si="79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B318" s="73"/>
    </row>
    <row r="319" spans="1:28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93">ROUND(SUM(H308:H318),5)</f>
        <v>5951.81</v>
      </c>
      <c r="I319" s="63">
        <f t="shared" si="93"/>
        <v>0</v>
      </c>
      <c r="J319" s="64">
        <f t="shared" si="93"/>
        <v>9394.2800000000007</v>
      </c>
      <c r="K319" s="64">
        <f t="shared" si="93"/>
        <v>26310.799999999999</v>
      </c>
      <c r="L319" s="65">
        <f t="shared" si="93"/>
        <v>4827.78</v>
      </c>
      <c r="M319" s="65">
        <f t="shared" si="93"/>
        <v>3400</v>
      </c>
      <c r="N319" s="66">
        <f t="shared" si="91"/>
        <v>20173.87</v>
      </c>
      <c r="O319" s="66">
        <f t="shared" si="92"/>
        <v>29710.799999999999</v>
      </c>
      <c r="P319" s="69">
        <f t="shared" si="78"/>
        <v>6724.623333333333</v>
      </c>
      <c r="Q319" s="69">
        <f t="shared" si="79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B319" s="66">
        <f>ROUND(SUM(AB308:AB318),5)</f>
        <v>0</v>
      </c>
    </row>
    <row r="320" spans="1:28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B320" s="66"/>
    </row>
    <row r="321" spans="1:29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94">ROUND(H321+J321+L321,5)</f>
        <v>17798.97</v>
      </c>
      <c r="O321" s="66">
        <f t="shared" si="94"/>
        <v>26035.49</v>
      </c>
      <c r="P321" s="69">
        <f t="shared" si="78"/>
        <v>5932.9900000000007</v>
      </c>
      <c r="Q321" s="69">
        <f t="shared" si="79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B321" s="66"/>
    </row>
    <row r="322" spans="1:29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94"/>
        <v>3570.09</v>
      </c>
      <c r="O322" s="66">
        <f t="shared" si="94"/>
        <v>10078.280000000001</v>
      </c>
      <c r="P322" s="69">
        <f t="shared" si="78"/>
        <v>1190.03</v>
      </c>
      <c r="Q322" s="69">
        <f t="shared" si="79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B322" s="66"/>
    </row>
    <row r="323" spans="1:29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94"/>
        <v>7211.43</v>
      </c>
      <c r="O323" s="66">
        <f t="shared" si="94"/>
        <v>7893.22</v>
      </c>
      <c r="P323" s="69">
        <f t="shared" si="78"/>
        <v>2403.81</v>
      </c>
      <c r="Q323" s="69">
        <f t="shared" si="79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B323" s="66"/>
    </row>
    <row r="324" spans="1:29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94"/>
        <v>1219.69</v>
      </c>
      <c r="O324" s="66">
        <f t="shared" si="94"/>
        <v>1271.28</v>
      </c>
      <c r="P324" s="69">
        <f t="shared" ref="P324:P387" si="95">N324/3</f>
        <v>406.56333333333333</v>
      </c>
      <c r="Q324" s="69">
        <f t="shared" ref="Q324:Q387" si="96">O324/3</f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B324" s="66"/>
    </row>
    <row r="325" spans="1:29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94"/>
        <v>20508.62</v>
      </c>
      <c r="O325" s="66">
        <f t="shared" si="94"/>
        <v>19153.73</v>
      </c>
      <c r="P325" s="69">
        <f t="shared" si="95"/>
        <v>6836.206666666666</v>
      </c>
      <c r="Q325" s="69">
        <f t="shared" si="96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B325" s="66"/>
    </row>
    <row r="326" spans="1:29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94"/>
        <v>2276.86</v>
      </c>
      <c r="O326" s="66">
        <f t="shared" si="94"/>
        <v>0</v>
      </c>
      <c r="P326" s="69">
        <f t="shared" si="95"/>
        <v>758.95333333333338</v>
      </c>
      <c r="Q326" s="69">
        <f t="shared" si="96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B326" s="66"/>
    </row>
    <row r="327" spans="1:29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B327" s="73"/>
    </row>
    <row r="328" spans="1:29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97">ROUND(SUM(H320:H326),5)</f>
        <v>14703.25</v>
      </c>
      <c r="I328" s="63">
        <f t="shared" si="97"/>
        <v>0</v>
      </c>
      <c r="J328" s="64">
        <f t="shared" si="97"/>
        <v>19844.400000000001</v>
      </c>
      <c r="K328" s="64">
        <f t="shared" si="97"/>
        <v>9669.84</v>
      </c>
      <c r="L328" s="65">
        <f t="shared" si="97"/>
        <v>18038.009999999998</v>
      </c>
      <c r="M328" s="65">
        <f t="shared" si="97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95"/>
        <v>17528.553333333333</v>
      </c>
      <c r="Q328" s="69">
        <f t="shared" si="96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B328" s="66">
        <f>ROUND(SUM(AB320:AB327),5)</f>
        <v>0</v>
      </c>
    </row>
    <row r="329" spans="1:29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B329" s="66"/>
    </row>
    <row r="330" spans="1:29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98">ROUND(H330+J330+L330,5)</f>
        <v>291196.26</v>
      </c>
      <c r="O330" s="73">
        <f t="shared" si="98"/>
        <v>74045.47</v>
      </c>
      <c r="P330" s="74">
        <f t="shared" si="95"/>
        <v>97065.42</v>
      </c>
      <c r="Q330" s="74">
        <f t="shared" si="96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B330" s="73"/>
    </row>
    <row r="331" spans="1:29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99">ROUND(SUM(H329:H330),5)</f>
        <v>70479.55</v>
      </c>
      <c r="I331" s="63">
        <f t="shared" si="99"/>
        <v>74045.47</v>
      </c>
      <c r="J331" s="64">
        <f t="shared" si="99"/>
        <v>78550</v>
      </c>
      <c r="K331" s="64">
        <f t="shared" si="99"/>
        <v>0</v>
      </c>
      <c r="L331" s="65">
        <f t="shared" si="99"/>
        <v>142166.71</v>
      </c>
      <c r="M331" s="65">
        <f t="shared" si="99"/>
        <v>0</v>
      </c>
      <c r="N331" s="66">
        <f t="shared" si="98"/>
        <v>291196.26</v>
      </c>
      <c r="O331" s="66">
        <f t="shared" si="98"/>
        <v>74045.47</v>
      </c>
      <c r="P331" s="69">
        <f t="shared" si="95"/>
        <v>97065.42</v>
      </c>
      <c r="Q331" s="69">
        <f t="shared" si="96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B331" si="100">ROUND(SUM(Z329:Z330),5)</f>
        <v>0</v>
      </c>
      <c r="AB331" s="66">
        <f t="shared" si="100"/>
        <v>0</v>
      </c>
    </row>
    <row r="332" spans="1:29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98"/>
        <v>0</v>
      </c>
      <c r="O332" s="73">
        <f t="shared" si="98"/>
        <v>61404.95</v>
      </c>
      <c r="P332" s="74">
        <f t="shared" si="95"/>
        <v>0</v>
      </c>
      <c r="Q332" s="74">
        <f t="shared" si="96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B332" s="73">
        <v>0</v>
      </c>
    </row>
    <row r="333" spans="1:29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01">ROUND(SUM(H227:H228)+H234+H257+H263+H280+H288+H301+H307+H319+H328+SUM(H331:H332),5)</f>
        <v>188585.61</v>
      </c>
      <c r="I333" s="63">
        <f t="shared" si="101"/>
        <v>138009</v>
      </c>
      <c r="J333" s="64">
        <f t="shared" si="101"/>
        <v>203924.74</v>
      </c>
      <c r="K333" s="64">
        <f t="shared" si="101"/>
        <v>194923.04</v>
      </c>
      <c r="L333" s="65">
        <f t="shared" si="101"/>
        <v>249596.1</v>
      </c>
      <c r="M333" s="65">
        <f t="shared" si="101"/>
        <v>148293.14000000001</v>
      </c>
      <c r="N333" s="66">
        <f t="shared" si="98"/>
        <v>642106.44999999995</v>
      </c>
      <c r="O333" s="66">
        <f t="shared" si="98"/>
        <v>481225.18</v>
      </c>
      <c r="P333" s="69">
        <f t="shared" si="95"/>
        <v>214035.48333333331</v>
      </c>
      <c r="Q333" s="69">
        <f t="shared" si="96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B333" s="80">
        <f>ROUND(SUM(AB227:AB228)+AB234+AB257+AB263+AB280+AB288+AB301+AB307+AB319+AB328+SUM(AB331:AB332),5)</f>
        <v>227894.31142000001</v>
      </c>
      <c r="AC333" s="46" t="s">
        <v>846</v>
      </c>
    </row>
    <row r="334" spans="1:29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B334" s="66"/>
    </row>
    <row r="335" spans="1:29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B335" s="66"/>
    </row>
    <row r="336" spans="1:29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N357" si="102">ROUND(H336+J336+L336,5)</f>
        <v>21365</v>
      </c>
      <c r="O336" s="66">
        <v>0</v>
      </c>
      <c r="P336" s="69">
        <f t="shared" si="95"/>
        <v>7121.666666666667</v>
      </c>
      <c r="Q336" s="69">
        <f t="shared" si="96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B336" s="66">
        <v>0</v>
      </c>
    </row>
    <row r="337" spans="1:28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02"/>
        <v>97979.59</v>
      </c>
      <c r="O337" s="66">
        <f>ROUND(I337+K337+M337,5)</f>
        <v>40000</v>
      </c>
      <c r="P337" s="69">
        <f t="shared" si="95"/>
        <v>32659.863333333331</v>
      </c>
      <c r="Q337" s="69">
        <f t="shared" si="96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B337" s="66">
        <v>0</v>
      </c>
    </row>
    <row r="338" spans="1:28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02"/>
        <v>22480.97</v>
      </c>
      <c r="O338" s="66">
        <v>0</v>
      </c>
      <c r="P338" s="69">
        <f t="shared" si="95"/>
        <v>7493.6566666666668</v>
      </c>
      <c r="Q338" s="69">
        <f t="shared" si="96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B338" s="66">
        <v>0</v>
      </c>
    </row>
    <row r="339" spans="1:28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02"/>
        <v>680</v>
      </c>
      <c r="O339" s="66">
        <f>ROUND(I339+K339+M339,5)</f>
        <v>0</v>
      </c>
      <c r="P339" s="69">
        <f t="shared" si="95"/>
        <v>226.66666666666666</v>
      </c>
      <c r="Q339" s="69">
        <f t="shared" si="96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B339" s="107">
        <v>50000</v>
      </c>
    </row>
    <row r="340" spans="1:28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B340" s="107">
        <v>50000</v>
      </c>
    </row>
    <row r="341" spans="1:28" ht="16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02"/>
        <v>6830</v>
      </c>
      <c r="O341" s="73">
        <f>ROUND(I341+K341+M341,5)</f>
        <v>26000</v>
      </c>
      <c r="P341" s="74">
        <f t="shared" si="95"/>
        <v>2276.6666666666665</v>
      </c>
      <c r="Q341" s="74">
        <f t="shared" si="96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B341" s="73">
        <v>0</v>
      </c>
    </row>
    <row r="342" spans="1:28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03">ROUND(SUM(H335:H341),5)</f>
        <v>19670</v>
      </c>
      <c r="I342" s="63">
        <f t="shared" si="103"/>
        <v>0</v>
      </c>
      <c r="J342" s="64">
        <f t="shared" si="103"/>
        <v>94715.56</v>
      </c>
      <c r="K342" s="64">
        <f t="shared" si="103"/>
        <v>26000</v>
      </c>
      <c r="L342" s="65">
        <f t="shared" si="103"/>
        <v>34950</v>
      </c>
      <c r="M342" s="65">
        <f t="shared" si="103"/>
        <v>40000</v>
      </c>
      <c r="N342" s="66">
        <f t="shared" si="102"/>
        <v>149335.56</v>
      </c>
      <c r="O342" s="66">
        <f>ROUND(I342+K342+M342,5)</f>
        <v>66000</v>
      </c>
      <c r="P342" s="69">
        <f t="shared" si="95"/>
        <v>49778.52</v>
      </c>
      <c r="Q342" s="69">
        <f t="shared" si="96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B342" s="80">
        <f>ROUND(SUM(AB335:AB341),5)</f>
        <v>100000</v>
      </c>
    </row>
    <row r="343" spans="1:28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02"/>
        <v>110000</v>
      </c>
      <c r="O343" s="66">
        <f>ROUND(I343+K343+M343,5)</f>
        <v>135000</v>
      </c>
      <c r="P343" s="69">
        <f t="shared" si="95"/>
        <v>36666.666666666664</v>
      </c>
      <c r="Q343" s="69">
        <f t="shared" si="96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B343" s="66">
        <v>35000</v>
      </c>
    </row>
    <row r="344" spans="1:28" x14ac:dyDescent="0.35">
      <c r="A344" s="66"/>
      <c r="B344" s="66"/>
      <c r="C344" s="49"/>
      <c r="D344" s="49"/>
      <c r="E344" s="49"/>
      <c r="F344" s="49" t="s">
        <v>341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02"/>
        <v>2807</v>
      </c>
      <c r="O344" s="66">
        <f>ROUND(I344+K344+M344,5)</f>
        <v>71745</v>
      </c>
      <c r="P344" s="69">
        <f t="shared" si="95"/>
        <v>935.66666666666663</v>
      </c>
      <c r="Q344" s="69">
        <f t="shared" si="96"/>
        <v>23915</v>
      </c>
      <c r="R344" s="54"/>
      <c r="S344" s="49"/>
      <c r="T344" s="49"/>
      <c r="U344" s="49"/>
      <c r="V344" s="49"/>
      <c r="W344" s="49"/>
      <c r="X344" s="49" t="s">
        <v>341</v>
      </c>
      <c r="Y344" s="49"/>
      <c r="Z344" s="66">
        <v>0</v>
      </c>
      <c r="AB344" s="82"/>
    </row>
    <row r="345" spans="1:28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02"/>
        <v>600</v>
      </c>
      <c r="O345" s="66">
        <v>0</v>
      </c>
      <c r="P345" s="69">
        <f t="shared" si="95"/>
        <v>200</v>
      </c>
      <c r="Q345" s="69">
        <f t="shared" si="96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B345" s="66">
        <v>0</v>
      </c>
    </row>
    <row r="346" spans="1:28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02"/>
        <v>4601.16</v>
      </c>
      <c r="O346" s="66">
        <f t="shared" ref="O346:O357" si="104">ROUND(I346+K346+M346,5)</f>
        <v>5000</v>
      </c>
      <c r="P346" s="69">
        <f t="shared" si="95"/>
        <v>1533.72</v>
      </c>
      <c r="Q346" s="69">
        <f t="shared" si="96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B346" s="66">
        <v>3000</v>
      </c>
    </row>
    <row r="347" spans="1:28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02"/>
        <v>0</v>
      </c>
      <c r="O347" s="66">
        <f t="shared" si="104"/>
        <v>0</v>
      </c>
      <c r="P347" s="69">
        <f t="shared" si="95"/>
        <v>0</v>
      </c>
      <c r="Q347" s="69">
        <f t="shared" si="96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B347" s="66">
        <v>0</v>
      </c>
    </row>
    <row r="348" spans="1:28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02"/>
        <v>55866.65</v>
      </c>
      <c r="O348" s="66">
        <f t="shared" si="104"/>
        <v>39369.230000000003</v>
      </c>
      <c r="P348" s="69">
        <f t="shared" si="95"/>
        <v>18622.216666666667</v>
      </c>
      <c r="Q348" s="69">
        <f t="shared" si="96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B348" s="66">
        <v>19164</v>
      </c>
    </row>
    <row r="349" spans="1:28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02"/>
        <v>12578.7</v>
      </c>
      <c r="O349" s="66">
        <f t="shared" si="104"/>
        <v>11353.85</v>
      </c>
      <c r="P349" s="69">
        <f t="shared" si="95"/>
        <v>4192.9000000000005</v>
      </c>
      <c r="Q349" s="69">
        <f t="shared" si="96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66"/>
      <c r="AB349" s="66">
        <v>735.7</v>
      </c>
    </row>
    <row r="350" spans="1:28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02"/>
        <v>43549.17</v>
      </c>
      <c r="O350" s="66">
        <f t="shared" si="104"/>
        <v>35000</v>
      </c>
      <c r="P350" s="69">
        <f t="shared" si="95"/>
        <v>14516.39</v>
      </c>
      <c r="Q350" s="69">
        <f t="shared" si="96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B350" s="66">
        <v>12117.4</v>
      </c>
    </row>
    <row r="351" spans="1:28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02"/>
        <v>7760.69</v>
      </c>
      <c r="O351" s="66">
        <f t="shared" si="104"/>
        <v>20000</v>
      </c>
      <c r="P351" s="69">
        <f t="shared" si="95"/>
        <v>2586.8966666666665</v>
      </c>
      <c r="Q351" s="69">
        <f t="shared" si="96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B351" s="66">
        <v>0</v>
      </c>
    </row>
    <row r="352" spans="1:28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02"/>
        <v>44149.02</v>
      </c>
      <c r="O352" s="66">
        <f t="shared" si="104"/>
        <v>34250.04</v>
      </c>
      <c r="P352" s="69">
        <f t="shared" si="95"/>
        <v>14716.339999999998</v>
      </c>
      <c r="Q352" s="69">
        <f t="shared" si="96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B352" s="66">
        <v>20000</v>
      </c>
    </row>
    <row r="353" spans="1:28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02"/>
        <v>1956.11</v>
      </c>
      <c r="O353" s="66">
        <f t="shared" si="104"/>
        <v>22500</v>
      </c>
      <c r="P353" s="69">
        <f t="shared" si="95"/>
        <v>652.03666666666663</v>
      </c>
      <c r="Q353" s="69">
        <f t="shared" si="96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B353" s="66">
        <v>0</v>
      </c>
    </row>
    <row r="354" spans="1:28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02"/>
        <v>34446</v>
      </c>
      <c r="O354" s="66">
        <f t="shared" si="104"/>
        <v>20748</v>
      </c>
      <c r="P354" s="69">
        <f t="shared" si="95"/>
        <v>11482</v>
      </c>
      <c r="Q354" s="69">
        <f t="shared" si="96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B354" s="66">
        <v>0</v>
      </c>
    </row>
    <row r="355" spans="1:28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02"/>
        <v>2154.44</v>
      </c>
      <c r="O355" s="66">
        <f t="shared" si="104"/>
        <v>3605</v>
      </c>
      <c r="P355" s="69">
        <f t="shared" si="95"/>
        <v>718.14666666666665</v>
      </c>
      <c r="Q355" s="69">
        <f t="shared" si="96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B355" s="66">
        <v>0</v>
      </c>
    </row>
    <row r="356" spans="1:28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02"/>
        <v>20339.71</v>
      </c>
      <c r="O356" s="66">
        <f t="shared" si="104"/>
        <v>13000</v>
      </c>
      <c r="P356" s="69">
        <f t="shared" si="95"/>
        <v>6779.9033333333327</v>
      </c>
      <c r="Q356" s="69">
        <f t="shared" si="96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B356" s="66">
        <v>9000</v>
      </c>
    </row>
    <row r="357" spans="1:28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02"/>
        <v>500</v>
      </c>
      <c r="O357" s="66">
        <f t="shared" si="104"/>
        <v>0</v>
      </c>
      <c r="P357" s="69">
        <f t="shared" si="95"/>
        <v>166.66666666666666</v>
      </c>
      <c r="Q357" s="69">
        <f t="shared" si="96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B357" s="66">
        <v>0</v>
      </c>
    </row>
    <row r="358" spans="1:28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B358" s="66"/>
    </row>
    <row r="359" spans="1:28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05">ROUND(H359+J359+L359,5)</f>
        <v>84190</v>
      </c>
      <c r="O359" s="66">
        <f t="shared" si="105"/>
        <v>49784.88</v>
      </c>
      <c r="P359" s="69">
        <f t="shared" si="95"/>
        <v>28063.333333333332</v>
      </c>
      <c r="Q359" s="69">
        <f t="shared" si="96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B359" s="66">
        <v>0</v>
      </c>
    </row>
    <row r="360" spans="1:28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05"/>
        <v>0</v>
      </c>
      <c r="O360" s="73">
        <f t="shared" si="105"/>
        <v>15000</v>
      </c>
      <c r="P360" s="74">
        <f t="shared" si="95"/>
        <v>0</v>
      </c>
      <c r="Q360" s="74">
        <f t="shared" si="96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B360" s="73">
        <v>0</v>
      </c>
    </row>
    <row r="361" spans="1:28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06">ROUND(SUM(H358:H360),5)</f>
        <v>31425</v>
      </c>
      <c r="I361" s="63">
        <f t="shared" si="106"/>
        <v>15000</v>
      </c>
      <c r="J361" s="64">
        <f t="shared" si="106"/>
        <v>27367.5</v>
      </c>
      <c r="K361" s="64">
        <f t="shared" si="106"/>
        <v>28917.38</v>
      </c>
      <c r="L361" s="65">
        <f t="shared" si="106"/>
        <v>25397.5</v>
      </c>
      <c r="M361" s="65">
        <f t="shared" si="106"/>
        <v>20867.5</v>
      </c>
      <c r="N361" s="66">
        <f t="shared" si="105"/>
        <v>84190</v>
      </c>
      <c r="O361" s="66">
        <f t="shared" si="105"/>
        <v>64784.88</v>
      </c>
      <c r="P361" s="69">
        <f t="shared" si="95"/>
        <v>28063.333333333332</v>
      </c>
      <c r="Q361" s="69">
        <f t="shared" si="96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B361" s="80">
        <f>ROUND(SUM(AB358:AB360),5)</f>
        <v>0</v>
      </c>
    </row>
    <row r="362" spans="1:28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05"/>
        <v>0</v>
      </c>
      <c r="O362" s="66">
        <f t="shared" si="105"/>
        <v>0</v>
      </c>
      <c r="P362" s="69">
        <f t="shared" si="95"/>
        <v>0</v>
      </c>
      <c r="Q362" s="69">
        <f t="shared" si="96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B362" s="66"/>
    </row>
    <row r="363" spans="1:28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07">ROUND(H334+SUM(H342:H357)+SUM(H361:H362),5)</f>
        <v>166149.76999999999</v>
      </c>
      <c r="I363" s="83">
        <f t="shared" si="107"/>
        <v>161924.6</v>
      </c>
      <c r="J363" s="84">
        <f t="shared" si="107"/>
        <v>213318.06</v>
      </c>
      <c r="K363" s="84">
        <f t="shared" si="107"/>
        <v>155784.65</v>
      </c>
      <c r="L363" s="85">
        <f t="shared" si="107"/>
        <v>195366.38</v>
      </c>
      <c r="M363" s="85">
        <f t="shared" si="107"/>
        <v>224646.75</v>
      </c>
      <c r="N363" s="86">
        <f t="shared" si="105"/>
        <v>574834.21</v>
      </c>
      <c r="O363" s="86">
        <f t="shared" si="105"/>
        <v>542356</v>
      </c>
      <c r="P363" s="87">
        <f t="shared" si="95"/>
        <v>191611.40333333332</v>
      </c>
      <c r="Q363" s="87">
        <f t="shared" si="96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B363" s="88">
        <f>ROUND(AB334+SUM(AB342:AB357)+SUM(AB361:AB362),5)</f>
        <v>199017.1</v>
      </c>
    </row>
    <row r="364" spans="1:28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08">ROUND(H226+H333+H363,5)</f>
        <v>354735.38</v>
      </c>
      <c r="I364" s="63">
        <f t="shared" si="108"/>
        <v>299933.59999999998</v>
      </c>
      <c r="J364" s="64">
        <f t="shared" si="108"/>
        <v>417242.8</v>
      </c>
      <c r="K364" s="64">
        <f t="shared" si="108"/>
        <v>350707.69</v>
      </c>
      <c r="L364" s="65">
        <f t="shared" si="108"/>
        <v>444962.48</v>
      </c>
      <c r="M364" s="65">
        <f t="shared" si="108"/>
        <v>372939.89</v>
      </c>
      <c r="N364" s="66">
        <f t="shared" si="105"/>
        <v>1216940.6599999999</v>
      </c>
      <c r="O364" s="66">
        <f t="shared" si="105"/>
        <v>1023581.18</v>
      </c>
      <c r="P364" s="69">
        <f t="shared" si="95"/>
        <v>405646.88666666666</v>
      </c>
      <c r="Q364" s="69">
        <f t="shared" si="96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B364" s="66">
        <f>ROUND(AB226+AB333+AB363,5)</f>
        <v>426911.41142000002</v>
      </c>
    </row>
    <row r="365" spans="1:28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B365" s="66"/>
    </row>
    <row r="366" spans="1:28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09">ROUND(H366+J366+L366,5)</f>
        <v>65072</v>
      </c>
      <c r="O366" s="66">
        <f t="shared" si="109"/>
        <v>51375.6</v>
      </c>
      <c r="P366" s="69">
        <f t="shared" si="95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B366" s="66">
        <v>25200</v>
      </c>
    </row>
    <row r="367" spans="1:28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09"/>
        <v>111140.02</v>
      </c>
      <c r="O367" s="66">
        <f t="shared" si="109"/>
        <v>112544.8</v>
      </c>
      <c r="P367" s="69">
        <f t="shared" si="95"/>
        <v>37046.673333333332</v>
      </c>
      <c r="Q367" s="69">
        <f t="shared" si="96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B367" s="66">
        <f>ROUND(37896.24, 0)</f>
        <v>37896</v>
      </c>
    </row>
    <row r="368" spans="1:28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09"/>
        <v>73064.12</v>
      </c>
      <c r="O368" s="66">
        <f t="shared" si="109"/>
        <v>69064.929999999993</v>
      </c>
      <c r="P368" s="69">
        <f t="shared" si="95"/>
        <v>24354.706666666665</v>
      </c>
      <c r="Q368" s="69">
        <f t="shared" si="96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B368" s="66">
        <v>26587</v>
      </c>
    </row>
    <row r="369" spans="1:29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09"/>
        <v>83751.37</v>
      </c>
      <c r="O369" s="66">
        <f t="shared" si="109"/>
        <v>83288.960000000006</v>
      </c>
      <c r="P369" s="69">
        <f t="shared" si="95"/>
        <v>27917.123333333333</v>
      </c>
      <c r="Q369" s="69">
        <f t="shared" si="96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B369" s="66">
        <v>29904</v>
      </c>
    </row>
    <row r="370" spans="1:29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09"/>
        <v>28135.19</v>
      </c>
      <c r="O370" s="66">
        <f t="shared" si="109"/>
        <v>34600</v>
      </c>
      <c r="P370" s="69">
        <f t="shared" si="95"/>
        <v>9378.3966666666656</v>
      </c>
      <c r="Q370" s="69">
        <f t="shared" si="96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B370" s="66">
        <v>9500</v>
      </c>
    </row>
    <row r="371" spans="1:29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10">ROUND(SUM(H365:H370),5)</f>
        <v>114632.84</v>
      </c>
      <c r="I371" s="75">
        <f t="shared" si="110"/>
        <v>107960.9</v>
      </c>
      <c r="J371" s="76">
        <f t="shared" si="110"/>
        <v>123159.01</v>
      </c>
      <c r="K371" s="76">
        <f t="shared" si="110"/>
        <v>112474.39</v>
      </c>
      <c r="L371" s="77">
        <f t="shared" si="110"/>
        <v>123370.85</v>
      </c>
      <c r="M371" s="77">
        <f t="shared" si="110"/>
        <v>130439</v>
      </c>
      <c r="N371" s="78">
        <f t="shared" si="109"/>
        <v>361162.7</v>
      </c>
      <c r="O371" s="78">
        <f t="shared" si="109"/>
        <v>350874.29</v>
      </c>
      <c r="P371" s="79">
        <f t="shared" si="95"/>
        <v>120387.56666666667</v>
      </c>
      <c r="Q371" s="79">
        <f t="shared" si="96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B371" s="80">
        <f>ROUND(SUM(AB365:AB370),5)</f>
        <v>129087</v>
      </c>
    </row>
    <row r="372" spans="1:29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95"/>
        <v>0</v>
      </c>
      <c r="Q372" s="69">
        <f t="shared" si="96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B372" s="66"/>
    </row>
    <row r="373" spans="1:29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11">ROUND(H373+J373+L373,5)</f>
        <v>4736691.54</v>
      </c>
      <c r="O373" s="66">
        <f t="shared" si="111"/>
        <v>4809206.6399999997</v>
      </c>
      <c r="P373" s="69">
        <f t="shared" si="95"/>
        <v>1578897.18</v>
      </c>
      <c r="Q373" s="69">
        <f t="shared" si="96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B373" s="66">
        <f>ROUND(1735021.77, 0)</f>
        <v>1735022</v>
      </c>
      <c r="AC373" s="46" t="s">
        <v>889</v>
      </c>
    </row>
    <row r="374" spans="1:29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11"/>
        <v>186600.3</v>
      </c>
      <c r="O374" s="66">
        <f t="shared" si="111"/>
        <v>192368.27</v>
      </c>
      <c r="P374" s="69">
        <f t="shared" si="95"/>
        <v>62200.1</v>
      </c>
      <c r="Q374" s="69">
        <f t="shared" si="96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B374" s="66">
        <f>ROUND(69400.87, 0)</f>
        <v>69401</v>
      </c>
      <c r="AC374" s="46" t="s">
        <v>891</v>
      </c>
    </row>
    <row r="375" spans="1:29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11"/>
        <v>1242428.6000000001</v>
      </c>
      <c r="O375" s="66">
        <f t="shared" si="111"/>
        <v>1421274.67</v>
      </c>
      <c r="P375" s="69">
        <f t="shared" si="95"/>
        <v>414142.8666666667</v>
      </c>
      <c r="Q375" s="69">
        <f t="shared" si="96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B375" s="66">
        <f>ROUND(487194.11, 0)</f>
        <v>487194</v>
      </c>
      <c r="AC375" s="46" t="s">
        <v>890</v>
      </c>
    </row>
    <row r="376" spans="1:29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112">ROUND(SUM(H372:H375),5)</f>
        <v>1912297.24</v>
      </c>
      <c r="I376" s="75">
        <f t="shared" si="112"/>
        <v>2105179.7200000002</v>
      </c>
      <c r="J376" s="76">
        <f t="shared" si="112"/>
        <v>2104075.4500000002</v>
      </c>
      <c r="K376" s="76">
        <f t="shared" si="112"/>
        <v>2112580.67</v>
      </c>
      <c r="L376" s="77">
        <f t="shared" si="112"/>
        <v>2149347.75</v>
      </c>
      <c r="M376" s="77">
        <f t="shared" si="112"/>
        <v>2205089.19</v>
      </c>
      <c r="N376" s="78">
        <f t="shared" si="111"/>
        <v>6165720.4400000004</v>
      </c>
      <c r="O376" s="78">
        <f t="shared" si="111"/>
        <v>6422849.5800000001</v>
      </c>
      <c r="P376" s="79">
        <f t="shared" si="95"/>
        <v>2055240.1466666667</v>
      </c>
      <c r="Q376" s="79">
        <f t="shared" si="96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B376" s="80">
        <f>ROUND(SUM(AB372:AB375),5)</f>
        <v>2291617</v>
      </c>
    </row>
    <row r="377" spans="1:29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B377" s="66"/>
    </row>
    <row r="378" spans="1:29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B378" s="66"/>
    </row>
    <row r="379" spans="1:29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82" si="113">ROUND(H379+J379+L379,5)</f>
        <v>4046.28</v>
      </c>
      <c r="O379" s="66">
        <f t="shared" si="113"/>
        <v>3800</v>
      </c>
      <c r="P379" s="69">
        <f t="shared" si="95"/>
        <v>1348.76</v>
      </c>
      <c r="Q379" s="69">
        <f t="shared" si="96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B379" s="66">
        <v>1200</v>
      </c>
      <c r="AC379" s="81"/>
    </row>
    <row r="380" spans="1:29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113"/>
        <v>614951.03</v>
      </c>
      <c r="O380" s="66">
        <f t="shared" si="113"/>
        <v>486000</v>
      </c>
      <c r="P380" s="69">
        <f t="shared" si="95"/>
        <v>204983.67666666667</v>
      </c>
      <c r="Q380" s="69">
        <f t="shared" si="96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B380" s="66">
        <v>190000</v>
      </c>
      <c r="AC380" s="81"/>
    </row>
    <row r="381" spans="1:29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113"/>
        <v>8559.83</v>
      </c>
      <c r="O381" s="66">
        <f t="shared" si="113"/>
        <v>12510</v>
      </c>
      <c r="P381" s="69">
        <f t="shared" si="95"/>
        <v>2853.2766666666666</v>
      </c>
      <c r="Q381" s="69">
        <f t="shared" si="96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B381" s="66">
        <v>4760</v>
      </c>
      <c r="AC381" s="81"/>
    </row>
    <row r="382" spans="1:29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113"/>
        <v>309582.38</v>
      </c>
      <c r="O382" s="66">
        <f t="shared" si="113"/>
        <v>255250</v>
      </c>
      <c r="P382" s="69">
        <f t="shared" si="95"/>
        <v>103194.12666666666</v>
      </c>
      <c r="Q382" s="69">
        <f t="shared" si="96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B382" s="66">
        <v>84000</v>
      </c>
      <c r="AC382" s="81"/>
    </row>
    <row r="383" spans="1:29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ref="N383:N402" si="114">ROUND(H383+J383+L383,5)</f>
        <v>0</v>
      </c>
      <c r="O383" s="66">
        <v>0</v>
      </c>
      <c r="P383" s="69">
        <f t="shared" si="95"/>
        <v>0</v>
      </c>
      <c r="Q383" s="69">
        <f t="shared" si="96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B383" s="66">
        <v>0</v>
      </c>
      <c r="AC383" s="81"/>
    </row>
    <row r="384" spans="1:29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114"/>
        <v>563757.04</v>
      </c>
      <c r="O384" s="66">
        <f t="shared" ref="O384:O402" si="115">ROUND(I384+K384+M384,5)</f>
        <v>385395</v>
      </c>
      <c r="P384" s="69">
        <f t="shared" si="95"/>
        <v>187919.01333333334</v>
      </c>
      <c r="Q384" s="69">
        <f t="shared" si="96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B384" s="66">
        <v>133280</v>
      </c>
      <c r="AC384" s="81"/>
    </row>
    <row r="385" spans="1:29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114"/>
        <v>1218</v>
      </c>
      <c r="O385" s="66">
        <f t="shared" si="115"/>
        <v>18000</v>
      </c>
      <c r="P385" s="69">
        <f t="shared" si="95"/>
        <v>406</v>
      </c>
      <c r="Q385" s="69">
        <f t="shared" si="96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B385" s="66">
        <v>1000</v>
      </c>
      <c r="AC385" s="81"/>
    </row>
    <row r="386" spans="1:29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/>
      <c r="AB386" s="82"/>
      <c r="AC386" s="81"/>
    </row>
    <row r="387" spans="1:29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114"/>
        <v>3483</v>
      </c>
      <c r="O387" s="66">
        <f t="shared" si="115"/>
        <v>13000</v>
      </c>
      <c r="P387" s="69">
        <f t="shared" si="95"/>
        <v>1161</v>
      </c>
      <c r="Q387" s="69">
        <f t="shared" si="96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B387" s="66">
        <v>16000</v>
      </c>
      <c r="AC387" s="81"/>
    </row>
    <row r="388" spans="1:29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114"/>
        <v>2892.1</v>
      </c>
      <c r="O388" s="66">
        <f t="shared" si="115"/>
        <v>18250</v>
      </c>
      <c r="P388" s="69">
        <f t="shared" ref="P388:P450" si="116">N388/3</f>
        <v>964.0333333333333</v>
      </c>
      <c r="Q388" s="69">
        <f t="shared" ref="Q388:Q450" si="117">O388/3</f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B388" s="66">
        <v>12000</v>
      </c>
      <c r="AC388" s="81"/>
    </row>
    <row r="389" spans="1:29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114"/>
        <v>59350</v>
      </c>
      <c r="O389" s="66">
        <f t="shared" si="115"/>
        <v>38500</v>
      </c>
      <c r="P389" s="69">
        <f t="shared" si="116"/>
        <v>19783.333333333332</v>
      </c>
      <c r="Q389" s="69">
        <f t="shared" si="117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B389" s="66">
        <v>13500</v>
      </c>
      <c r="AC389" s="81"/>
    </row>
    <row r="390" spans="1:29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114"/>
        <v>123607.99</v>
      </c>
      <c r="O390" s="66">
        <f t="shared" si="115"/>
        <v>94000</v>
      </c>
      <c r="P390" s="69">
        <f t="shared" si="116"/>
        <v>41202.663333333338</v>
      </c>
      <c r="Q390" s="69">
        <f t="shared" si="117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B390" s="66">
        <v>32000</v>
      </c>
      <c r="AC390" s="81"/>
    </row>
    <row r="391" spans="1:29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114"/>
        <v>1886.2</v>
      </c>
      <c r="O391" s="66">
        <f t="shared" si="115"/>
        <v>3000</v>
      </c>
      <c r="P391" s="69">
        <f t="shared" si="116"/>
        <v>628.73333333333335</v>
      </c>
      <c r="Q391" s="69">
        <f t="shared" si="117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B391" s="66">
        <v>0</v>
      </c>
      <c r="AC391" s="81"/>
    </row>
    <row r="392" spans="1:29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114"/>
        <v>103295.59</v>
      </c>
      <c r="O392" s="66">
        <f t="shared" si="115"/>
        <v>55000</v>
      </c>
      <c r="P392" s="69">
        <f t="shared" si="116"/>
        <v>34431.863333333335</v>
      </c>
      <c r="Q392" s="69">
        <f t="shared" si="117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B392" s="66">
        <v>25000</v>
      </c>
      <c r="AC392" s="81"/>
    </row>
    <row r="393" spans="1:29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114"/>
        <v>35000</v>
      </c>
      <c r="O393" s="66">
        <f t="shared" si="115"/>
        <v>35000</v>
      </c>
      <c r="P393" s="69">
        <f t="shared" si="116"/>
        <v>11666.666666666666</v>
      </c>
      <c r="Q393" s="69">
        <f t="shared" si="117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B393" s="66">
        <v>15000</v>
      </c>
      <c r="AC393" s="81"/>
    </row>
    <row r="394" spans="1:29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114"/>
        <v>37071.82</v>
      </c>
      <c r="O394" s="66">
        <f t="shared" si="115"/>
        <v>21012</v>
      </c>
      <c r="P394" s="69">
        <f t="shared" si="116"/>
        <v>12357.273333333333</v>
      </c>
      <c r="Q394" s="69">
        <f t="shared" si="117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B394" s="66">
        <v>7616</v>
      </c>
      <c r="AC394" s="81"/>
    </row>
    <row r="395" spans="1:29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si="114"/>
        <v>8975</v>
      </c>
      <c r="O395" s="66">
        <f t="shared" si="115"/>
        <v>9000</v>
      </c>
      <c r="P395" s="69">
        <f t="shared" si="116"/>
        <v>2991.6666666666665</v>
      </c>
      <c r="Q395" s="69">
        <f t="shared" si="117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B395" s="66">
        <v>3000</v>
      </c>
      <c r="AC395" s="81"/>
    </row>
    <row r="396" spans="1:29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114"/>
        <v>52589.599999999999</v>
      </c>
      <c r="O396" s="66">
        <f t="shared" si="115"/>
        <v>30000</v>
      </c>
      <c r="P396" s="69">
        <f t="shared" si="116"/>
        <v>17529.866666666665</v>
      </c>
      <c r="Q396" s="69">
        <f t="shared" si="117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B396" s="66">
        <v>10000</v>
      </c>
      <c r="AC396" s="81"/>
    </row>
    <row r="397" spans="1:29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114"/>
        <v>7521.01</v>
      </c>
      <c r="O397" s="66">
        <f t="shared" si="115"/>
        <v>33000</v>
      </c>
      <c r="P397" s="69">
        <f t="shared" si="116"/>
        <v>2507.0033333333336</v>
      </c>
      <c r="Q397" s="69">
        <f t="shared" si="117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B397" s="66">
        <v>10000</v>
      </c>
      <c r="AC397" s="81"/>
    </row>
    <row r="398" spans="1:29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114"/>
        <v>0</v>
      </c>
      <c r="O398" s="66">
        <f t="shared" si="115"/>
        <v>600</v>
      </c>
      <c r="P398" s="69">
        <f t="shared" si="116"/>
        <v>0</v>
      </c>
      <c r="Q398" s="69">
        <f t="shared" si="117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B398" s="66">
        <v>0</v>
      </c>
      <c r="AC398" s="81"/>
    </row>
    <row r="399" spans="1:29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114"/>
        <v>0</v>
      </c>
      <c r="O399" s="66">
        <f t="shared" si="115"/>
        <v>2000</v>
      </c>
      <c r="P399" s="69">
        <f t="shared" si="116"/>
        <v>0</v>
      </c>
      <c r="Q399" s="69">
        <f t="shared" si="117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B399" s="66">
        <v>0</v>
      </c>
      <c r="AC399" s="81"/>
    </row>
    <row r="400" spans="1:29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114"/>
        <v>17586.919999999998</v>
      </c>
      <c r="O400" s="66">
        <f t="shared" si="115"/>
        <v>14000</v>
      </c>
      <c r="P400" s="69">
        <f t="shared" si="116"/>
        <v>5862.3066666666664</v>
      </c>
      <c r="Q400" s="69">
        <f t="shared" si="117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B400" s="66">
        <v>5000</v>
      </c>
      <c r="AC400" s="81"/>
    </row>
    <row r="401" spans="1:29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114"/>
        <v>263874.56</v>
      </c>
      <c r="O401" s="66">
        <f t="shared" si="115"/>
        <v>238680</v>
      </c>
      <c r="P401" s="69">
        <f t="shared" si="116"/>
        <v>87958.186666666661</v>
      </c>
      <c r="Q401" s="69">
        <f t="shared" si="117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B401" s="66">
        <f>16000+38080</f>
        <v>54080</v>
      </c>
      <c r="AC401" s="81"/>
    </row>
    <row r="402" spans="1:29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114"/>
        <v>40633.14</v>
      </c>
      <c r="O402" s="66">
        <f t="shared" si="115"/>
        <v>30000</v>
      </c>
      <c r="P402" s="69">
        <f t="shared" si="116"/>
        <v>13544.38</v>
      </c>
      <c r="Q402" s="69">
        <f t="shared" si="117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B402" s="66">
        <v>10000</v>
      </c>
      <c r="AC402" s="81"/>
    </row>
    <row r="403" spans="1:29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B403" s="66">
        <v>7000</v>
      </c>
      <c r="AC403" s="81"/>
    </row>
    <row r="404" spans="1:29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116"/>
        <v>6954.9000000000005</v>
      </c>
      <c r="Q404" s="74">
        <f t="shared" si="117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B404" s="66">
        <v>0</v>
      </c>
      <c r="AC404" s="81"/>
    </row>
    <row r="405" spans="1:29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118">ROUND(SUM(H403:H404),5)</f>
        <v>4300</v>
      </c>
      <c r="I405" s="63">
        <f t="shared" si="118"/>
        <v>5000</v>
      </c>
      <c r="J405" s="64">
        <f t="shared" si="118"/>
        <v>13564.7</v>
      </c>
      <c r="K405" s="64">
        <f t="shared" si="118"/>
        <v>5000</v>
      </c>
      <c r="L405" s="65">
        <f t="shared" si="118"/>
        <v>3000</v>
      </c>
      <c r="M405" s="65">
        <f t="shared" si="118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116"/>
        <v>6954.9000000000005</v>
      </c>
      <c r="Q405" s="69">
        <f t="shared" si="117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B405" s="66"/>
      <c r="AC405" s="81"/>
    </row>
    <row r="406" spans="1:29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N423" si="119">ROUND(H406+J406+L406,5)</f>
        <v>105788.02</v>
      </c>
      <c r="O406" s="66"/>
      <c r="P406" s="69">
        <f t="shared" si="116"/>
        <v>35262.673333333332</v>
      </c>
      <c r="Q406" s="69">
        <f t="shared" si="117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B406" s="66"/>
      <c r="AC406" s="81"/>
    </row>
    <row r="407" spans="1:29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119"/>
        <v>27888.79</v>
      </c>
      <c r="O407" s="66">
        <f t="shared" ref="O407:O412" si="120">ROUND(I407+K407+M407,5)</f>
        <v>14500</v>
      </c>
      <c r="P407" s="69">
        <f t="shared" si="116"/>
        <v>9296.2633333333342</v>
      </c>
      <c r="Q407" s="69">
        <f t="shared" si="117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B407" s="66">
        <v>6000</v>
      </c>
      <c r="AC407" s="81"/>
    </row>
    <row r="408" spans="1:29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119"/>
        <v>1953.33</v>
      </c>
      <c r="O408" s="66">
        <f t="shared" si="120"/>
        <v>6000</v>
      </c>
      <c r="P408" s="69">
        <f t="shared" si="116"/>
        <v>651.11</v>
      </c>
      <c r="Q408" s="69">
        <f t="shared" si="117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B408" s="66">
        <v>2000</v>
      </c>
      <c r="AC408" s="81"/>
    </row>
    <row r="409" spans="1:29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119"/>
        <v>30325</v>
      </c>
      <c r="O409" s="66">
        <f t="shared" si="120"/>
        <v>48125</v>
      </c>
      <c r="P409" s="69">
        <f t="shared" si="116"/>
        <v>10108.333333333334</v>
      </c>
      <c r="Q409" s="69">
        <f t="shared" si="117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B409" s="66">
        <v>16875</v>
      </c>
      <c r="AC409" s="81"/>
    </row>
    <row r="410" spans="1:29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119"/>
        <v>27786.38</v>
      </c>
      <c r="O410" s="66">
        <f t="shared" si="120"/>
        <v>28000</v>
      </c>
      <c r="P410" s="69">
        <f t="shared" si="116"/>
        <v>9262.126666666667</v>
      </c>
      <c r="Q410" s="69">
        <f t="shared" si="117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B410" s="66">
        <v>10000</v>
      </c>
      <c r="AC410" s="81"/>
    </row>
    <row r="411" spans="1:29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119"/>
        <v>26434.84</v>
      </c>
      <c r="O411" s="66">
        <f t="shared" si="120"/>
        <v>22000</v>
      </c>
      <c r="P411" s="69">
        <f t="shared" si="116"/>
        <v>8811.6133333333328</v>
      </c>
      <c r="Q411" s="69">
        <f t="shared" si="117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B411" s="66">
        <v>8000</v>
      </c>
      <c r="AC411" s="81"/>
    </row>
    <row r="412" spans="1:29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119"/>
        <v>345.05</v>
      </c>
      <c r="O412" s="66">
        <f t="shared" si="120"/>
        <v>5000</v>
      </c>
      <c r="P412" s="69">
        <f t="shared" si="116"/>
        <v>115.01666666666667</v>
      </c>
      <c r="Q412" s="69">
        <f t="shared" si="117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B412" s="66">
        <v>2000</v>
      </c>
      <c r="AC412" s="81"/>
    </row>
    <row r="413" spans="1:29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119"/>
        <v>3188.14</v>
      </c>
      <c r="O413" s="66">
        <v>0</v>
      </c>
      <c r="P413" s="69">
        <f t="shared" si="116"/>
        <v>1062.7133333333334</v>
      </c>
      <c r="Q413" s="69">
        <f t="shared" si="117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B413" s="66">
        <v>0</v>
      </c>
      <c r="AC413" s="81"/>
    </row>
    <row r="414" spans="1:29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119"/>
        <v>15583.87</v>
      </c>
      <c r="O414" s="66">
        <f t="shared" ref="O414:O423" si="121">ROUND(I414+K414+M414,5)</f>
        <v>20000</v>
      </c>
      <c r="P414" s="69">
        <f t="shared" si="116"/>
        <v>5194.6233333333339</v>
      </c>
      <c r="Q414" s="69">
        <f t="shared" si="117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B414" s="66">
        <v>5000</v>
      </c>
      <c r="AC414" s="81"/>
    </row>
    <row r="415" spans="1:29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119"/>
        <v>4107.4799999999996</v>
      </c>
      <c r="O415" s="66">
        <f t="shared" si="121"/>
        <v>8000</v>
      </c>
      <c r="P415" s="69">
        <f t="shared" si="116"/>
        <v>1369.1599999999999</v>
      </c>
      <c r="Q415" s="69">
        <f t="shared" si="117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B415" s="66">
        <v>2000</v>
      </c>
      <c r="AC415" s="81"/>
    </row>
    <row r="416" spans="1:29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119"/>
        <v>10387.33</v>
      </c>
      <c r="O416" s="66">
        <f t="shared" si="121"/>
        <v>11000</v>
      </c>
      <c r="P416" s="69">
        <f t="shared" si="116"/>
        <v>3462.4433333333332</v>
      </c>
      <c r="Q416" s="69">
        <f t="shared" si="117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B416" s="66">
        <v>4000</v>
      </c>
      <c r="AC416" s="81"/>
    </row>
    <row r="417" spans="1:30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119"/>
        <v>123299.08</v>
      </c>
      <c r="O417" s="66">
        <f t="shared" si="121"/>
        <v>180000</v>
      </c>
      <c r="P417" s="69">
        <f t="shared" si="116"/>
        <v>41099.693333333336</v>
      </c>
      <c r="Q417" s="69">
        <f t="shared" si="117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B417" s="66">
        <v>60000</v>
      </c>
      <c r="AC417" s="81"/>
    </row>
    <row r="418" spans="1:30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119"/>
        <v>53539.32</v>
      </c>
      <c r="O418" s="66">
        <f t="shared" si="121"/>
        <v>120000</v>
      </c>
      <c r="P418" s="69">
        <f t="shared" si="116"/>
        <v>17846.439999999999</v>
      </c>
      <c r="Q418" s="69">
        <f t="shared" si="117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B418" s="66">
        <v>50000</v>
      </c>
      <c r="AC418" s="81"/>
    </row>
    <row r="419" spans="1:30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119"/>
        <v>81778</v>
      </c>
      <c r="O419" s="66">
        <f t="shared" si="121"/>
        <v>99652</v>
      </c>
      <c r="P419" s="69">
        <f t="shared" si="116"/>
        <v>27259.333333333332</v>
      </c>
      <c r="Q419" s="69">
        <f t="shared" si="117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B419" s="66">
        <v>33735</v>
      </c>
      <c r="AC419" s="81"/>
    </row>
    <row r="420" spans="1:30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119"/>
        <v>148630.20000000001</v>
      </c>
      <c r="O420" s="66">
        <f t="shared" si="121"/>
        <v>100000</v>
      </c>
      <c r="P420" s="69">
        <f t="shared" si="116"/>
        <v>49543.4</v>
      </c>
      <c r="Q420" s="69">
        <f t="shared" si="117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B420" s="66">
        <v>40000</v>
      </c>
      <c r="AC420" s="81"/>
    </row>
    <row r="421" spans="1:30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119"/>
        <v>1435.5</v>
      </c>
      <c r="O421" s="66">
        <f t="shared" si="121"/>
        <v>10500</v>
      </c>
      <c r="P421" s="69">
        <f t="shared" si="116"/>
        <v>478.5</v>
      </c>
      <c r="Q421" s="69">
        <f t="shared" si="117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B421" s="66">
        <v>0</v>
      </c>
      <c r="AC421" s="81"/>
    </row>
    <row r="422" spans="1:30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119"/>
        <v>32871.629999999997</v>
      </c>
      <c r="O422" s="66">
        <f t="shared" si="121"/>
        <v>58400</v>
      </c>
      <c r="P422" s="69">
        <f t="shared" si="116"/>
        <v>10957.21</v>
      </c>
      <c r="Q422" s="69">
        <f t="shared" si="117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B422" s="66">
        <v>30000</v>
      </c>
      <c r="AC422" s="81"/>
    </row>
    <row r="423" spans="1:30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122">ROUND(SUM(H378:H402)+SUM(H405:H422),5)</f>
        <v>971394.67</v>
      </c>
      <c r="I423" s="75">
        <f t="shared" si="122"/>
        <v>759280</v>
      </c>
      <c r="J423" s="76">
        <f t="shared" si="122"/>
        <v>1081537.1200000001</v>
      </c>
      <c r="K423" s="76">
        <f t="shared" si="122"/>
        <v>896198</v>
      </c>
      <c r="L423" s="77">
        <f t="shared" si="122"/>
        <v>923156.36</v>
      </c>
      <c r="M423" s="77">
        <f t="shared" si="122"/>
        <v>887696</v>
      </c>
      <c r="N423" s="78">
        <f t="shared" si="119"/>
        <v>2976088.15</v>
      </c>
      <c r="O423" s="78">
        <f t="shared" si="121"/>
        <v>2543174</v>
      </c>
      <c r="P423" s="79">
        <f t="shared" si="116"/>
        <v>992029.3833333333</v>
      </c>
      <c r="Q423" s="79">
        <f t="shared" si="117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B423" s="80">
        <f>ROUND(SUM(AB378:AB422),5)</f>
        <v>904046</v>
      </c>
      <c r="AC423" s="127">
        <f>AB215-AB423</f>
        <v>-28046</v>
      </c>
    </row>
    <row r="424" spans="1:30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B424" s="66"/>
      <c r="AC424" s="128" t="s">
        <v>892</v>
      </c>
    </row>
    <row r="425" spans="1:30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116"/>
        <v>3054.66</v>
      </c>
      <c r="Q425" s="69">
        <f t="shared" si="117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B425" s="66">
        <v>0</v>
      </c>
    </row>
    <row r="426" spans="1:30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116"/>
        <v>1456.0866666666668</v>
      </c>
      <c r="Q426" s="69">
        <f t="shared" si="117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B426" s="66">
        <v>0</v>
      </c>
    </row>
    <row r="427" spans="1:30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116"/>
        <v>4510.7466666666669</v>
      </c>
      <c r="Q427" s="87">
        <f t="shared" si="117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B427" s="88">
        <f>ROUND(SUM(AB424:AB426),5)</f>
        <v>0</v>
      </c>
    </row>
    <row r="428" spans="1:30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123">ROUND(H377+H423+H427,5)</f>
        <v>971394.67</v>
      </c>
      <c r="I428" s="63">
        <f t="shared" si="123"/>
        <v>759280</v>
      </c>
      <c r="J428" s="64">
        <f t="shared" si="123"/>
        <v>1094481.01</v>
      </c>
      <c r="K428" s="64">
        <f t="shared" si="123"/>
        <v>896198</v>
      </c>
      <c r="L428" s="65">
        <f t="shared" si="123"/>
        <v>923744.71</v>
      </c>
      <c r="M428" s="65">
        <f t="shared" si="123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116"/>
        <v>996540.13</v>
      </c>
      <c r="Q428" s="69">
        <f t="shared" si="117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B428" s="66">
        <f>ROUND(AB377+AB423+AB427,5)</f>
        <v>904046</v>
      </c>
    </row>
    <row r="429" spans="1:30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116"/>
        <v>0</v>
      </c>
      <c r="Q429" s="69">
        <f t="shared" si="117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B429" s="66"/>
    </row>
    <row r="430" spans="1:30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116"/>
        <v>0</v>
      </c>
      <c r="Q430" s="69">
        <f t="shared" si="117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B430" s="66"/>
    </row>
    <row r="431" spans="1:30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N441" si="124">ROUND(H431+J431+L431,5)</f>
        <v>22454.45</v>
      </c>
      <c r="O431" s="66">
        <f t="shared" ref="O431:O441" si="125">ROUND(I431+K431+M431,5)</f>
        <v>22500</v>
      </c>
      <c r="P431" s="69">
        <f t="shared" si="116"/>
        <v>7484.8166666666666</v>
      </c>
      <c r="Q431" s="69">
        <f t="shared" si="117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B431" s="66">
        <v>9000</v>
      </c>
      <c r="AD431" s="81">
        <f>AB431-Z431</f>
        <v>0</v>
      </c>
    </row>
    <row r="432" spans="1:30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124"/>
        <v>13414.87</v>
      </c>
      <c r="O432" s="66">
        <f t="shared" si="125"/>
        <v>22500</v>
      </c>
      <c r="P432" s="69">
        <f t="shared" si="116"/>
        <v>4471.6233333333339</v>
      </c>
      <c r="Q432" s="69">
        <f t="shared" si="117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B432" s="66">
        <v>9000</v>
      </c>
      <c r="AD432" s="81">
        <f t="shared" ref="AD432:AD489" si="126">AB432-Z432</f>
        <v>0</v>
      </c>
    </row>
    <row r="433" spans="1:30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124"/>
        <v>14590.26</v>
      </c>
      <c r="O433" s="66">
        <f t="shared" si="125"/>
        <v>22500</v>
      </c>
      <c r="P433" s="69">
        <f t="shared" si="116"/>
        <v>4863.42</v>
      </c>
      <c r="Q433" s="69">
        <f t="shared" si="117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B433" s="66">
        <v>9000</v>
      </c>
      <c r="AD433" s="81">
        <f t="shared" si="126"/>
        <v>0</v>
      </c>
    </row>
    <row r="434" spans="1:30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124"/>
        <v>11509.98</v>
      </c>
      <c r="O434" s="66">
        <f t="shared" si="125"/>
        <v>22500</v>
      </c>
      <c r="P434" s="69">
        <f t="shared" si="116"/>
        <v>3836.66</v>
      </c>
      <c r="Q434" s="69">
        <f t="shared" si="117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B434" s="66">
        <v>9000</v>
      </c>
      <c r="AD434" s="81">
        <f t="shared" si="126"/>
        <v>0</v>
      </c>
    </row>
    <row r="435" spans="1:30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124"/>
        <v>19031.37</v>
      </c>
      <c r="O435" s="66">
        <f t="shared" si="125"/>
        <v>22500</v>
      </c>
      <c r="P435" s="69">
        <f t="shared" si="116"/>
        <v>6343.79</v>
      </c>
      <c r="Q435" s="69">
        <f t="shared" si="117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B435" s="66">
        <v>9000</v>
      </c>
      <c r="AD435" s="81">
        <f t="shared" si="126"/>
        <v>0</v>
      </c>
    </row>
    <row r="436" spans="1:30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124"/>
        <v>19829.439999999999</v>
      </c>
      <c r="O436" s="66">
        <f t="shared" si="125"/>
        <v>22500</v>
      </c>
      <c r="P436" s="69">
        <f t="shared" si="116"/>
        <v>6609.8133333333326</v>
      </c>
      <c r="Q436" s="69">
        <f t="shared" si="117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B436" s="66">
        <v>9000</v>
      </c>
      <c r="AD436" s="81">
        <f t="shared" si="126"/>
        <v>0</v>
      </c>
    </row>
    <row r="437" spans="1:30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124"/>
        <v>6373.1</v>
      </c>
      <c r="O437" s="66">
        <f t="shared" si="125"/>
        <v>22500</v>
      </c>
      <c r="P437" s="69">
        <f t="shared" si="116"/>
        <v>2124.3666666666668</v>
      </c>
      <c r="Q437" s="69">
        <f t="shared" si="117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B437" s="66">
        <v>9000</v>
      </c>
      <c r="AD437" s="81">
        <f t="shared" si="126"/>
        <v>0</v>
      </c>
    </row>
    <row r="438" spans="1:30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124"/>
        <v>18080.3</v>
      </c>
      <c r="O438" s="66">
        <f t="shared" si="125"/>
        <v>22500</v>
      </c>
      <c r="P438" s="69">
        <f t="shared" si="116"/>
        <v>6026.7666666666664</v>
      </c>
      <c r="Q438" s="69">
        <f t="shared" si="117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B438" s="66">
        <v>9000</v>
      </c>
      <c r="AD438" s="81">
        <f t="shared" si="126"/>
        <v>0</v>
      </c>
    </row>
    <row r="439" spans="1:30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124"/>
        <v>7603.5</v>
      </c>
      <c r="O439" s="66">
        <f t="shared" si="125"/>
        <v>22500</v>
      </c>
      <c r="P439" s="69">
        <f t="shared" si="116"/>
        <v>2534.5</v>
      </c>
      <c r="Q439" s="69">
        <f t="shared" si="117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B439" s="66">
        <v>9000</v>
      </c>
      <c r="AD439" s="81">
        <f t="shared" si="126"/>
        <v>0</v>
      </c>
    </row>
    <row r="440" spans="1:30" ht="16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124"/>
        <v>10711.38</v>
      </c>
      <c r="O440" s="73">
        <f t="shared" si="125"/>
        <v>22500</v>
      </c>
      <c r="P440" s="74">
        <f t="shared" si="116"/>
        <v>3570.4599999999996</v>
      </c>
      <c r="Q440" s="74">
        <f t="shared" si="117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B440" s="73">
        <v>9000</v>
      </c>
      <c r="AD440" s="81">
        <f t="shared" si="126"/>
        <v>0</v>
      </c>
    </row>
    <row r="441" spans="1:30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127">ROUND(SUM(H430:H440),5)</f>
        <v>39609.57</v>
      </c>
      <c r="I441" s="63">
        <f t="shared" si="127"/>
        <v>75000</v>
      </c>
      <c r="J441" s="64">
        <f t="shared" si="127"/>
        <v>50436.92</v>
      </c>
      <c r="K441" s="64">
        <f t="shared" si="127"/>
        <v>75000</v>
      </c>
      <c r="L441" s="65">
        <f t="shared" si="127"/>
        <v>53552.160000000003</v>
      </c>
      <c r="M441" s="65">
        <f t="shared" si="127"/>
        <v>75000</v>
      </c>
      <c r="N441" s="66">
        <f t="shared" si="124"/>
        <v>143598.65</v>
      </c>
      <c r="O441" s="66">
        <f t="shared" si="125"/>
        <v>225000</v>
      </c>
      <c r="P441" s="69">
        <f t="shared" si="116"/>
        <v>47866.216666666667</v>
      </c>
      <c r="Q441" s="69">
        <f t="shared" si="117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B441" s="80">
        <f>ROUND(SUM(AB430:AB440),5)</f>
        <v>90000</v>
      </c>
      <c r="AD441" s="81">
        <f t="shared" si="126"/>
        <v>0</v>
      </c>
    </row>
    <row r="442" spans="1:30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B442" s="66"/>
      <c r="AD442" s="81"/>
    </row>
    <row r="443" spans="1:30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B443" s="66"/>
      <c r="AD443" s="81"/>
    </row>
    <row r="444" spans="1:30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N455" si="128">ROUND(H444+J444+L444,5)</f>
        <v>3082.32</v>
      </c>
      <c r="O444" s="66">
        <f t="shared" ref="O444:O455" si="129">ROUND(I444+K444+M444,5)</f>
        <v>6500</v>
      </c>
      <c r="P444" s="69">
        <f t="shared" si="116"/>
        <v>1027.44</v>
      </c>
      <c r="Q444" s="69">
        <f t="shared" si="117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B444" s="66">
        <v>3700</v>
      </c>
      <c r="AD444" s="81">
        <f t="shared" si="126"/>
        <v>200</v>
      </c>
    </row>
    <row r="445" spans="1:30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128"/>
        <v>4346.18</v>
      </c>
      <c r="O445" s="66">
        <f t="shared" si="129"/>
        <v>6500</v>
      </c>
      <c r="P445" s="69">
        <f t="shared" si="116"/>
        <v>1448.7266666666667</v>
      </c>
      <c r="Q445" s="69">
        <f t="shared" si="117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B445" s="66">
        <v>3700</v>
      </c>
      <c r="AD445" s="81">
        <f t="shared" si="126"/>
        <v>200</v>
      </c>
    </row>
    <row r="446" spans="1:30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128"/>
        <v>1181.1600000000001</v>
      </c>
      <c r="O446" s="66">
        <f t="shared" si="129"/>
        <v>6500</v>
      </c>
      <c r="P446" s="69">
        <f t="shared" si="116"/>
        <v>393.72</v>
      </c>
      <c r="Q446" s="69">
        <f t="shared" si="117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B446" s="66">
        <v>3700</v>
      </c>
      <c r="AC446" s="89"/>
      <c r="AD446" s="81">
        <f t="shared" si="126"/>
        <v>200</v>
      </c>
    </row>
    <row r="447" spans="1:30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128"/>
        <v>1117.28</v>
      </c>
      <c r="O447" s="66">
        <f t="shared" si="129"/>
        <v>3500</v>
      </c>
      <c r="P447" s="69">
        <f t="shared" si="116"/>
        <v>372.42666666666668</v>
      </c>
      <c r="Q447" s="69">
        <f t="shared" si="117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B447" s="66">
        <v>3700</v>
      </c>
      <c r="AC447" s="89"/>
      <c r="AD447" s="81">
        <f t="shared" si="126"/>
        <v>200</v>
      </c>
    </row>
    <row r="448" spans="1:30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128"/>
        <v>5060.6499999999996</v>
      </c>
      <c r="O448" s="66">
        <f t="shared" si="129"/>
        <v>6500</v>
      </c>
      <c r="P448" s="69">
        <f t="shared" si="116"/>
        <v>1686.8833333333332</v>
      </c>
      <c r="Q448" s="69">
        <f t="shared" si="117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B448" s="66">
        <v>3700</v>
      </c>
      <c r="AC448" s="89"/>
      <c r="AD448" s="81">
        <f t="shared" si="126"/>
        <v>200</v>
      </c>
    </row>
    <row r="449" spans="1:30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128"/>
        <v>2560.85</v>
      </c>
      <c r="O449" s="66">
        <f t="shared" si="129"/>
        <v>3500</v>
      </c>
      <c r="P449" s="69">
        <f t="shared" si="116"/>
        <v>853.61666666666667</v>
      </c>
      <c r="Q449" s="69">
        <f t="shared" si="117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B449" s="66">
        <v>3700</v>
      </c>
      <c r="AC449" s="116" t="s">
        <v>862</v>
      </c>
      <c r="AD449" s="81">
        <f t="shared" si="126"/>
        <v>200</v>
      </c>
    </row>
    <row r="450" spans="1:30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128"/>
        <v>4712.95</v>
      </c>
      <c r="O450" s="66">
        <f t="shared" si="129"/>
        <v>6500</v>
      </c>
      <c r="P450" s="69">
        <f t="shared" si="116"/>
        <v>1570.9833333333333</v>
      </c>
      <c r="Q450" s="69">
        <f t="shared" si="117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B450" s="66">
        <v>3700</v>
      </c>
      <c r="AC450" s="89"/>
      <c r="AD450" s="81">
        <f t="shared" si="126"/>
        <v>200</v>
      </c>
    </row>
    <row r="451" spans="1:30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128"/>
        <v>10623.42</v>
      </c>
      <c r="O451" s="66">
        <f t="shared" si="129"/>
        <v>6500</v>
      </c>
      <c r="P451" s="69">
        <f t="shared" ref="P451:P508" si="130">N451/3</f>
        <v>3541.14</v>
      </c>
      <c r="Q451" s="69">
        <f t="shared" ref="Q451:Q508" si="131">O451/3</f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B451" s="66">
        <v>3700</v>
      </c>
      <c r="AC451" s="116" t="s">
        <v>863</v>
      </c>
      <c r="AD451" s="81">
        <f t="shared" si="126"/>
        <v>200</v>
      </c>
    </row>
    <row r="452" spans="1:30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128"/>
        <v>4606.37</v>
      </c>
      <c r="O452" s="66">
        <f t="shared" si="129"/>
        <v>6500</v>
      </c>
      <c r="P452" s="69">
        <f t="shared" si="130"/>
        <v>1535.4566666666667</v>
      </c>
      <c r="Q452" s="69">
        <f t="shared" si="131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B452" s="66">
        <v>3700</v>
      </c>
      <c r="AC452" s="89"/>
      <c r="AD452" s="81">
        <f t="shared" si="126"/>
        <v>200</v>
      </c>
    </row>
    <row r="453" spans="1:30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128"/>
        <v>0</v>
      </c>
      <c r="O453" s="66">
        <f t="shared" si="129"/>
        <v>79500</v>
      </c>
      <c r="P453" s="69">
        <f t="shared" si="130"/>
        <v>0</v>
      </c>
      <c r="Q453" s="69">
        <f t="shared" si="131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B453" s="65">
        <v>20000</v>
      </c>
      <c r="AC453" s="116" t="s">
        <v>865</v>
      </c>
      <c r="AD453" s="81">
        <f t="shared" si="126"/>
        <v>-2000</v>
      </c>
    </row>
    <row r="454" spans="1:30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132">ROUND(SUM(H443:H453),5)</f>
        <v>8532.3799999999992</v>
      </c>
      <c r="I454" s="75">
        <f t="shared" si="132"/>
        <v>49500</v>
      </c>
      <c r="J454" s="76">
        <f t="shared" si="132"/>
        <v>10517.83</v>
      </c>
      <c r="K454" s="76">
        <f t="shared" si="132"/>
        <v>31000</v>
      </c>
      <c r="L454" s="77">
        <f t="shared" si="132"/>
        <v>18240.97</v>
      </c>
      <c r="M454" s="77">
        <f t="shared" si="132"/>
        <v>51500</v>
      </c>
      <c r="N454" s="78">
        <f t="shared" si="128"/>
        <v>37291.18</v>
      </c>
      <c r="O454" s="78">
        <f t="shared" si="129"/>
        <v>132000</v>
      </c>
      <c r="P454" s="79">
        <f t="shared" si="130"/>
        <v>12430.393333333333</v>
      </c>
      <c r="Q454" s="79">
        <f t="shared" si="131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B454" s="88">
        <f>ROUND(SUM(AB443:AB453),5)</f>
        <v>53300</v>
      </c>
      <c r="AC454" s="89"/>
      <c r="AD454" s="81">
        <f t="shared" si="126"/>
        <v>-200</v>
      </c>
    </row>
    <row r="455" spans="1:30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133">ROUND(H442+SUM(H454:H454),5)</f>
        <v>8532.3799999999992</v>
      </c>
      <c r="I455" s="75">
        <f t="shared" si="133"/>
        <v>49500</v>
      </c>
      <c r="J455" s="76">
        <f t="shared" si="133"/>
        <v>10517.83</v>
      </c>
      <c r="K455" s="76">
        <f t="shared" si="133"/>
        <v>31000</v>
      </c>
      <c r="L455" s="77">
        <f t="shared" si="133"/>
        <v>18240.97</v>
      </c>
      <c r="M455" s="77">
        <f t="shared" si="133"/>
        <v>51500</v>
      </c>
      <c r="N455" s="78">
        <f t="shared" si="128"/>
        <v>37291.18</v>
      </c>
      <c r="O455" s="78">
        <f t="shared" si="129"/>
        <v>132000</v>
      </c>
      <c r="P455" s="79">
        <f t="shared" si="130"/>
        <v>12430.393333333333</v>
      </c>
      <c r="Q455" s="79">
        <f t="shared" si="131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B455" s="78">
        <f>ROUND(AB442+SUM(AB454:AB454),5)</f>
        <v>53300</v>
      </c>
      <c r="AC455" s="89"/>
      <c r="AD455" s="81">
        <f t="shared" si="126"/>
        <v>-200</v>
      </c>
    </row>
    <row r="456" spans="1:30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B456" s="66"/>
      <c r="AC456" s="89"/>
      <c r="AD456" s="81"/>
    </row>
    <row r="457" spans="1:30" ht="16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134">ROUND(H457+J457+L457,5)</f>
        <v>9342.6299999999992</v>
      </c>
      <c r="O457" s="66">
        <f t="shared" si="134"/>
        <v>11500</v>
      </c>
      <c r="P457" s="69">
        <f t="shared" si="130"/>
        <v>3114.2099999999996</v>
      </c>
      <c r="Q457" s="69">
        <f t="shared" si="131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B457" s="65">
        <f>Travel!T170</f>
        <v>9250</v>
      </c>
      <c r="AC457" s="117" t="s">
        <v>852</v>
      </c>
      <c r="AD457" s="81">
        <f t="shared" si="126"/>
        <v>5750</v>
      </c>
    </row>
    <row r="458" spans="1:30" ht="16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134"/>
        <v>17829.34</v>
      </c>
      <c r="O458" s="66">
        <f t="shared" si="134"/>
        <v>38500</v>
      </c>
      <c r="P458" s="69">
        <f t="shared" si="130"/>
        <v>5943.1133333333337</v>
      </c>
      <c r="Q458" s="69">
        <f t="shared" si="131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B458" s="66">
        <v>19500</v>
      </c>
      <c r="AC458" s="89"/>
      <c r="AD458" s="81">
        <f t="shared" si="126"/>
        <v>-1000</v>
      </c>
    </row>
    <row r="459" spans="1:30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134"/>
        <v>27125.43</v>
      </c>
      <c r="O459" s="66">
        <f t="shared" si="134"/>
        <v>30000</v>
      </c>
      <c r="P459" s="69">
        <f t="shared" si="130"/>
        <v>9041.81</v>
      </c>
      <c r="Q459" s="69">
        <f t="shared" si="131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B459" s="66">
        <v>15000</v>
      </c>
      <c r="AC459" s="114"/>
      <c r="AD459" s="81">
        <f t="shared" si="126"/>
        <v>0</v>
      </c>
    </row>
    <row r="460" spans="1:30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134"/>
        <v>82292.61</v>
      </c>
      <c r="O460" s="66">
        <f t="shared" si="134"/>
        <v>96550</v>
      </c>
      <c r="P460" s="69">
        <f t="shared" si="130"/>
        <v>27430.87</v>
      </c>
      <c r="Q460" s="69">
        <f t="shared" si="131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B460" s="66">
        <v>46550</v>
      </c>
      <c r="AC460" s="89"/>
      <c r="AD460" s="81">
        <f t="shared" si="126"/>
        <v>0</v>
      </c>
    </row>
    <row r="461" spans="1:30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134"/>
        <v>77589.72</v>
      </c>
      <c r="O461" s="66">
        <f t="shared" si="134"/>
        <v>107235</v>
      </c>
      <c r="P461" s="69">
        <f t="shared" si="130"/>
        <v>25863.24</v>
      </c>
      <c r="Q461" s="69">
        <f t="shared" si="131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B461" s="66">
        <f>Travel!$T$224</f>
        <v>30000</v>
      </c>
      <c r="AC461" s="89"/>
      <c r="AD461" s="81">
        <f t="shared" si="126"/>
        <v>-10620</v>
      </c>
    </row>
    <row r="462" spans="1:30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134"/>
        <v>8410.5499999999993</v>
      </c>
      <c r="O462" s="66">
        <f t="shared" si="134"/>
        <v>9500</v>
      </c>
      <c r="P462" s="69">
        <f t="shared" si="130"/>
        <v>2803.5166666666664</v>
      </c>
      <c r="Q462" s="69">
        <f t="shared" si="131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B462" s="66">
        <v>3700</v>
      </c>
      <c r="AC462" s="89"/>
      <c r="AD462" s="81">
        <f t="shared" si="126"/>
        <v>200</v>
      </c>
    </row>
    <row r="463" spans="1:30" ht="32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134"/>
        <v>1939.64</v>
      </c>
      <c r="O463" s="66">
        <f t="shared" si="134"/>
        <v>16500</v>
      </c>
      <c r="P463" s="69">
        <f t="shared" si="130"/>
        <v>646.54666666666674</v>
      </c>
      <c r="Q463" s="69">
        <f t="shared" si="131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B463" s="65">
        <v>9000</v>
      </c>
      <c r="AC463" s="116" t="s">
        <v>864</v>
      </c>
      <c r="AD463" s="81">
        <f t="shared" si="126"/>
        <v>500</v>
      </c>
    </row>
    <row r="464" spans="1:30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135">ROUND(SUM(H456:H463),5)</f>
        <v>68157.66</v>
      </c>
      <c r="I464" s="75">
        <f t="shared" si="135"/>
        <v>97000</v>
      </c>
      <c r="J464" s="76">
        <f t="shared" si="135"/>
        <v>75651.53</v>
      </c>
      <c r="K464" s="76">
        <f t="shared" si="135"/>
        <v>88000</v>
      </c>
      <c r="L464" s="77">
        <f t="shared" si="135"/>
        <v>80720.73</v>
      </c>
      <c r="M464" s="77">
        <f t="shared" si="135"/>
        <v>124785</v>
      </c>
      <c r="N464" s="78">
        <f t="shared" si="134"/>
        <v>224529.92000000001</v>
      </c>
      <c r="O464" s="78">
        <f t="shared" si="134"/>
        <v>309785</v>
      </c>
      <c r="P464" s="79">
        <f t="shared" si="130"/>
        <v>74843.306666666671</v>
      </c>
      <c r="Q464" s="79">
        <f t="shared" si="131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B464" s="91">
        <f>ROUND(SUM(AB456:AB463),5)</f>
        <v>133000</v>
      </c>
      <c r="AC464" s="89"/>
      <c r="AD464" s="81">
        <f t="shared" si="126"/>
        <v>-5170</v>
      </c>
    </row>
    <row r="465" spans="1:30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130"/>
        <v>0</v>
      </c>
      <c r="Q465" s="69">
        <f t="shared" si="131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B465" s="66"/>
      <c r="AC465" s="89"/>
      <c r="AD465" s="81"/>
    </row>
    <row r="466" spans="1:30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136">ROUND(H466+J466+L466,5)</f>
        <v>0</v>
      </c>
      <c r="O466" s="66">
        <f t="shared" si="136"/>
        <v>4350</v>
      </c>
      <c r="P466" s="69">
        <f t="shared" si="130"/>
        <v>0</v>
      </c>
      <c r="Q466" s="69">
        <f t="shared" si="131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B466" s="69">
        <f>Travel!$T$228</f>
        <v>1300</v>
      </c>
      <c r="AC466" s="90" t="s">
        <v>845</v>
      </c>
      <c r="AD466" s="81">
        <f t="shared" si="126"/>
        <v>0</v>
      </c>
    </row>
    <row r="467" spans="1:30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136"/>
        <v>6468.36</v>
      </c>
      <c r="O467" s="66">
        <f t="shared" si="136"/>
        <v>27000</v>
      </c>
      <c r="P467" s="69">
        <f t="shared" si="130"/>
        <v>2156.12</v>
      </c>
      <c r="Q467" s="69">
        <f t="shared" si="131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B467" s="69">
        <f>Travel!$T$233</f>
        <v>18000</v>
      </c>
      <c r="AC467" s="90" t="s">
        <v>845</v>
      </c>
      <c r="AD467" s="81">
        <f t="shared" si="126"/>
        <v>11000</v>
      </c>
    </row>
    <row r="468" spans="1:30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136"/>
        <v>1454.32</v>
      </c>
      <c r="O468" s="73">
        <f t="shared" si="136"/>
        <v>7100</v>
      </c>
      <c r="P468" s="74">
        <f t="shared" si="130"/>
        <v>484.77333333333331</v>
      </c>
      <c r="Q468" s="74">
        <f t="shared" si="131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B468" s="69">
        <f>Travel!$T$237</f>
        <v>0</v>
      </c>
      <c r="AC468" s="90" t="s">
        <v>845</v>
      </c>
      <c r="AD468" s="81">
        <f t="shared" si="126"/>
        <v>-2600</v>
      </c>
    </row>
    <row r="469" spans="1:30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137">ROUND(SUM(H465:H468),5)</f>
        <v>2517.89</v>
      </c>
      <c r="I469" s="63">
        <f t="shared" si="137"/>
        <v>15000</v>
      </c>
      <c r="J469" s="64">
        <f t="shared" si="137"/>
        <v>3142.66</v>
      </c>
      <c r="K469" s="64">
        <f t="shared" si="137"/>
        <v>12550</v>
      </c>
      <c r="L469" s="65">
        <f t="shared" si="137"/>
        <v>2262.13</v>
      </c>
      <c r="M469" s="65">
        <f t="shared" si="137"/>
        <v>10900</v>
      </c>
      <c r="N469" s="66">
        <f t="shared" si="136"/>
        <v>7922.68</v>
      </c>
      <c r="O469" s="66">
        <f t="shared" si="136"/>
        <v>38450</v>
      </c>
      <c r="P469" s="69">
        <f t="shared" si="130"/>
        <v>2640.8933333333334</v>
      </c>
      <c r="Q469" s="69">
        <f t="shared" si="131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B469" s="91">
        <f>ROUND(SUM(AB465:AB468),5)</f>
        <v>19300</v>
      </c>
      <c r="AC469" s="89"/>
      <c r="AD469" s="81">
        <f t="shared" si="126"/>
        <v>8400</v>
      </c>
    </row>
    <row r="470" spans="1:30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B470" s="66"/>
      <c r="AC470" s="89"/>
      <c r="AD470" s="81"/>
    </row>
    <row r="471" spans="1:30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N479" si="138">ROUND(H471+J471+L471,5)</f>
        <v>40121.949999999997</v>
      </c>
      <c r="O471" s="66">
        <f t="shared" ref="O471:O479" si="139">ROUND(I471+K471+M471,5)</f>
        <v>50000</v>
      </c>
      <c r="P471" s="69">
        <f t="shared" si="130"/>
        <v>13373.983333333332</v>
      </c>
      <c r="Q471" s="69">
        <f t="shared" si="131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B471" s="69">
        <f>Travel!$T$248</f>
        <v>18000</v>
      </c>
      <c r="AC471" s="90" t="s">
        <v>845</v>
      </c>
      <c r="AD471" s="81">
        <f t="shared" si="126"/>
        <v>-3850</v>
      </c>
    </row>
    <row r="472" spans="1:30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138"/>
        <v>298044.73</v>
      </c>
      <c r="O472" s="66">
        <f t="shared" si="139"/>
        <v>298300</v>
      </c>
      <c r="P472" s="69">
        <f t="shared" si="130"/>
        <v>99348.243333333332</v>
      </c>
      <c r="Q472" s="69">
        <f t="shared" si="131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B472" s="69">
        <f>Travel!T262</f>
        <v>92000</v>
      </c>
      <c r="AC472" s="90" t="s">
        <v>845</v>
      </c>
      <c r="AD472" s="81">
        <f t="shared" si="126"/>
        <v>300</v>
      </c>
    </row>
    <row r="473" spans="1:30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138"/>
        <v>91427.03</v>
      </c>
      <c r="O473" s="66">
        <f t="shared" si="139"/>
        <v>71500</v>
      </c>
      <c r="P473" s="69">
        <f t="shared" si="130"/>
        <v>30475.676666666666</v>
      </c>
      <c r="Q473" s="69">
        <f t="shared" si="131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B473" s="69">
        <f>Travel!$T$289</f>
        <v>29500</v>
      </c>
      <c r="AC473" s="90" t="s">
        <v>845</v>
      </c>
      <c r="AD473" s="81">
        <f t="shared" si="126"/>
        <v>2000</v>
      </c>
    </row>
    <row r="474" spans="1:30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138"/>
        <v>3636.89</v>
      </c>
      <c r="O474" s="66">
        <f t="shared" si="139"/>
        <v>16000</v>
      </c>
      <c r="P474" s="69">
        <f t="shared" si="130"/>
        <v>1212.2966666666666</v>
      </c>
      <c r="Q474" s="69">
        <f t="shared" si="131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B474" s="69">
        <f>Travel!$T$290</f>
        <v>3000</v>
      </c>
      <c r="AC474" s="90" t="s">
        <v>845</v>
      </c>
      <c r="AD474" s="81">
        <f t="shared" si="126"/>
        <v>0</v>
      </c>
    </row>
    <row r="475" spans="1:30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138"/>
        <v>1704.48</v>
      </c>
      <c r="O475" s="66">
        <f t="shared" si="139"/>
        <v>13000</v>
      </c>
      <c r="P475" s="69">
        <f t="shared" si="130"/>
        <v>568.16</v>
      </c>
      <c r="Q475" s="69">
        <f t="shared" si="131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B475" s="69">
        <f>Travel!$T$291</f>
        <v>9000</v>
      </c>
      <c r="AC475" s="90" t="s">
        <v>845</v>
      </c>
      <c r="AD475" s="81">
        <f t="shared" si="126"/>
        <v>6000</v>
      </c>
    </row>
    <row r="476" spans="1:30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138"/>
        <v>323010.53999999998</v>
      </c>
      <c r="O476" s="66">
        <f t="shared" si="139"/>
        <v>333639</v>
      </c>
      <c r="P476" s="69">
        <f t="shared" si="130"/>
        <v>107670.18</v>
      </c>
      <c r="Q476" s="69">
        <f t="shared" si="131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B476" s="69">
        <f>Travel!$AE$34</f>
        <v>138650</v>
      </c>
      <c r="AC476" s="90" t="s">
        <v>845</v>
      </c>
      <c r="AD476" s="81">
        <f t="shared" si="126"/>
        <v>29755</v>
      </c>
    </row>
    <row r="477" spans="1:30" ht="16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138"/>
        <v>38757.58</v>
      </c>
      <c r="O477" s="66">
        <f t="shared" si="139"/>
        <v>20000</v>
      </c>
      <c r="P477" s="69">
        <f t="shared" si="130"/>
        <v>12919.193333333335</v>
      </c>
      <c r="Q477" s="69">
        <f t="shared" si="131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B477" s="69">
        <f>Travel!$T$292</f>
        <v>17500</v>
      </c>
      <c r="AC477" s="90" t="s">
        <v>845</v>
      </c>
      <c r="AD477" s="81">
        <f t="shared" si="126"/>
        <v>7500</v>
      </c>
    </row>
    <row r="478" spans="1:30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138"/>
        <v>9458.01</v>
      </c>
      <c r="O478" s="66">
        <f t="shared" si="139"/>
        <v>15000</v>
      </c>
      <c r="P478" s="69">
        <f t="shared" si="130"/>
        <v>3152.67</v>
      </c>
      <c r="Q478" s="69">
        <f t="shared" si="131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B478" s="69">
        <f>Travel!$T$293</f>
        <v>5000</v>
      </c>
      <c r="AC478" s="90" t="s">
        <v>845</v>
      </c>
      <c r="AD478" s="81">
        <f t="shared" si="126"/>
        <v>0</v>
      </c>
    </row>
    <row r="479" spans="1:30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140">ROUND(SUM(H470:H478),5)</f>
        <v>239537.82</v>
      </c>
      <c r="I479" s="75">
        <f t="shared" si="140"/>
        <v>266000</v>
      </c>
      <c r="J479" s="76">
        <f t="shared" si="140"/>
        <v>275471.45</v>
      </c>
      <c r="K479" s="76">
        <f t="shared" si="140"/>
        <v>278000</v>
      </c>
      <c r="L479" s="77">
        <f t="shared" si="140"/>
        <v>291151.94</v>
      </c>
      <c r="M479" s="77">
        <f t="shared" si="140"/>
        <v>273439</v>
      </c>
      <c r="N479" s="78">
        <f t="shared" si="138"/>
        <v>806161.21</v>
      </c>
      <c r="O479" s="78">
        <f t="shared" si="139"/>
        <v>817439</v>
      </c>
      <c r="P479" s="79">
        <f t="shared" si="130"/>
        <v>268720.40333333332</v>
      </c>
      <c r="Q479" s="79">
        <f t="shared" si="131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B479" s="91">
        <f>ROUND(SUM(AB470:AB478),5)</f>
        <v>312650</v>
      </c>
      <c r="AC479" s="89"/>
      <c r="AD479" s="81">
        <f t="shared" si="126"/>
        <v>41705</v>
      </c>
    </row>
    <row r="480" spans="1:30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B480" s="66"/>
      <c r="AC480" s="89"/>
      <c r="AD480" s="81"/>
    </row>
    <row r="481" spans="1:30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N489" si="141">ROUND(H481+J481+L481,5)</f>
        <v>20687.05</v>
      </c>
      <c r="O481" s="66">
        <f t="shared" ref="O481:O489" si="142">ROUND(I481+K481+M481,5)</f>
        <v>17200</v>
      </c>
      <c r="P481" s="69">
        <f t="shared" si="130"/>
        <v>6895.6833333333334</v>
      </c>
      <c r="Q481" s="69">
        <f t="shared" si="131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B481" s="69">
        <f>Travel!$T$300</f>
        <v>10500</v>
      </c>
      <c r="AC481" s="90" t="s">
        <v>845</v>
      </c>
      <c r="AD481" s="81">
        <f t="shared" si="126"/>
        <v>0</v>
      </c>
    </row>
    <row r="482" spans="1:30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141"/>
        <v>57727.78</v>
      </c>
      <c r="O482" s="66">
        <f t="shared" si="142"/>
        <v>41100</v>
      </c>
      <c r="P482" s="69">
        <f t="shared" si="130"/>
        <v>19242.593333333334</v>
      </c>
      <c r="Q482" s="69">
        <f t="shared" si="131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B482" s="69">
        <f>Travel!$T$312</f>
        <v>18300</v>
      </c>
      <c r="AC482" s="90" t="s">
        <v>845</v>
      </c>
      <c r="AD482" s="81">
        <f t="shared" si="126"/>
        <v>0</v>
      </c>
    </row>
    <row r="483" spans="1:30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141"/>
        <v>70814.95</v>
      </c>
      <c r="O483" s="66">
        <f t="shared" si="142"/>
        <v>78000</v>
      </c>
      <c r="P483" s="69">
        <f t="shared" si="130"/>
        <v>23604.983333333334</v>
      </c>
      <c r="Q483" s="69">
        <f t="shared" si="131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B483" s="69">
        <f>Travel!$T$332</f>
        <v>30500</v>
      </c>
      <c r="AC483" s="90" t="s">
        <v>845</v>
      </c>
      <c r="AD483" s="81">
        <f t="shared" si="126"/>
        <v>2000</v>
      </c>
    </row>
    <row r="484" spans="1:30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141"/>
        <v>4458.2</v>
      </c>
      <c r="O484" s="66">
        <f t="shared" si="142"/>
        <v>14615</v>
      </c>
      <c r="P484" s="69">
        <f t="shared" si="130"/>
        <v>1486.0666666666666</v>
      </c>
      <c r="Q484" s="69">
        <f t="shared" si="131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B484" s="69">
        <f>Travel!$T$336</f>
        <v>5000</v>
      </c>
      <c r="AC484" s="90" t="s">
        <v>845</v>
      </c>
      <c r="AD484" s="81">
        <f t="shared" si="126"/>
        <v>385</v>
      </c>
    </row>
    <row r="485" spans="1:30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141"/>
        <v>10610.4</v>
      </c>
      <c r="O485" s="66">
        <f t="shared" si="142"/>
        <v>61200</v>
      </c>
      <c r="P485" s="69">
        <f t="shared" si="130"/>
        <v>3536.7999999999997</v>
      </c>
      <c r="Q485" s="69">
        <f t="shared" si="131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B485" s="69">
        <f>Travel!$T$352</f>
        <v>21000</v>
      </c>
      <c r="AC485" s="90" t="s">
        <v>845</v>
      </c>
      <c r="AD485" s="81">
        <f t="shared" si="126"/>
        <v>1800</v>
      </c>
    </row>
    <row r="486" spans="1:30" ht="16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141"/>
        <v>81544.240000000005</v>
      </c>
      <c r="O486" s="66">
        <f t="shared" si="142"/>
        <v>84000</v>
      </c>
      <c r="P486" s="69">
        <f t="shared" si="130"/>
        <v>27181.413333333334</v>
      </c>
      <c r="Q486" s="69">
        <f t="shared" si="131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B486" s="69">
        <f>Travel!$T$361</f>
        <v>39999.994999999995</v>
      </c>
      <c r="AC486" s="90" t="s">
        <v>845</v>
      </c>
      <c r="AD486" s="81">
        <f t="shared" si="126"/>
        <v>3499.9949999999953</v>
      </c>
    </row>
    <row r="487" spans="1:30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141"/>
        <v>2890.95</v>
      </c>
      <c r="O487" s="66">
        <f t="shared" si="142"/>
        <v>5000</v>
      </c>
      <c r="P487" s="69">
        <f t="shared" si="130"/>
        <v>963.65</v>
      </c>
      <c r="Q487" s="69">
        <f t="shared" si="131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B487" s="69">
        <f>Travel!$T$362</f>
        <v>5000</v>
      </c>
      <c r="AC487" s="90" t="s">
        <v>845</v>
      </c>
      <c r="AD487" s="81">
        <f t="shared" si="126"/>
        <v>0</v>
      </c>
    </row>
    <row r="488" spans="1:30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143">ROUND(SUM(H480:H487),5)</f>
        <v>59874.94</v>
      </c>
      <c r="I488" s="75">
        <f t="shared" si="143"/>
        <v>92500</v>
      </c>
      <c r="J488" s="76">
        <f t="shared" si="143"/>
        <v>75252.66</v>
      </c>
      <c r="K488" s="76">
        <f t="shared" si="143"/>
        <v>95000</v>
      </c>
      <c r="L488" s="77">
        <f t="shared" si="143"/>
        <v>113605.97</v>
      </c>
      <c r="M488" s="77">
        <f t="shared" si="143"/>
        <v>113615</v>
      </c>
      <c r="N488" s="78">
        <f t="shared" si="141"/>
        <v>248733.57</v>
      </c>
      <c r="O488" s="78">
        <f t="shared" si="142"/>
        <v>301115</v>
      </c>
      <c r="P488" s="79">
        <f t="shared" si="130"/>
        <v>82911.19</v>
      </c>
      <c r="Q488" s="79">
        <f t="shared" si="131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B488" s="91">
        <f>ROUND(SUM(AB480:AB487),5)</f>
        <v>130299.995</v>
      </c>
      <c r="AC488" s="89"/>
      <c r="AD488" s="81">
        <f t="shared" si="126"/>
        <v>7684.9949999999953</v>
      </c>
    </row>
    <row r="489" spans="1:30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144">ROUND(H429+H441+H455+H464+H469+H479+SUM(H488:H488),5)</f>
        <v>418230.26</v>
      </c>
      <c r="I489" s="75">
        <f t="shared" si="144"/>
        <v>595000</v>
      </c>
      <c r="J489" s="76">
        <f t="shared" si="144"/>
        <v>490473.05</v>
      </c>
      <c r="K489" s="76">
        <f t="shared" si="144"/>
        <v>579550</v>
      </c>
      <c r="L489" s="77">
        <f t="shared" si="144"/>
        <v>559533.9</v>
      </c>
      <c r="M489" s="77">
        <f t="shared" si="144"/>
        <v>649239</v>
      </c>
      <c r="N489" s="78">
        <f t="shared" si="141"/>
        <v>1468237.21</v>
      </c>
      <c r="O489" s="78">
        <f t="shared" si="142"/>
        <v>1823789</v>
      </c>
      <c r="P489" s="79">
        <f t="shared" si="130"/>
        <v>489412.40333333332</v>
      </c>
      <c r="Q489" s="79">
        <f t="shared" si="131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B489" s="78">
        <f>ROUND(AB429+AB441+AB455+AB464+AB469+AB479+SUM(AB488:AB488),5)</f>
        <v>738549.995</v>
      </c>
      <c r="AC489"/>
      <c r="AD489" s="81">
        <f t="shared" si="126"/>
        <v>52419.994999999995</v>
      </c>
    </row>
    <row r="490" spans="1:30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130"/>
        <v>0</v>
      </c>
      <c r="Q490" s="69">
        <f t="shared" si="131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B490" s="66"/>
      <c r="AC490" s="89"/>
    </row>
    <row r="491" spans="1:30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N513" si="145">ROUND(H491+J491+L491,5)</f>
        <v>10042.5</v>
      </c>
      <c r="O491" s="66">
        <f t="shared" ref="O491:O513" si="146">ROUND(I491+K491+M491,5)</f>
        <v>30000</v>
      </c>
      <c r="P491" s="69">
        <f t="shared" si="130"/>
        <v>3347.5</v>
      </c>
      <c r="Q491" s="69">
        <f t="shared" si="131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B491" s="69">
        <v>0</v>
      </c>
      <c r="AC491" s="90" t="s">
        <v>845</v>
      </c>
      <c r="AD491" s="81">
        <f>AB491-Z491</f>
        <v>0</v>
      </c>
    </row>
    <row r="492" spans="1:30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145"/>
        <v>7205.43</v>
      </c>
      <c r="O492" s="66">
        <f t="shared" si="146"/>
        <v>8000</v>
      </c>
      <c r="P492" s="69">
        <f t="shared" si="130"/>
        <v>2401.81</v>
      </c>
      <c r="Q492" s="69">
        <f t="shared" si="131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B492" s="66">
        <v>2500</v>
      </c>
      <c r="AC492" s="89"/>
      <c r="AD492" s="81">
        <f t="shared" ref="AD492:AD548" si="147">AB492-Z492</f>
        <v>500</v>
      </c>
    </row>
    <row r="493" spans="1:30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145"/>
        <v>15127.94</v>
      </c>
      <c r="O493" s="66">
        <f t="shared" si="146"/>
        <v>16500</v>
      </c>
      <c r="P493" s="69">
        <f t="shared" si="130"/>
        <v>5042.6466666666665</v>
      </c>
      <c r="Q493" s="69">
        <f t="shared" si="131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B493" s="69">
        <v>6000</v>
      </c>
      <c r="AC493" s="90" t="s">
        <v>845</v>
      </c>
      <c r="AD493" s="81">
        <f t="shared" si="147"/>
        <v>0</v>
      </c>
    </row>
    <row r="494" spans="1:30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145"/>
        <v>13298.77</v>
      </c>
      <c r="O494" s="66">
        <f t="shared" si="146"/>
        <v>7000</v>
      </c>
      <c r="P494" s="69">
        <f t="shared" si="130"/>
        <v>4432.9233333333332</v>
      </c>
      <c r="Q494" s="69">
        <f t="shared" si="131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B494" s="66">
        <v>3000</v>
      </c>
      <c r="AC494" s="89"/>
      <c r="AD494" s="81">
        <f t="shared" si="147"/>
        <v>0</v>
      </c>
    </row>
    <row r="495" spans="1:30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145"/>
        <v>510268.35</v>
      </c>
      <c r="O495" s="66">
        <f t="shared" si="146"/>
        <v>437243.12</v>
      </c>
      <c r="P495" s="69">
        <f t="shared" si="130"/>
        <v>170089.44999999998</v>
      </c>
      <c r="Q495" s="69">
        <f t="shared" si="131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B495" s="66">
        <f>ROUND(AB220*0.0386, 0)</f>
        <v>205031</v>
      </c>
      <c r="AC495" s="93" t="s">
        <v>844</v>
      </c>
      <c r="AD495" s="81">
        <f t="shared" si="147"/>
        <v>25635</v>
      </c>
    </row>
    <row r="496" spans="1:30" ht="16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145"/>
        <v>0</v>
      </c>
      <c r="O496" s="66">
        <f>ROUND(I496+K496+M496,5)</f>
        <v>1000</v>
      </c>
      <c r="P496" s="69">
        <f t="shared" si="130"/>
        <v>0</v>
      </c>
      <c r="Q496" s="69">
        <f t="shared" si="131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B496" s="66">
        <v>0</v>
      </c>
      <c r="AC496" s="89"/>
      <c r="AD496" s="81">
        <f t="shared" si="147"/>
        <v>0</v>
      </c>
    </row>
    <row r="497" spans="1:30" ht="16" x14ac:dyDescent="0.35">
      <c r="A497" s="66"/>
      <c r="B497" s="66"/>
      <c r="C497" s="49"/>
      <c r="D497" s="49"/>
      <c r="E497" s="49" t="s">
        <v>493</v>
      </c>
      <c r="F497" s="49"/>
      <c r="G497" s="49"/>
      <c r="H497" s="63">
        <v>3322.5</v>
      </c>
      <c r="I497" s="63">
        <v>6000</v>
      </c>
      <c r="J497" s="64">
        <v>5750.2</v>
      </c>
      <c r="K497" s="64">
        <v>4000</v>
      </c>
      <c r="L497" s="65">
        <v>26568.75</v>
      </c>
      <c r="M497" s="65">
        <v>4000</v>
      </c>
      <c r="N497" s="66">
        <f t="shared" si="145"/>
        <v>35641.449999999997</v>
      </c>
      <c r="O497" s="66">
        <f t="shared" si="146"/>
        <v>14000</v>
      </c>
      <c r="P497" s="69">
        <f t="shared" si="130"/>
        <v>11880.483333333332</v>
      </c>
      <c r="Q497" s="69">
        <f t="shared" si="131"/>
        <v>4666.666666666667</v>
      </c>
      <c r="R497" s="54"/>
      <c r="S497" s="49"/>
      <c r="T497" s="49"/>
      <c r="U497" s="49"/>
      <c r="V497" s="49"/>
      <c r="W497" s="49" t="s">
        <v>493</v>
      </c>
      <c r="X497" s="49"/>
      <c r="Y497" s="49"/>
      <c r="Z497" s="66">
        <v>37500</v>
      </c>
      <c r="AB497" s="66">
        <v>24000</v>
      </c>
      <c r="AC497" s="89"/>
      <c r="AD497" s="81">
        <f t="shared" si="147"/>
        <v>-13500</v>
      </c>
    </row>
    <row r="498" spans="1:30" ht="16" x14ac:dyDescent="0.35">
      <c r="A498" s="66"/>
      <c r="B498" s="66"/>
      <c r="C498" s="49"/>
      <c r="D498" s="49"/>
      <c r="E498" s="49" t="s">
        <v>494</v>
      </c>
      <c r="F498" s="49"/>
      <c r="G498" s="49"/>
      <c r="H498" s="63">
        <v>2934</v>
      </c>
      <c r="I498" s="63">
        <v>5607</v>
      </c>
      <c r="J498" s="64">
        <v>0</v>
      </c>
      <c r="K498" s="64">
        <v>0</v>
      </c>
      <c r="L498" s="65">
        <v>0</v>
      </c>
      <c r="M498" s="65">
        <v>0</v>
      </c>
      <c r="N498" s="66">
        <f t="shared" si="145"/>
        <v>2934</v>
      </c>
      <c r="O498" s="66">
        <f t="shared" si="146"/>
        <v>5607</v>
      </c>
      <c r="P498" s="69">
        <f t="shared" si="130"/>
        <v>978</v>
      </c>
      <c r="Q498" s="69">
        <f t="shared" si="131"/>
        <v>1869</v>
      </c>
      <c r="R498" s="54"/>
      <c r="S498" s="49"/>
      <c r="T498" s="49"/>
      <c r="U498" s="49"/>
      <c r="V498" s="49"/>
      <c r="W498" s="49" t="s">
        <v>494</v>
      </c>
      <c r="X498" s="49"/>
      <c r="Y498" s="49"/>
      <c r="Z498" s="66">
        <v>0</v>
      </c>
      <c r="AB498" s="66">
        <v>0</v>
      </c>
      <c r="AC498" s="89"/>
      <c r="AD498" s="81">
        <f t="shared" si="147"/>
        <v>0</v>
      </c>
    </row>
    <row r="499" spans="1:30" ht="16" x14ac:dyDescent="0.35">
      <c r="A499" s="66"/>
      <c r="B499" s="66"/>
      <c r="C499" s="49"/>
      <c r="D499" s="49"/>
      <c r="E499" s="49" t="s">
        <v>495</v>
      </c>
      <c r="F499" s="49"/>
      <c r="G499" s="49"/>
      <c r="H499" s="63">
        <v>74809.66</v>
      </c>
      <c r="I499" s="63">
        <v>105600</v>
      </c>
      <c r="J499" s="64">
        <v>52243.49</v>
      </c>
      <c r="K499" s="64">
        <v>53000</v>
      </c>
      <c r="L499" s="65">
        <v>51678.79</v>
      </c>
      <c r="M499" s="65">
        <v>70507</v>
      </c>
      <c r="N499" s="66">
        <f t="shared" si="145"/>
        <v>178731.94</v>
      </c>
      <c r="O499" s="66">
        <f t="shared" si="146"/>
        <v>229107</v>
      </c>
      <c r="P499" s="69">
        <f t="shared" si="130"/>
        <v>59577.313333333332</v>
      </c>
      <c r="Q499" s="69">
        <f t="shared" si="131"/>
        <v>76369</v>
      </c>
      <c r="R499" s="54"/>
      <c r="S499" s="49"/>
      <c r="T499" s="49"/>
      <c r="U499" s="49"/>
      <c r="V499" s="49"/>
      <c r="W499" s="49" t="s">
        <v>495</v>
      </c>
      <c r="X499" s="49"/>
      <c r="Y499" s="49"/>
      <c r="Z499" s="66">
        <v>74122.820000000007</v>
      </c>
      <c r="AB499" s="66">
        <v>109482.14</v>
      </c>
      <c r="AC499" s="89"/>
      <c r="AD499" s="81">
        <f t="shared" si="147"/>
        <v>35359.319999999992</v>
      </c>
    </row>
    <row r="500" spans="1:30" ht="16" x14ac:dyDescent="0.35">
      <c r="A500" s="66"/>
      <c r="B500" s="66"/>
      <c r="C500" s="49"/>
      <c r="D500" s="49"/>
      <c r="E500" s="49" t="s">
        <v>496</v>
      </c>
      <c r="F500" s="49"/>
      <c r="G500" s="49"/>
      <c r="H500" s="63">
        <v>2727.19</v>
      </c>
      <c r="I500" s="63">
        <v>4500</v>
      </c>
      <c r="J500" s="64">
        <v>4935.63</v>
      </c>
      <c r="K500" s="64">
        <v>4500</v>
      </c>
      <c r="L500" s="65">
        <v>6253.02</v>
      </c>
      <c r="M500" s="65">
        <v>4025</v>
      </c>
      <c r="N500" s="66">
        <f t="shared" si="145"/>
        <v>13915.84</v>
      </c>
      <c r="O500" s="66">
        <f t="shared" si="146"/>
        <v>13025</v>
      </c>
      <c r="P500" s="69">
        <f t="shared" si="130"/>
        <v>4638.6133333333337</v>
      </c>
      <c r="Q500" s="69">
        <f t="shared" si="131"/>
        <v>4341.666666666667</v>
      </c>
      <c r="R500" s="54"/>
      <c r="S500" s="49"/>
      <c r="T500" s="49"/>
      <c r="U500" s="49"/>
      <c r="V500" s="49"/>
      <c r="W500" s="49" t="s">
        <v>496</v>
      </c>
      <c r="X500" s="49"/>
      <c r="Y500" s="49"/>
      <c r="Z500" s="66">
        <v>8352</v>
      </c>
      <c r="AB500" s="66">
        <v>4563</v>
      </c>
      <c r="AC500" s="89"/>
      <c r="AD500" s="81">
        <f t="shared" si="147"/>
        <v>-3789</v>
      </c>
    </row>
    <row r="501" spans="1:30" ht="16" x14ac:dyDescent="0.35">
      <c r="A501" s="66"/>
      <c r="B501" s="66"/>
      <c r="C501" s="49"/>
      <c r="D501" s="49"/>
      <c r="E501" s="49" t="s">
        <v>497</v>
      </c>
      <c r="F501" s="49"/>
      <c r="G501" s="49"/>
      <c r="H501" s="63">
        <v>3590</v>
      </c>
      <c r="I501" s="63">
        <v>4608</v>
      </c>
      <c r="J501" s="64">
        <v>3588</v>
      </c>
      <c r="K501" s="64">
        <v>3700</v>
      </c>
      <c r="L501" s="65">
        <v>689</v>
      </c>
      <c r="M501" s="65">
        <v>3600</v>
      </c>
      <c r="N501" s="66">
        <f t="shared" si="145"/>
        <v>7867</v>
      </c>
      <c r="O501" s="66">
        <f t="shared" si="146"/>
        <v>11908</v>
      </c>
      <c r="P501" s="69">
        <f t="shared" si="130"/>
        <v>2622.3333333333335</v>
      </c>
      <c r="Q501" s="69">
        <f t="shared" si="131"/>
        <v>3969.3333333333335</v>
      </c>
      <c r="R501" s="54"/>
      <c r="S501" s="49"/>
      <c r="T501" s="49"/>
      <c r="U501" s="49"/>
      <c r="V501" s="49"/>
      <c r="W501" s="49" t="s">
        <v>497</v>
      </c>
      <c r="X501" s="49"/>
      <c r="Y501" s="49"/>
      <c r="Z501" s="66">
        <v>2000</v>
      </c>
      <c r="AB501" s="66">
        <v>0</v>
      </c>
      <c r="AC501" s="89"/>
      <c r="AD501" s="81">
        <f t="shared" si="147"/>
        <v>-2000</v>
      </c>
    </row>
    <row r="502" spans="1:30" ht="16" x14ac:dyDescent="0.35">
      <c r="A502" s="66"/>
      <c r="B502" s="66"/>
      <c r="C502" s="49"/>
      <c r="D502" s="49"/>
      <c r="E502" s="49" t="s">
        <v>498</v>
      </c>
      <c r="F502" s="49"/>
      <c r="G502" s="49"/>
      <c r="H502" s="63">
        <v>12597.17</v>
      </c>
      <c r="I502" s="63">
        <v>12766</v>
      </c>
      <c r="J502" s="64">
        <v>11637.22</v>
      </c>
      <c r="K502" s="64">
        <v>12771.48</v>
      </c>
      <c r="L502" s="65">
        <v>11300</v>
      </c>
      <c r="M502" s="65">
        <v>11832</v>
      </c>
      <c r="N502" s="66">
        <f t="shared" si="145"/>
        <v>35534.39</v>
      </c>
      <c r="O502" s="66">
        <f t="shared" si="146"/>
        <v>37369.480000000003</v>
      </c>
      <c r="P502" s="69">
        <f t="shared" si="130"/>
        <v>11844.796666666667</v>
      </c>
      <c r="Q502" s="69">
        <f t="shared" si="131"/>
        <v>12456.493333333334</v>
      </c>
      <c r="R502" s="54"/>
      <c r="S502" s="49"/>
      <c r="T502" s="49"/>
      <c r="U502" s="49"/>
      <c r="V502" s="49"/>
      <c r="W502" s="49" t="s">
        <v>498</v>
      </c>
      <c r="X502" s="49"/>
      <c r="Y502" s="49"/>
      <c r="Z502" s="66">
        <v>12424</v>
      </c>
      <c r="AB502" s="66">
        <v>11767.5</v>
      </c>
      <c r="AC502" s="89"/>
      <c r="AD502" s="81">
        <f t="shared" si="147"/>
        <v>-656.5</v>
      </c>
    </row>
    <row r="503" spans="1:30" ht="16" x14ac:dyDescent="0.35">
      <c r="A503" s="66"/>
      <c r="B503" s="66"/>
      <c r="C503" s="49"/>
      <c r="D503" s="49"/>
      <c r="E503" s="49" t="s">
        <v>499</v>
      </c>
      <c r="F503" s="49"/>
      <c r="G503" s="49"/>
      <c r="H503" s="63">
        <v>12597.14</v>
      </c>
      <c r="I503" s="63">
        <v>12766</v>
      </c>
      <c r="J503" s="64">
        <v>11637.22</v>
      </c>
      <c r="K503" s="64">
        <v>12771.35</v>
      </c>
      <c r="L503" s="65">
        <v>11300</v>
      </c>
      <c r="M503" s="65">
        <v>11832</v>
      </c>
      <c r="N503" s="66">
        <f t="shared" si="145"/>
        <v>35534.36</v>
      </c>
      <c r="O503" s="66">
        <f t="shared" si="146"/>
        <v>37369.35</v>
      </c>
      <c r="P503" s="69">
        <f t="shared" si="130"/>
        <v>11844.786666666667</v>
      </c>
      <c r="Q503" s="69">
        <f t="shared" si="131"/>
        <v>12456.449999999999</v>
      </c>
      <c r="R503" s="54"/>
      <c r="S503" s="49"/>
      <c r="T503" s="49"/>
      <c r="U503" s="49"/>
      <c r="V503" s="49"/>
      <c r="W503" s="49" t="s">
        <v>499</v>
      </c>
      <c r="X503" s="49"/>
      <c r="Y503" s="49"/>
      <c r="Z503" s="66">
        <v>12424</v>
      </c>
      <c r="AB503" s="66">
        <v>11767.5</v>
      </c>
      <c r="AC503" s="89"/>
      <c r="AD503" s="81">
        <f t="shared" si="147"/>
        <v>-656.5</v>
      </c>
    </row>
    <row r="504" spans="1:30" ht="16" x14ac:dyDescent="0.35">
      <c r="A504" s="66"/>
      <c r="B504" s="66"/>
      <c r="C504" s="49"/>
      <c r="D504" s="49"/>
      <c r="E504" s="49" t="s">
        <v>500</v>
      </c>
      <c r="F504" s="49"/>
      <c r="G504" s="49"/>
      <c r="H504" s="63">
        <v>4694</v>
      </c>
      <c r="I504" s="63">
        <v>4807</v>
      </c>
      <c r="J504" s="64">
        <v>5020.5</v>
      </c>
      <c r="K504" s="64">
        <v>4700</v>
      </c>
      <c r="L504" s="65">
        <v>5177.16</v>
      </c>
      <c r="M504" s="65">
        <v>5244</v>
      </c>
      <c r="N504" s="66">
        <f t="shared" si="145"/>
        <v>14891.66</v>
      </c>
      <c r="O504" s="66">
        <f t="shared" si="146"/>
        <v>14751</v>
      </c>
      <c r="P504" s="69">
        <f t="shared" si="130"/>
        <v>4963.8866666666663</v>
      </c>
      <c r="Q504" s="69">
        <f t="shared" si="131"/>
        <v>4917</v>
      </c>
      <c r="R504" s="54"/>
      <c r="S504" s="49"/>
      <c r="T504" s="49"/>
      <c r="U504" s="49"/>
      <c r="V504" s="49"/>
      <c r="W504" s="49" t="s">
        <v>500</v>
      </c>
      <c r="X504" s="49"/>
      <c r="Y504" s="49"/>
      <c r="Z504" s="66">
        <v>5411</v>
      </c>
      <c r="AB504" s="66">
        <f>ROUND(7535.85, 0)</f>
        <v>7536</v>
      </c>
      <c r="AC504" s="89" t="s">
        <v>880</v>
      </c>
      <c r="AD504" s="81">
        <f t="shared" si="147"/>
        <v>2125</v>
      </c>
    </row>
    <row r="505" spans="1:30" ht="16" x14ac:dyDescent="0.35">
      <c r="A505" s="66"/>
      <c r="B505" s="66"/>
      <c r="C505" s="49"/>
      <c r="D505" s="49"/>
      <c r="E505" s="49" t="s">
        <v>501</v>
      </c>
      <c r="F505" s="49"/>
      <c r="G505" s="49"/>
      <c r="H505" s="63">
        <v>0</v>
      </c>
      <c r="I505" s="63">
        <v>0</v>
      </c>
      <c r="J505" s="64">
        <v>14469.34</v>
      </c>
      <c r="K505" s="64">
        <v>2000</v>
      </c>
      <c r="L505" s="65">
        <v>16282.95</v>
      </c>
      <c r="M505" s="65">
        <v>2000</v>
      </c>
      <c r="N505" s="66">
        <f t="shared" si="145"/>
        <v>30752.29</v>
      </c>
      <c r="O505" s="66">
        <f t="shared" si="146"/>
        <v>4000</v>
      </c>
      <c r="P505" s="69">
        <f t="shared" si="130"/>
        <v>10250.763333333334</v>
      </c>
      <c r="Q505" s="69">
        <f t="shared" si="131"/>
        <v>1333.3333333333333</v>
      </c>
      <c r="R505" s="54"/>
      <c r="S505" s="49"/>
      <c r="T505" s="49"/>
      <c r="U505" s="49"/>
      <c r="V505" s="49"/>
      <c r="W505" s="49" t="s">
        <v>501</v>
      </c>
      <c r="X505" s="49"/>
      <c r="Y505" s="49"/>
      <c r="Z505" s="66">
        <v>2000</v>
      </c>
      <c r="AB505" s="66">
        <v>0</v>
      </c>
      <c r="AC505" s="89"/>
      <c r="AD505" s="81">
        <f t="shared" si="147"/>
        <v>-2000</v>
      </c>
    </row>
    <row r="506" spans="1:30" ht="16" x14ac:dyDescent="0.35">
      <c r="A506" s="66"/>
      <c r="B506" s="66"/>
      <c r="C506" s="49"/>
      <c r="D506" s="49"/>
      <c r="E506" s="49" t="s">
        <v>502</v>
      </c>
      <c r="F506" s="49"/>
      <c r="G506" s="49"/>
      <c r="H506" s="63">
        <v>15158.69</v>
      </c>
      <c r="I506" s="63">
        <v>50000</v>
      </c>
      <c r="J506" s="64">
        <v>5299.22</v>
      </c>
      <c r="K506" s="64">
        <v>10000</v>
      </c>
      <c r="L506" s="65">
        <v>10963.76</v>
      </c>
      <c r="M506" s="65">
        <v>45000</v>
      </c>
      <c r="N506" s="66">
        <f t="shared" si="145"/>
        <v>31421.67</v>
      </c>
      <c r="O506" s="66">
        <f t="shared" si="146"/>
        <v>105000</v>
      </c>
      <c r="P506" s="69">
        <f t="shared" si="130"/>
        <v>10473.89</v>
      </c>
      <c r="Q506" s="69">
        <f t="shared" si="131"/>
        <v>35000</v>
      </c>
      <c r="R506" s="54"/>
      <c r="S506" s="49"/>
      <c r="T506" s="49"/>
      <c r="U506" s="49"/>
      <c r="V506" s="49"/>
      <c r="W506" s="49" t="s">
        <v>502</v>
      </c>
      <c r="X506" s="49"/>
      <c r="Y506" s="49"/>
      <c r="Z506" s="66">
        <v>20000</v>
      </c>
      <c r="AB506" s="69">
        <v>20000</v>
      </c>
      <c r="AC506" s="90" t="s">
        <v>845</v>
      </c>
      <c r="AD506" s="81">
        <f t="shared" si="147"/>
        <v>0</v>
      </c>
    </row>
    <row r="507" spans="1:30" x14ac:dyDescent="0.35">
      <c r="A507" s="66"/>
      <c r="B507" s="66"/>
      <c r="C507" s="49"/>
      <c r="D507" s="49"/>
      <c r="E507" s="49" t="s">
        <v>503</v>
      </c>
      <c r="F507" s="49"/>
      <c r="G507" s="49"/>
      <c r="H507" s="63">
        <v>1942.71</v>
      </c>
      <c r="I507" s="63">
        <v>0</v>
      </c>
      <c r="J507" s="64">
        <v>1701.44</v>
      </c>
      <c r="K507" s="64">
        <v>1500</v>
      </c>
      <c r="L507" s="65">
        <v>1553.27</v>
      </c>
      <c r="M507" s="65">
        <v>1650</v>
      </c>
      <c r="N507" s="66">
        <f t="shared" si="145"/>
        <v>5197.42</v>
      </c>
      <c r="O507" s="66">
        <f t="shared" si="146"/>
        <v>3150</v>
      </c>
      <c r="P507" s="69">
        <f t="shared" si="130"/>
        <v>1732.4733333333334</v>
      </c>
      <c r="Q507" s="69">
        <f t="shared" si="131"/>
        <v>1050</v>
      </c>
      <c r="R507" s="54"/>
      <c r="S507" s="49"/>
      <c r="T507" s="49"/>
      <c r="U507" s="49"/>
      <c r="V507" s="49"/>
      <c r="W507" s="49" t="s">
        <v>503</v>
      </c>
      <c r="X507" s="49"/>
      <c r="Y507" s="49"/>
      <c r="Z507" s="66">
        <v>1650</v>
      </c>
      <c r="AB507" s="66">
        <v>1600</v>
      </c>
      <c r="AD507" s="81">
        <f t="shared" si="147"/>
        <v>-50</v>
      </c>
    </row>
    <row r="508" spans="1:30" x14ac:dyDescent="0.35">
      <c r="A508" s="66"/>
      <c r="B508" s="66"/>
      <c r="C508" s="49"/>
      <c r="D508" s="49"/>
      <c r="E508" s="49" t="s">
        <v>504</v>
      </c>
      <c r="F508" s="49"/>
      <c r="G508" s="49"/>
      <c r="H508" s="63">
        <v>43056.86</v>
      </c>
      <c r="I508" s="63">
        <v>43200</v>
      </c>
      <c r="J508" s="64">
        <v>49577.21</v>
      </c>
      <c r="K508" s="64">
        <v>40000</v>
      </c>
      <c r="L508" s="65">
        <v>49198.66</v>
      </c>
      <c r="M508" s="65">
        <v>43000</v>
      </c>
      <c r="N508" s="66">
        <f t="shared" si="145"/>
        <v>141832.73000000001</v>
      </c>
      <c r="O508" s="66">
        <f t="shared" si="146"/>
        <v>126200</v>
      </c>
      <c r="P508" s="69">
        <f t="shared" si="130"/>
        <v>47277.576666666668</v>
      </c>
      <c r="Q508" s="69">
        <f t="shared" si="131"/>
        <v>42066.666666666664</v>
      </c>
      <c r="R508" s="54"/>
      <c r="S508" s="49"/>
      <c r="T508" s="49"/>
      <c r="U508" s="49"/>
      <c r="V508" s="49"/>
      <c r="W508" s="49" t="s">
        <v>504</v>
      </c>
      <c r="X508" s="49"/>
      <c r="Y508" s="49"/>
      <c r="Z508" s="66">
        <v>53400</v>
      </c>
      <c r="AB508" s="66">
        <v>50400</v>
      </c>
      <c r="AC508" s="111"/>
      <c r="AD508" s="81">
        <f t="shared" si="147"/>
        <v>-3000</v>
      </c>
    </row>
    <row r="509" spans="1:30" x14ac:dyDescent="0.35">
      <c r="A509" s="66"/>
      <c r="B509" s="66"/>
      <c r="C509" s="49"/>
      <c r="D509" s="49"/>
      <c r="E509" s="49" t="s">
        <v>505</v>
      </c>
      <c r="F509" s="49"/>
      <c r="G509" s="49"/>
      <c r="H509" s="63">
        <v>29693.03</v>
      </c>
      <c r="I509" s="63">
        <v>25200</v>
      </c>
      <c r="J509" s="64">
        <v>29633.54</v>
      </c>
      <c r="K509" s="64">
        <v>26000</v>
      </c>
      <c r="L509" s="65">
        <v>30299.87</v>
      </c>
      <c r="M509" s="65">
        <v>30000</v>
      </c>
      <c r="N509" s="66">
        <f t="shared" si="145"/>
        <v>89626.44</v>
      </c>
      <c r="O509" s="66">
        <f t="shared" si="146"/>
        <v>81200</v>
      </c>
      <c r="P509" s="69">
        <f t="shared" ref="P509:P569" si="148">N509/3</f>
        <v>29875.48</v>
      </c>
      <c r="Q509" s="69">
        <f t="shared" ref="Q509:Q569" si="149">O509/3</f>
        <v>27066.666666666668</v>
      </c>
      <c r="R509" s="54"/>
      <c r="S509" s="49"/>
      <c r="T509" s="49"/>
      <c r="U509" s="49"/>
      <c r="V509" s="49"/>
      <c r="W509" s="49" t="s">
        <v>505</v>
      </c>
      <c r="X509" s="49"/>
      <c r="Y509" s="49"/>
      <c r="Z509" s="66">
        <v>32964</v>
      </c>
      <c r="AB509" s="66">
        <v>29886</v>
      </c>
      <c r="AC509" s="112"/>
      <c r="AD509" s="81">
        <f t="shared" si="147"/>
        <v>-3078</v>
      </c>
    </row>
    <row r="510" spans="1:30" x14ac:dyDescent="0.35">
      <c r="A510" s="66"/>
      <c r="B510" s="66"/>
      <c r="C510" s="49"/>
      <c r="D510" s="49"/>
      <c r="E510" s="49" t="s">
        <v>506</v>
      </c>
      <c r="F510" s="49"/>
      <c r="G510" s="49"/>
      <c r="H510" s="63">
        <v>0</v>
      </c>
      <c r="I510" s="63">
        <v>700</v>
      </c>
      <c r="J510" s="64">
        <v>0</v>
      </c>
      <c r="K510" s="64">
        <v>500</v>
      </c>
      <c r="L510" s="65">
        <v>0</v>
      </c>
      <c r="M510" s="65">
        <v>575</v>
      </c>
      <c r="N510" s="66">
        <f t="shared" si="145"/>
        <v>0</v>
      </c>
      <c r="O510" s="66">
        <f t="shared" si="146"/>
        <v>1775</v>
      </c>
      <c r="P510" s="69">
        <f t="shared" si="148"/>
        <v>0</v>
      </c>
      <c r="Q510" s="69">
        <f t="shared" si="149"/>
        <v>591.66666666666663</v>
      </c>
      <c r="R510" s="54"/>
      <c r="S510" s="49"/>
      <c r="T510" s="49"/>
      <c r="U510" s="49"/>
      <c r="V510" s="49"/>
      <c r="W510" s="49" t="s">
        <v>506</v>
      </c>
      <c r="X510" s="49"/>
      <c r="Y510" s="49"/>
      <c r="Z510" s="66">
        <v>700</v>
      </c>
      <c r="AB510" s="66">
        <v>700</v>
      </c>
      <c r="AD510" s="81">
        <f t="shared" si="147"/>
        <v>0</v>
      </c>
    </row>
    <row r="511" spans="1:30" x14ac:dyDescent="0.35">
      <c r="A511" s="66"/>
      <c r="B511" s="66"/>
      <c r="C511" s="49"/>
      <c r="D511" s="49"/>
      <c r="E511" s="49" t="s">
        <v>507</v>
      </c>
      <c r="F511" s="49"/>
      <c r="G511" s="49"/>
      <c r="H511" s="63">
        <v>11143.42</v>
      </c>
      <c r="I511" s="63">
        <v>11688</v>
      </c>
      <c r="J511" s="64">
        <v>11624.25</v>
      </c>
      <c r="K511" s="64">
        <v>10368</v>
      </c>
      <c r="L511" s="65">
        <v>11804</v>
      </c>
      <c r="M511" s="65">
        <v>11238</v>
      </c>
      <c r="N511" s="66">
        <f t="shared" si="145"/>
        <v>34571.67</v>
      </c>
      <c r="O511" s="66">
        <f t="shared" si="146"/>
        <v>33294</v>
      </c>
      <c r="P511" s="69">
        <f t="shared" si="148"/>
        <v>11523.89</v>
      </c>
      <c r="Q511" s="69">
        <f t="shared" si="149"/>
        <v>11098</v>
      </c>
      <c r="R511" s="54"/>
      <c r="S511" s="49"/>
      <c r="T511" s="49"/>
      <c r="U511" s="49"/>
      <c r="V511" s="49"/>
      <c r="W511" s="49" t="s">
        <v>507</v>
      </c>
      <c r="X511" s="49"/>
      <c r="Y511" s="49"/>
      <c r="Z511" s="66">
        <v>10173</v>
      </c>
      <c r="AB511" s="66">
        <v>13488</v>
      </c>
      <c r="AD511" s="81">
        <f t="shared" si="147"/>
        <v>3315</v>
      </c>
    </row>
    <row r="512" spans="1:30" x14ac:dyDescent="0.35">
      <c r="A512" s="66"/>
      <c r="B512" s="66"/>
      <c r="C512" s="49"/>
      <c r="D512" s="49"/>
      <c r="E512" s="49" t="s">
        <v>508</v>
      </c>
      <c r="F512" s="49"/>
      <c r="G512" s="49"/>
      <c r="H512" s="63">
        <v>23426.28</v>
      </c>
      <c r="I512" s="63">
        <v>12424</v>
      </c>
      <c r="J512" s="64">
        <v>25016.84</v>
      </c>
      <c r="K512" s="64">
        <v>23200</v>
      </c>
      <c r="L512" s="65">
        <v>28552.11</v>
      </c>
      <c r="M512" s="65">
        <v>26073</v>
      </c>
      <c r="N512" s="66">
        <f t="shared" si="145"/>
        <v>76995.23</v>
      </c>
      <c r="O512" s="66">
        <f t="shared" si="146"/>
        <v>61697</v>
      </c>
      <c r="P512" s="69">
        <f t="shared" si="148"/>
        <v>25665.076666666664</v>
      </c>
      <c r="Q512" s="69">
        <f t="shared" si="149"/>
        <v>20565.666666666668</v>
      </c>
      <c r="R512" s="54"/>
      <c r="S512" s="49"/>
      <c r="T512" s="49"/>
      <c r="U512" s="49"/>
      <c r="V512" s="49"/>
      <c r="W512" s="49" t="s">
        <v>508</v>
      </c>
      <c r="X512" s="49"/>
      <c r="Y512" s="49"/>
      <c r="Z512" s="66">
        <v>29969</v>
      </c>
      <c r="AB512" s="66">
        <v>0</v>
      </c>
      <c r="AC512" s="46" t="s">
        <v>847</v>
      </c>
      <c r="AD512" s="81">
        <f t="shared" si="147"/>
        <v>-29969</v>
      </c>
    </row>
    <row r="513" spans="1:30" x14ac:dyDescent="0.35">
      <c r="A513" s="66"/>
      <c r="B513" s="66"/>
      <c r="C513" s="49"/>
      <c r="D513" s="49"/>
      <c r="E513" s="49" t="s">
        <v>509</v>
      </c>
      <c r="F513" s="49"/>
      <c r="G513" s="49"/>
      <c r="H513" s="63">
        <v>32596.51</v>
      </c>
      <c r="I513" s="63">
        <v>32227.24</v>
      </c>
      <c r="J513" s="64">
        <v>35370.050000000003</v>
      </c>
      <c r="K513" s="64">
        <v>32800</v>
      </c>
      <c r="L513" s="65">
        <v>38961.4</v>
      </c>
      <c r="M513" s="65">
        <v>35599</v>
      </c>
      <c r="N513" s="66">
        <f t="shared" si="145"/>
        <v>106927.96</v>
      </c>
      <c r="O513" s="66">
        <f t="shared" si="146"/>
        <v>100626.24000000001</v>
      </c>
      <c r="P513" s="69">
        <f t="shared" si="148"/>
        <v>35642.653333333335</v>
      </c>
      <c r="Q513" s="69">
        <f t="shared" si="149"/>
        <v>33542.080000000002</v>
      </c>
      <c r="R513" s="54"/>
      <c r="S513" s="49"/>
      <c r="T513" s="49"/>
      <c r="U513" s="49"/>
      <c r="V513" s="49"/>
      <c r="W513" s="49" t="s">
        <v>509</v>
      </c>
      <c r="X513" s="49"/>
      <c r="Y513" s="49"/>
      <c r="Z513" s="66">
        <v>50578</v>
      </c>
      <c r="AB513" s="66">
        <v>49805</v>
      </c>
      <c r="AD513" s="81">
        <f t="shared" si="147"/>
        <v>-773</v>
      </c>
    </row>
    <row r="514" spans="1:30" x14ac:dyDescent="0.35">
      <c r="A514" s="66"/>
      <c r="B514" s="66"/>
      <c r="C514" s="49"/>
      <c r="D514" s="49"/>
      <c r="E514" s="49" t="s">
        <v>510</v>
      </c>
      <c r="F514" s="49"/>
      <c r="G514" s="49"/>
      <c r="H514" s="63"/>
      <c r="I514" s="63"/>
      <c r="J514" s="64"/>
      <c r="K514" s="64"/>
      <c r="L514" s="65"/>
      <c r="M514" s="65"/>
      <c r="N514" s="66"/>
      <c r="O514" s="66"/>
      <c r="P514" s="69"/>
      <c r="Q514" s="69"/>
      <c r="R514" s="54"/>
      <c r="S514" s="49"/>
      <c r="T514" s="49"/>
      <c r="U514" s="49"/>
      <c r="V514" s="49"/>
      <c r="W514" s="49" t="s">
        <v>510</v>
      </c>
      <c r="X514" s="49"/>
      <c r="Y514" s="49"/>
      <c r="Z514" s="66"/>
      <c r="AB514" s="66"/>
      <c r="AD514" s="81">
        <f t="shared" si="147"/>
        <v>0</v>
      </c>
    </row>
    <row r="515" spans="1:30" x14ac:dyDescent="0.35">
      <c r="A515" s="66"/>
      <c r="B515" s="66"/>
      <c r="C515" s="49"/>
      <c r="D515" s="49"/>
      <c r="E515" s="49"/>
      <c r="F515" s="49" t="s">
        <v>511</v>
      </c>
      <c r="G515" s="49"/>
      <c r="H515" s="63">
        <v>8700</v>
      </c>
      <c r="I515" s="63">
        <v>15000</v>
      </c>
      <c r="J515" s="64">
        <v>24061</v>
      </c>
      <c r="K515" s="64">
        <v>25000</v>
      </c>
      <c r="L515" s="65">
        <v>24976</v>
      </c>
      <c r="M515" s="65">
        <v>25000</v>
      </c>
      <c r="N515" s="66">
        <f t="shared" ref="N515:O522" si="150">ROUND(H515+J515+L515,5)</f>
        <v>57737</v>
      </c>
      <c r="O515" s="66">
        <f t="shared" si="150"/>
        <v>65000</v>
      </c>
      <c r="P515" s="69">
        <f t="shared" si="148"/>
        <v>19245.666666666668</v>
      </c>
      <c r="Q515" s="69">
        <f t="shared" si="149"/>
        <v>21666.666666666668</v>
      </c>
      <c r="R515" s="54"/>
      <c r="S515" s="49"/>
      <c r="T515" s="49"/>
      <c r="U515" s="49"/>
      <c r="V515" s="49"/>
      <c r="W515" s="49"/>
      <c r="X515" s="49" t="s">
        <v>511</v>
      </c>
      <c r="Y515" s="49"/>
      <c r="Z515" s="66">
        <v>25000</v>
      </c>
      <c r="AB515" s="66">
        <v>25000</v>
      </c>
      <c r="AD515" s="81">
        <f t="shared" si="147"/>
        <v>0</v>
      </c>
    </row>
    <row r="516" spans="1:30" x14ac:dyDescent="0.35">
      <c r="A516" s="66"/>
      <c r="B516" s="66"/>
      <c r="C516" s="49"/>
      <c r="D516" s="49"/>
      <c r="E516" s="49"/>
      <c r="F516" s="49" t="s">
        <v>512</v>
      </c>
      <c r="G516" s="49"/>
      <c r="H516" s="63">
        <v>968.76</v>
      </c>
      <c r="I516" s="63">
        <v>40000</v>
      </c>
      <c r="J516" s="64">
        <v>11604.98</v>
      </c>
      <c r="K516" s="64">
        <v>18000</v>
      </c>
      <c r="L516" s="65">
        <v>9768.11</v>
      </c>
      <c r="M516" s="65">
        <v>30000</v>
      </c>
      <c r="N516" s="66">
        <f t="shared" si="150"/>
        <v>22341.85</v>
      </c>
      <c r="O516" s="66">
        <f t="shared" si="150"/>
        <v>88000</v>
      </c>
      <c r="P516" s="69">
        <f t="shared" si="148"/>
        <v>7447.2833333333328</v>
      </c>
      <c r="Q516" s="69">
        <f t="shared" si="149"/>
        <v>29333.333333333332</v>
      </c>
      <c r="R516" s="54"/>
      <c r="S516" s="49"/>
      <c r="T516" s="49"/>
      <c r="U516" s="49"/>
      <c r="V516" s="49"/>
      <c r="W516" s="49"/>
      <c r="X516" s="49" t="s">
        <v>512</v>
      </c>
      <c r="Y516" s="49"/>
      <c r="Z516" s="66">
        <v>35000</v>
      </c>
      <c r="AB516" s="66">
        <v>20000</v>
      </c>
      <c r="AD516" s="81">
        <f t="shared" si="147"/>
        <v>-15000</v>
      </c>
    </row>
    <row r="517" spans="1:30" ht="16" thickBot="1" x14ac:dyDescent="0.4">
      <c r="A517" s="66"/>
      <c r="B517" s="66"/>
      <c r="C517" s="49"/>
      <c r="D517" s="49"/>
      <c r="E517" s="49"/>
      <c r="F517" s="49" t="s">
        <v>513</v>
      </c>
      <c r="G517" s="49"/>
      <c r="H517" s="70">
        <v>18640.98</v>
      </c>
      <c r="I517" s="70">
        <v>20000</v>
      </c>
      <c r="J517" s="71">
        <v>34056.79</v>
      </c>
      <c r="K517" s="71">
        <v>15000</v>
      </c>
      <c r="L517" s="72">
        <v>41936.720000000001</v>
      </c>
      <c r="M517" s="72">
        <v>20000</v>
      </c>
      <c r="N517" s="73">
        <f t="shared" si="150"/>
        <v>94634.49</v>
      </c>
      <c r="O517" s="73">
        <f t="shared" si="150"/>
        <v>55000</v>
      </c>
      <c r="P517" s="74">
        <f t="shared" si="148"/>
        <v>31544.83</v>
      </c>
      <c r="Q517" s="74">
        <f t="shared" si="149"/>
        <v>18333.333333333332</v>
      </c>
      <c r="R517" s="54"/>
      <c r="S517" s="49"/>
      <c r="T517" s="49"/>
      <c r="U517" s="49"/>
      <c r="V517" s="49"/>
      <c r="W517" s="49"/>
      <c r="X517" s="49" t="s">
        <v>513</v>
      </c>
      <c r="Y517" s="49"/>
      <c r="Z517" s="73">
        <v>30000</v>
      </c>
      <c r="AB517" s="73">
        <v>35000</v>
      </c>
      <c r="AD517" s="81">
        <f t="shared" si="147"/>
        <v>5000</v>
      </c>
    </row>
    <row r="518" spans="1:30" x14ac:dyDescent="0.35">
      <c r="A518" s="66"/>
      <c r="B518" s="66"/>
      <c r="C518" s="49"/>
      <c r="D518" s="49"/>
      <c r="E518" s="49" t="s">
        <v>514</v>
      </c>
      <c r="F518" s="49"/>
      <c r="G518" s="49"/>
      <c r="H518" s="63">
        <f t="shared" ref="H518:M518" si="151">ROUND(SUM(H514:H517),5)</f>
        <v>28309.74</v>
      </c>
      <c r="I518" s="63">
        <f t="shared" si="151"/>
        <v>75000</v>
      </c>
      <c r="J518" s="64">
        <f t="shared" si="151"/>
        <v>69722.77</v>
      </c>
      <c r="K518" s="64">
        <f t="shared" si="151"/>
        <v>58000</v>
      </c>
      <c r="L518" s="65">
        <f t="shared" si="151"/>
        <v>76680.83</v>
      </c>
      <c r="M518" s="65">
        <f t="shared" si="151"/>
        <v>75000</v>
      </c>
      <c r="N518" s="66">
        <f t="shared" si="150"/>
        <v>174713.34</v>
      </c>
      <c r="O518" s="66">
        <f t="shared" si="150"/>
        <v>208000</v>
      </c>
      <c r="P518" s="69">
        <f t="shared" si="148"/>
        <v>58237.78</v>
      </c>
      <c r="Q518" s="69">
        <f t="shared" si="149"/>
        <v>69333.333333333328</v>
      </c>
      <c r="R518" s="54"/>
      <c r="S518" s="49"/>
      <c r="T518" s="49"/>
      <c r="U518" s="49"/>
      <c r="V518" s="49"/>
      <c r="W518" s="49" t="s">
        <v>514</v>
      </c>
      <c r="X518" s="49"/>
      <c r="Y518" s="49"/>
      <c r="Z518" s="66">
        <f>ROUND(SUM(Z514:Z517),5)</f>
        <v>90000</v>
      </c>
      <c r="AB518" s="66">
        <f>ROUND(SUM(AB514:AB517),5)</f>
        <v>80000</v>
      </c>
      <c r="AD518" s="81">
        <f t="shared" si="147"/>
        <v>-10000</v>
      </c>
    </row>
    <row r="519" spans="1:30" x14ac:dyDescent="0.35">
      <c r="A519" s="66"/>
      <c r="B519" s="66"/>
      <c r="C519" s="49"/>
      <c r="D519" s="49"/>
      <c r="E519" s="49" t="s">
        <v>515</v>
      </c>
      <c r="F519" s="49"/>
      <c r="G519" s="49"/>
      <c r="H519" s="63">
        <v>4964.49</v>
      </c>
      <c r="I519" s="63">
        <v>2000</v>
      </c>
      <c r="J519" s="64">
        <v>2885.14</v>
      </c>
      <c r="K519" s="64">
        <v>2880</v>
      </c>
      <c r="L519" s="65">
        <v>670.2</v>
      </c>
      <c r="M519" s="65">
        <v>3000</v>
      </c>
      <c r="N519" s="66">
        <f t="shared" si="150"/>
        <v>8519.83</v>
      </c>
      <c r="O519" s="66">
        <f t="shared" si="150"/>
        <v>7880</v>
      </c>
      <c r="P519" s="69">
        <f t="shared" si="148"/>
        <v>2839.9433333333332</v>
      </c>
      <c r="Q519" s="69">
        <f t="shared" si="149"/>
        <v>2626.6666666666665</v>
      </c>
      <c r="R519" s="54"/>
      <c r="S519" s="49"/>
      <c r="T519" s="49"/>
      <c r="U519" s="49"/>
      <c r="V519" s="49"/>
      <c r="W519" s="49" t="s">
        <v>515</v>
      </c>
      <c r="X519" s="49"/>
      <c r="Y519" s="49"/>
      <c r="Z519" s="66">
        <v>8000</v>
      </c>
      <c r="AB519" s="66">
        <v>2000</v>
      </c>
      <c r="AD519" s="81">
        <f t="shared" si="147"/>
        <v>-6000</v>
      </c>
    </row>
    <row r="520" spans="1:30" x14ac:dyDescent="0.35">
      <c r="A520" s="66"/>
      <c r="B520" s="66"/>
      <c r="C520" s="49"/>
      <c r="D520" s="49"/>
      <c r="E520" s="49" t="s">
        <v>516</v>
      </c>
      <c r="F520" s="49"/>
      <c r="G520" s="49"/>
      <c r="H520" s="63">
        <v>47274.94</v>
      </c>
      <c r="I520" s="63">
        <v>28524</v>
      </c>
      <c r="J520" s="64">
        <v>40863.71</v>
      </c>
      <c r="K520" s="64">
        <v>43665</v>
      </c>
      <c r="L520" s="65">
        <v>42646.15</v>
      </c>
      <c r="M520" s="65">
        <v>44757</v>
      </c>
      <c r="N520" s="66">
        <f t="shared" si="150"/>
        <v>130784.8</v>
      </c>
      <c r="O520" s="66">
        <f t="shared" si="150"/>
        <v>116946</v>
      </c>
      <c r="P520" s="69">
        <f t="shared" si="148"/>
        <v>43594.933333333334</v>
      </c>
      <c r="Q520" s="69">
        <f t="shared" si="149"/>
        <v>38982</v>
      </c>
      <c r="R520" s="54"/>
      <c r="S520" s="49"/>
      <c r="T520" s="49"/>
      <c r="U520" s="49"/>
      <c r="V520" s="49"/>
      <c r="W520" s="49" t="s">
        <v>516</v>
      </c>
      <c r="X520" s="49"/>
      <c r="Y520" s="49"/>
      <c r="Z520" s="66">
        <v>49516</v>
      </c>
      <c r="AB520" s="66">
        <v>82667.42</v>
      </c>
      <c r="AD520" s="81">
        <f t="shared" si="147"/>
        <v>33151.42</v>
      </c>
    </row>
    <row r="521" spans="1:30" x14ac:dyDescent="0.35">
      <c r="A521" s="66"/>
      <c r="B521" s="66"/>
      <c r="C521" s="49"/>
      <c r="D521" s="49"/>
      <c r="E521" s="49" t="s">
        <v>517</v>
      </c>
      <c r="F521" s="49"/>
      <c r="G521" s="49"/>
      <c r="H521" s="63">
        <v>4530.93</v>
      </c>
      <c r="I521" s="63">
        <v>3000</v>
      </c>
      <c r="J521" s="64">
        <v>2569.27</v>
      </c>
      <c r="K521" s="64">
        <v>5000</v>
      </c>
      <c r="L521" s="65">
        <v>3451.72</v>
      </c>
      <c r="M521" s="65">
        <v>0</v>
      </c>
      <c r="N521" s="66">
        <f t="shared" si="150"/>
        <v>10551.92</v>
      </c>
      <c r="O521" s="66">
        <f t="shared" si="150"/>
        <v>8000</v>
      </c>
      <c r="P521" s="69">
        <f t="shared" si="148"/>
        <v>3517.3066666666668</v>
      </c>
      <c r="Q521" s="69">
        <f t="shared" si="149"/>
        <v>2666.6666666666665</v>
      </c>
      <c r="R521" s="54"/>
      <c r="S521" s="49"/>
      <c r="T521" s="49"/>
      <c r="U521" s="49"/>
      <c r="V521" s="49"/>
      <c r="W521" s="49" t="s">
        <v>517</v>
      </c>
      <c r="X521" s="49"/>
      <c r="Y521" s="49"/>
      <c r="Z521" s="66">
        <v>3000</v>
      </c>
      <c r="AB521" s="66">
        <v>2000</v>
      </c>
      <c r="AD521" s="81">
        <f t="shared" si="147"/>
        <v>-1000</v>
      </c>
    </row>
    <row r="522" spans="1:30" x14ac:dyDescent="0.35">
      <c r="A522" s="66"/>
      <c r="B522" s="66"/>
      <c r="C522" s="49"/>
      <c r="D522" s="49"/>
      <c r="E522" s="49" t="s">
        <v>518</v>
      </c>
      <c r="F522" s="49"/>
      <c r="G522" s="49"/>
      <c r="H522" s="63">
        <v>898.07</v>
      </c>
      <c r="I522" s="63">
        <v>2000</v>
      </c>
      <c r="J522" s="64">
        <v>386.15</v>
      </c>
      <c r="K522" s="64">
        <v>1000</v>
      </c>
      <c r="L522" s="65">
        <v>324.02999999999997</v>
      </c>
      <c r="M522" s="65">
        <v>1000</v>
      </c>
      <c r="N522" s="66">
        <f t="shared" si="150"/>
        <v>1608.25</v>
      </c>
      <c r="O522" s="66">
        <f t="shared" si="150"/>
        <v>4000</v>
      </c>
      <c r="P522" s="69">
        <f t="shared" si="148"/>
        <v>536.08333333333337</v>
      </c>
      <c r="Q522" s="69">
        <f t="shared" si="149"/>
        <v>1333.3333333333333</v>
      </c>
      <c r="R522" s="54"/>
      <c r="S522" s="49"/>
      <c r="T522" s="49"/>
      <c r="U522" s="49"/>
      <c r="V522" s="49"/>
      <c r="W522" s="49" t="s">
        <v>518</v>
      </c>
      <c r="X522" s="49"/>
      <c r="Y522" s="49"/>
      <c r="Z522" s="66">
        <v>1000</v>
      </c>
      <c r="AB522" s="66">
        <v>1000</v>
      </c>
      <c r="AD522" s="81">
        <f t="shared" si="147"/>
        <v>0</v>
      </c>
    </row>
    <row r="523" spans="1:30" x14ac:dyDescent="0.35">
      <c r="A523" s="66"/>
      <c r="B523" s="66"/>
      <c r="C523" s="49"/>
      <c r="D523" s="49"/>
      <c r="E523" s="49" t="s">
        <v>519</v>
      </c>
      <c r="F523" s="49"/>
      <c r="G523" s="49"/>
      <c r="H523" s="63">
        <v>0</v>
      </c>
      <c r="I523" s="63"/>
      <c r="J523" s="64">
        <v>0</v>
      </c>
      <c r="K523" s="64"/>
      <c r="L523" s="65">
        <v>86.03</v>
      </c>
      <c r="M523" s="65"/>
      <c r="N523" s="66">
        <f t="shared" ref="N523:N542" si="152">ROUND(H523+J523+L523,5)</f>
        <v>86.03</v>
      </c>
      <c r="O523" s="66"/>
      <c r="P523" s="69">
        <f t="shared" si="148"/>
        <v>28.676666666666666</v>
      </c>
      <c r="Q523" s="69">
        <f t="shared" si="149"/>
        <v>0</v>
      </c>
      <c r="R523" s="54"/>
      <c r="S523" s="49"/>
      <c r="T523" s="49"/>
      <c r="U523" s="49"/>
      <c r="V523" s="49"/>
      <c r="W523" s="49" t="s">
        <v>519</v>
      </c>
      <c r="X523" s="49"/>
      <c r="Y523" s="49"/>
      <c r="Z523" s="66">
        <v>0</v>
      </c>
      <c r="AB523" s="66">
        <v>0</v>
      </c>
      <c r="AD523" s="81">
        <f t="shared" si="147"/>
        <v>0</v>
      </c>
    </row>
    <row r="524" spans="1:30" x14ac:dyDescent="0.35">
      <c r="A524" s="66"/>
      <c r="B524" s="66"/>
      <c r="C524" s="49"/>
      <c r="D524" s="49"/>
      <c r="E524" s="49" t="s">
        <v>520</v>
      </c>
      <c r="F524" s="49"/>
      <c r="G524" s="49"/>
      <c r="H524" s="63">
        <v>22781.57</v>
      </c>
      <c r="I524" s="63">
        <v>20000</v>
      </c>
      <c r="J524" s="64">
        <v>23123.1</v>
      </c>
      <c r="K524" s="64">
        <v>15000</v>
      </c>
      <c r="L524" s="65">
        <v>27051.87</v>
      </c>
      <c r="M524" s="65">
        <v>15000</v>
      </c>
      <c r="N524" s="66">
        <f t="shared" si="152"/>
        <v>72956.539999999994</v>
      </c>
      <c r="O524" s="66">
        <f t="shared" ref="O524:O540" si="153">ROUND(I524+K524+M524,5)</f>
        <v>50000</v>
      </c>
      <c r="P524" s="69">
        <f t="shared" si="148"/>
        <v>24318.846666666665</v>
      </c>
      <c r="Q524" s="69">
        <f t="shared" si="149"/>
        <v>16666.666666666668</v>
      </c>
      <c r="R524" s="54"/>
      <c r="S524" s="49"/>
      <c r="T524" s="49"/>
      <c r="U524" s="49"/>
      <c r="V524" s="49"/>
      <c r="W524" s="49" t="s">
        <v>520</v>
      </c>
      <c r="X524" s="49"/>
      <c r="Y524" s="49"/>
      <c r="Z524" s="66">
        <v>17000</v>
      </c>
      <c r="AB524" s="66">
        <v>22000</v>
      </c>
      <c r="AD524" s="81">
        <f t="shared" si="147"/>
        <v>5000</v>
      </c>
    </row>
    <row r="525" spans="1:30" x14ac:dyDescent="0.35">
      <c r="A525" s="66"/>
      <c r="B525" s="66"/>
      <c r="C525" s="49"/>
      <c r="D525" s="49"/>
      <c r="E525" s="49" t="s">
        <v>521</v>
      </c>
      <c r="F525" s="49"/>
      <c r="G525" s="49"/>
      <c r="H525" s="63">
        <v>207.16</v>
      </c>
      <c r="I525" s="63">
        <v>1700</v>
      </c>
      <c r="J525" s="64">
        <v>485.58</v>
      </c>
      <c r="K525" s="64">
        <v>1100</v>
      </c>
      <c r="L525" s="65">
        <v>90.48</v>
      </c>
      <c r="M525" s="65">
        <v>1000</v>
      </c>
      <c r="N525" s="66">
        <f t="shared" si="152"/>
        <v>783.22</v>
      </c>
      <c r="O525" s="66">
        <f t="shared" si="153"/>
        <v>3800</v>
      </c>
      <c r="P525" s="69">
        <f t="shared" si="148"/>
        <v>261.07333333333332</v>
      </c>
      <c r="Q525" s="69">
        <f t="shared" si="149"/>
        <v>1266.6666666666667</v>
      </c>
      <c r="R525" s="54"/>
      <c r="S525" s="49"/>
      <c r="T525" s="49"/>
      <c r="U525" s="49"/>
      <c r="V525" s="49"/>
      <c r="W525" s="49" t="s">
        <v>521</v>
      </c>
      <c r="X525" s="49"/>
      <c r="Y525" s="49"/>
      <c r="Z525" s="66">
        <v>1000</v>
      </c>
      <c r="AB525" s="66">
        <v>1000</v>
      </c>
      <c r="AD525" s="81">
        <f t="shared" si="147"/>
        <v>0</v>
      </c>
    </row>
    <row r="526" spans="1:30" x14ac:dyDescent="0.35">
      <c r="A526" s="66"/>
      <c r="B526" s="66"/>
      <c r="C526" s="49"/>
      <c r="D526" s="49"/>
      <c r="E526" s="49" t="s">
        <v>522</v>
      </c>
      <c r="F526" s="49"/>
      <c r="G526" s="49"/>
      <c r="H526" s="63">
        <v>39999.96</v>
      </c>
      <c r="I526" s="63">
        <v>40000</v>
      </c>
      <c r="J526" s="64">
        <v>39999.96</v>
      </c>
      <c r="K526" s="64">
        <v>37800</v>
      </c>
      <c r="L526" s="65">
        <v>39999.96</v>
      </c>
      <c r="M526" s="65">
        <v>41000</v>
      </c>
      <c r="N526" s="66">
        <f t="shared" si="152"/>
        <v>119999.88</v>
      </c>
      <c r="O526" s="66">
        <f t="shared" si="153"/>
        <v>118800</v>
      </c>
      <c r="P526" s="69">
        <f t="shared" si="148"/>
        <v>39999.96</v>
      </c>
      <c r="Q526" s="69">
        <f t="shared" si="149"/>
        <v>39600</v>
      </c>
      <c r="R526" s="54"/>
      <c r="S526" s="49"/>
      <c r="T526" s="49"/>
      <c r="U526" s="49"/>
      <c r="V526" s="49"/>
      <c r="W526" s="49" t="s">
        <v>522</v>
      </c>
      <c r="X526" s="49"/>
      <c r="Y526" s="49"/>
      <c r="Z526" s="66">
        <v>42000</v>
      </c>
      <c r="AB526" s="66">
        <v>42000</v>
      </c>
      <c r="AD526" s="81">
        <f t="shared" si="147"/>
        <v>0</v>
      </c>
    </row>
    <row r="527" spans="1:30" x14ac:dyDescent="0.35">
      <c r="A527" s="66"/>
      <c r="B527" s="66"/>
      <c r="C527" s="49"/>
      <c r="D527" s="49"/>
      <c r="E527" s="49" t="s">
        <v>523</v>
      </c>
      <c r="F527" s="49"/>
      <c r="G527" s="49"/>
      <c r="H527" s="63">
        <v>2400</v>
      </c>
      <c r="I527" s="63">
        <v>2580</v>
      </c>
      <c r="J527" s="64">
        <v>3000</v>
      </c>
      <c r="K527" s="64">
        <v>2200</v>
      </c>
      <c r="L527" s="65">
        <v>2250</v>
      </c>
      <c r="M527" s="65">
        <v>3000</v>
      </c>
      <c r="N527" s="66">
        <f t="shared" si="152"/>
        <v>7650</v>
      </c>
      <c r="O527" s="66">
        <f t="shared" si="153"/>
        <v>7780</v>
      </c>
      <c r="P527" s="69">
        <f t="shared" si="148"/>
        <v>2550</v>
      </c>
      <c r="Q527" s="69">
        <f t="shared" si="149"/>
        <v>2593.3333333333335</v>
      </c>
      <c r="R527" s="54"/>
      <c r="S527" s="49"/>
      <c r="T527" s="49"/>
      <c r="U527" s="49"/>
      <c r="V527" s="49"/>
      <c r="W527" s="49" t="s">
        <v>523</v>
      </c>
      <c r="X527" s="49"/>
      <c r="Y527" s="49"/>
      <c r="Z527" s="66">
        <v>3000</v>
      </c>
      <c r="AB527" s="66">
        <v>2500</v>
      </c>
      <c r="AD527" s="81">
        <f t="shared" si="147"/>
        <v>-500</v>
      </c>
    </row>
    <row r="528" spans="1:30" x14ac:dyDescent="0.35">
      <c r="A528" s="66"/>
      <c r="B528" s="66"/>
      <c r="C528" s="49"/>
      <c r="D528" s="49"/>
      <c r="E528" s="49" t="s">
        <v>524</v>
      </c>
      <c r="F528" s="49"/>
      <c r="G528" s="49"/>
      <c r="H528" s="63">
        <v>1650</v>
      </c>
      <c r="I528" s="63">
        <v>10000</v>
      </c>
      <c r="J528" s="64">
        <v>3475.37</v>
      </c>
      <c r="K528" s="64">
        <v>5000</v>
      </c>
      <c r="L528" s="65">
        <v>2086.8000000000002</v>
      </c>
      <c r="M528" s="65">
        <v>3000</v>
      </c>
      <c r="N528" s="66">
        <f t="shared" si="152"/>
        <v>7212.17</v>
      </c>
      <c r="O528" s="66">
        <f t="shared" si="153"/>
        <v>18000</v>
      </c>
      <c r="P528" s="69">
        <f t="shared" si="148"/>
        <v>2404.0566666666668</v>
      </c>
      <c r="Q528" s="69">
        <f t="shared" si="149"/>
        <v>6000</v>
      </c>
      <c r="R528" s="54"/>
      <c r="S528" s="49"/>
      <c r="T528" s="49"/>
      <c r="U528" s="49"/>
      <c r="V528" s="49"/>
      <c r="W528" s="49" t="s">
        <v>524</v>
      </c>
      <c r="X528" s="49"/>
      <c r="Y528" s="49"/>
      <c r="Z528" s="66">
        <v>3000</v>
      </c>
      <c r="AB528" s="66">
        <v>3000</v>
      </c>
      <c r="AC528" s="46" t="s">
        <v>851</v>
      </c>
      <c r="AD528" s="81">
        <f t="shared" si="147"/>
        <v>0</v>
      </c>
    </row>
    <row r="529" spans="1:31" x14ac:dyDescent="0.35">
      <c r="A529" s="66"/>
      <c r="B529" s="66"/>
      <c r="C529" s="49"/>
      <c r="D529" s="49"/>
      <c r="E529" s="49" t="s">
        <v>525</v>
      </c>
      <c r="F529" s="49"/>
      <c r="G529" s="49"/>
      <c r="H529" s="63">
        <v>5295.35</v>
      </c>
      <c r="I529" s="63">
        <v>17000</v>
      </c>
      <c r="J529" s="64">
        <v>0</v>
      </c>
      <c r="K529" s="64">
        <v>0</v>
      </c>
      <c r="L529" s="65">
        <v>0</v>
      </c>
      <c r="M529" s="65"/>
      <c r="N529" s="66">
        <f t="shared" si="152"/>
        <v>5295.35</v>
      </c>
      <c r="O529" s="66">
        <f t="shared" si="153"/>
        <v>17000</v>
      </c>
      <c r="P529" s="69">
        <f t="shared" si="148"/>
        <v>1765.1166666666668</v>
      </c>
      <c r="Q529" s="69">
        <f t="shared" si="149"/>
        <v>5666.666666666667</v>
      </c>
      <c r="R529" s="54"/>
      <c r="S529" s="49"/>
      <c r="T529" s="49"/>
      <c r="U529" s="49"/>
      <c r="V529" s="49"/>
      <c r="W529" s="49" t="s">
        <v>525</v>
      </c>
      <c r="X529" s="49"/>
      <c r="Y529" s="49"/>
      <c r="Z529" s="66">
        <v>0</v>
      </c>
      <c r="AB529" s="66">
        <v>0</v>
      </c>
      <c r="AD529" s="81">
        <f t="shared" si="147"/>
        <v>0</v>
      </c>
    </row>
    <row r="530" spans="1:31" x14ac:dyDescent="0.35">
      <c r="A530" s="66"/>
      <c r="B530" s="66"/>
      <c r="C530" s="49"/>
      <c r="D530" s="49"/>
      <c r="E530" s="49" t="s">
        <v>526</v>
      </c>
      <c r="F530" s="49"/>
      <c r="G530" s="49"/>
      <c r="H530" s="63">
        <v>65498.5</v>
      </c>
      <c r="I530" s="63">
        <v>38325</v>
      </c>
      <c r="J530" s="64">
        <v>65504.98</v>
      </c>
      <c r="K530" s="64">
        <v>55000</v>
      </c>
      <c r="L530" s="65">
        <v>112725.58</v>
      </c>
      <c r="M530" s="65">
        <v>69540</v>
      </c>
      <c r="N530" s="66">
        <f t="shared" si="152"/>
        <v>243729.06</v>
      </c>
      <c r="O530" s="66">
        <f t="shared" si="153"/>
        <v>162865</v>
      </c>
      <c r="P530" s="69">
        <f t="shared" si="148"/>
        <v>81243.02</v>
      </c>
      <c r="Q530" s="69">
        <f t="shared" si="149"/>
        <v>54288.333333333336</v>
      </c>
      <c r="R530" s="54"/>
      <c r="S530" s="49"/>
      <c r="T530" s="49"/>
      <c r="U530" s="49"/>
      <c r="V530" s="49"/>
      <c r="W530" s="49" t="s">
        <v>526</v>
      </c>
      <c r="X530" s="49"/>
      <c r="Y530" s="49"/>
      <c r="Z530" s="66">
        <v>45000</v>
      </c>
      <c r="AB530" s="66">
        <f>ROUND(42665.15, 0)</f>
        <v>42665</v>
      </c>
      <c r="AD530" s="81">
        <f t="shared" si="147"/>
        <v>-2335</v>
      </c>
      <c r="AE530" s="94"/>
    </row>
    <row r="531" spans="1:31" x14ac:dyDescent="0.35">
      <c r="A531" s="66"/>
      <c r="B531" s="66"/>
      <c r="C531" s="49"/>
      <c r="D531" s="49"/>
      <c r="E531" s="49" t="s">
        <v>527</v>
      </c>
      <c r="F531" s="49"/>
      <c r="G531" s="49"/>
      <c r="H531" s="63">
        <v>4664.29</v>
      </c>
      <c r="I531" s="63">
        <v>2716.8</v>
      </c>
      <c r="J531" s="64">
        <v>3018.33</v>
      </c>
      <c r="K531" s="64">
        <v>4360</v>
      </c>
      <c r="L531" s="65">
        <v>4947.66</v>
      </c>
      <c r="M531" s="65">
        <v>5328</v>
      </c>
      <c r="N531" s="66">
        <f t="shared" si="152"/>
        <v>12630.28</v>
      </c>
      <c r="O531" s="66">
        <f t="shared" si="153"/>
        <v>12404.8</v>
      </c>
      <c r="P531" s="69">
        <f t="shared" si="148"/>
        <v>4210.0933333333332</v>
      </c>
      <c r="Q531" s="69">
        <f t="shared" si="149"/>
        <v>4134.9333333333334</v>
      </c>
      <c r="R531" s="54"/>
      <c r="S531" s="49"/>
      <c r="T531" s="49"/>
      <c r="U531" s="49"/>
      <c r="V531" s="49"/>
      <c r="W531" s="49" t="s">
        <v>527</v>
      </c>
      <c r="X531" s="49"/>
      <c r="Y531" s="49"/>
      <c r="Z531" s="66">
        <v>5027</v>
      </c>
      <c r="AB531" s="66">
        <v>6033.32</v>
      </c>
      <c r="AD531" s="81">
        <f t="shared" si="147"/>
        <v>1006.3199999999997</v>
      </c>
    </row>
    <row r="532" spans="1:31" x14ac:dyDescent="0.35">
      <c r="A532" s="66"/>
      <c r="B532" s="66"/>
      <c r="C532" s="49"/>
      <c r="D532" s="49"/>
      <c r="E532" s="49" t="s">
        <v>528</v>
      </c>
      <c r="F532" s="49"/>
      <c r="G532" s="49"/>
      <c r="H532" s="63">
        <v>4727</v>
      </c>
      <c r="I532" s="63">
        <v>4572</v>
      </c>
      <c r="J532" s="64">
        <v>5187</v>
      </c>
      <c r="K532" s="64">
        <v>4900</v>
      </c>
      <c r="L532" s="65">
        <v>3671</v>
      </c>
      <c r="M532" s="65">
        <v>5431</v>
      </c>
      <c r="N532" s="66">
        <f t="shared" si="152"/>
        <v>13585</v>
      </c>
      <c r="O532" s="66">
        <f t="shared" si="153"/>
        <v>14903</v>
      </c>
      <c r="P532" s="69">
        <f t="shared" si="148"/>
        <v>4528.333333333333</v>
      </c>
      <c r="Q532" s="69">
        <f t="shared" si="149"/>
        <v>4967.666666666667</v>
      </c>
      <c r="R532" s="54"/>
      <c r="S532" s="49"/>
      <c r="T532" s="49"/>
      <c r="U532" s="49"/>
      <c r="V532" s="49"/>
      <c r="W532" s="49" t="s">
        <v>528</v>
      </c>
      <c r="X532" s="49"/>
      <c r="Y532" s="49"/>
      <c r="Z532" s="66">
        <v>3132</v>
      </c>
      <c r="AB532" s="66">
        <f>ROUND(3414.6, 0)</f>
        <v>3415</v>
      </c>
      <c r="AD532" s="81">
        <f t="shared" si="147"/>
        <v>283</v>
      </c>
      <c r="AE532" s="94"/>
    </row>
    <row r="533" spans="1:31" x14ac:dyDescent="0.35">
      <c r="A533" s="66"/>
      <c r="B533" s="66"/>
      <c r="C533" s="49"/>
      <c r="D533" s="49"/>
      <c r="E533" s="49" t="s">
        <v>529</v>
      </c>
      <c r="F533" s="49"/>
      <c r="G533" s="49"/>
      <c r="H533" s="63">
        <v>89.42</v>
      </c>
      <c r="I533" s="63">
        <v>5000</v>
      </c>
      <c r="J533" s="64">
        <v>12728.53</v>
      </c>
      <c r="K533" s="64">
        <v>0</v>
      </c>
      <c r="L533" s="65">
        <v>0</v>
      </c>
      <c r="M533" s="65">
        <v>0</v>
      </c>
      <c r="N533" s="66">
        <f t="shared" si="152"/>
        <v>12817.95</v>
      </c>
      <c r="O533" s="66">
        <f t="shared" si="153"/>
        <v>5000</v>
      </c>
      <c r="P533" s="69">
        <f t="shared" si="148"/>
        <v>4272.6500000000005</v>
      </c>
      <c r="Q533" s="69">
        <f t="shared" si="149"/>
        <v>1666.6666666666667</v>
      </c>
      <c r="R533" s="54"/>
      <c r="S533" s="49"/>
      <c r="T533" s="49"/>
      <c r="U533" s="49"/>
      <c r="V533" s="49"/>
      <c r="W533" s="49" t="s">
        <v>529</v>
      </c>
      <c r="X533" s="49"/>
      <c r="Y533" s="49"/>
      <c r="Z533" s="66">
        <v>5000</v>
      </c>
      <c r="AB533" s="66">
        <v>0</v>
      </c>
      <c r="AD533" s="81">
        <f t="shared" si="147"/>
        <v>-5000</v>
      </c>
    </row>
    <row r="534" spans="1:31" x14ac:dyDescent="0.35">
      <c r="A534" s="66"/>
      <c r="B534" s="66"/>
      <c r="C534" s="49"/>
      <c r="D534" s="49"/>
      <c r="E534" s="49" t="s">
        <v>530</v>
      </c>
      <c r="F534" s="49"/>
      <c r="G534" s="49"/>
      <c r="H534" s="63">
        <v>3574.34</v>
      </c>
      <c r="I534" s="63">
        <v>4992</v>
      </c>
      <c r="J534" s="64">
        <v>3364.92</v>
      </c>
      <c r="K534" s="64">
        <v>5562</v>
      </c>
      <c r="L534" s="65">
        <v>2926.66</v>
      </c>
      <c r="M534" s="65">
        <v>5000</v>
      </c>
      <c r="N534" s="66">
        <f t="shared" si="152"/>
        <v>9865.92</v>
      </c>
      <c r="O534" s="66">
        <f t="shared" si="153"/>
        <v>15554</v>
      </c>
      <c r="P534" s="69">
        <f t="shared" si="148"/>
        <v>3288.64</v>
      </c>
      <c r="Q534" s="69">
        <f t="shared" si="149"/>
        <v>5184.666666666667</v>
      </c>
      <c r="R534" s="54"/>
      <c r="S534" s="49"/>
      <c r="T534" s="49"/>
      <c r="U534" s="49"/>
      <c r="V534" s="49"/>
      <c r="W534" s="49" t="s">
        <v>530</v>
      </c>
      <c r="X534" s="49"/>
      <c r="Y534" s="49"/>
      <c r="Z534" s="66">
        <v>5000</v>
      </c>
      <c r="AB534" s="66">
        <v>4000</v>
      </c>
      <c r="AD534" s="81">
        <f t="shared" si="147"/>
        <v>-1000</v>
      </c>
    </row>
    <row r="535" spans="1:31" x14ac:dyDescent="0.35">
      <c r="A535" s="66"/>
      <c r="B535" s="66"/>
      <c r="C535" s="49"/>
      <c r="D535" s="49"/>
      <c r="E535" s="49" t="s">
        <v>531</v>
      </c>
      <c r="F535" s="49"/>
      <c r="G535" s="49"/>
      <c r="H535" s="63">
        <v>10575.38</v>
      </c>
      <c r="I535" s="63">
        <v>11000</v>
      </c>
      <c r="J535" s="64">
        <v>7582.88</v>
      </c>
      <c r="K535" s="64">
        <v>11700</v>
      </c>
      <c r="L535" s="65">
        <v>8602.8799999999992</v>
      </c>
      <c r="M535" s="65">
        <v>10000</v>
      </c>
      <c r="N535" s="66">
        <f t="shared" si="152"/>
        <v>26761.14</v>
      </c>
      <c r="O535" s="66">
        <f t="shared" si="153"/>
        <v>32700</v>
      </c>
      <c r="P535" s="69">
        <f t="shared" si="148"/>
        <v>8920.3799999999992</v>
      </c>
      <c r="Q535" s="69">
        <f t="shared" si="149"/>
        <v>10900</v>
      </c>
      <c r="R535" s="54"/>
      <c r="S535" s="49"/>
      <c r="T535" s="49"/>
      <c r="U535" s="49"/>
      <c r="V535" s="49"/>
      <c r="W535" s="49" t="s">
        <v>531</v>
      </c>
      <c r="X535" s="49"/>
      <c r="Y535" s="49"/>
      <c r="Z535" s="66">
        <v>10000</v>
      </c>
      <c r="AB535" s="66">
        <v>9000</v>
      </c>
      <c r="AD535" s="81">
        <f t="shared" si="147"/>
        <v>-1000</v>
      </c>
    </row>
    <row r="536" spans="1:31" x14ac:dyDescent="0.35">
      <c r="A536" s="66"/>
      <c r="B536" s="66"/>
      <c r="C536" s="49"/>
      <c r="D536" s="49"/>
      <c r="E536" s="49" t="s">
        <v>532</v>
      </c>
      <c r="F536" s="49"/>
      <c r="G536" s="49"/>
      <c r="H536" s="63">
        <v>3539.31</v>
      </c>
      <c r="I536" s="63">
        <v>3645</v>
      </c>
      <c r="J536" s="64">
        <v>3316.13</v>
      </c>
      <c r="K536" s="64">
        <v>3200</v>
      </c>
      <c r="L536" s="65">
        <v>3381.09</v>
      </c>
      <c r="M536" s="65">
        <v>3250</v>
      </c>
      <c r="N536" s="66">
        <f t="shared" si="152"/>
        <v>10236.530000000001</v>
      </c>
      <c r="O536" s="66">
        <f t="shared" si="153"/>
        <v>10095</v>
      </c>
      <c r="P536" s="69">
        <f t="shared" si="148"/>
        <v>3412.1766666666667</v>
      </c>
      <c r="Q536" s="69">
        <f t="shared" si="149"/>
        <v>3365</v>
      </c>
      <c r="R536" s="54"/>
      <c r="S536" s="49"/>
      <c r="T536" s="49"/>
      <c r="U536" s="49"/>
      <c r="V536" s="49"/>
      <c r="W536" s="49" t="s">
        <v>532</v>
      </c>
      <c r="X536" s="49"/>
      <c r="Y536" s="49"/>
      <c r="Z536" s="66">
        <v>3405</v>
      </c>
      <c r="AB536" s="66">
        <v>3050</v>
      </c>
      <c r="AD536" s="81">
        <f t="shared" si="147"/>
        <v>-355</v>
      </c>
    </row>
    <row r="537" spans="1:31" x14ac:dyDescent="0.35">
      <c r="A537" s="66"/>
      <c r="B537" s="66"/>
      <c r="C537" s="49"/>
      <c r="D537" s="49"/>
      <c r="E537" s="49" t="s">
        <v>533</v>
      </c>
      <c r="F537" s="49"/>
      <c r="G537" s="49"/>
      <c r="H537" s="63">
        <v>8875.7999999999993</v>
      </c>
      <c r="I537" s="63">
        <v>9376</v>
      </c>
      <c r="J537" s="64">
        <v>6026.59</v>
      </c>
      <c r="K537" s="64">
        <v>8800</v>
      </c>
      <c r="L537" s="65">
        <v>0</v>
      </c>
      <c r="M537" s="65">
        <v>0</v>
      </c>
      <c r="N537" s="66">
        <f t="shared" si="152"/>
        <v>14902.39</v>
      </c>
      <c r="O537" s="66">
        <f t="shared" si="153"/>
        <v>18176</v>
      </c>
      <c r="P537" s="69">
        <f t="shared" si="148"/>
        <v>4967.4633333333331</v>
      </c>
      <c r="Q537" s="69">
        <f t="shared" si="149"/>
        <v>6058.666666666667</v>
      </c>
      <c r="R537" s="54"/>
      <c r="S537" s="49"/>
      <c r="T537" s="49"/>
      <c r="U537" s="49"/>
      <c r="V537" s="49"/>
      <c r="W537" s="49" t="s">
        <v>533</v>
      </c>
      <c r="X537" s="49"/>
      <c r="Y537" s="49"/>
      <c r="Z537" s="66">
        <v>0</v>
      </c>
      <c r="AB537" s="66">
        <v>0</v>
      </c>
      <c r="AD537" s="81">
        <f t="shared" si="147"/>
        <v>0</v>
      </c>
    </row>
    <row r="538" spans="1:31" x14ac:dyDescent="0.35">
      <c r="A538" s="66"/>
      <c r="B538" s="66"/>
      <c r="C538" s="49"/>
      <c r="D538" s="49"/>
      <c r="E538" s="49" t="s">
        <v>534</v>
      </c>
      <c r="F538" s="49"/>
      <c r="G538" s="49"/>
      <c r="H538" s="63">
        <v>27953.49</v>
      </c>
      <c r="I538" s="63">
        <v>28074</v>
      </c>
      <c r="J538" s="64">
        <v>19873.310000000001</v>
      </c>
      <c r="K538" s="64">
        <v>17150</v>
      </c>
      <c r="L538" s="65">
        <v>19701.16</v>
      </c>
      <c r="M538" s="65">
        <v>19345</v>
      </c>
      <c r="N538" s="66">
        <f t="shared" si="152"/>
        <v>67527.960000000006</v>
      </c>
      <c r="O538" s="66">
        <f t="shared" si="153"/>
        <v>64569</v>
      </c>
      <c r="P538" s="69">
        <f t="shared" si="148"/>
        <v>22509.320000000003</v>
      </c>
      <c r="Q538" s="69">
        <f t="shared" si="149"/>
        <v>21523</v>
      </c>
      <c r="R538" s="54"/>
      <c r="S538" s="49"/>
      <c r="T538" s="49"/>
      <c r="U538" s="49"/>
      <c r="V538" s="49"/>
      <c r="W538" s="49" t="s">
        <v>534</v>
      </c>
      <c r="X538" s="49"/>
      <c r="Y538" s="49"/>
      <c r="Z538" s="66">
        <v>19503</v>
      </c>
      <c r="AB538" s="66">
        <v>20400</v>
      </c>
      <c r="AD538" s="81">
        <f t="shared" si="147"/>
        <v>897</v>
      </c>
    </row>
    <row r="539" spans="1:31" x14ac:dyDescent="0.35">
      <c r="A539" s="66"/>
      <c r="B539" s="66"/>
      <c r="C539" s="49"/>
      <c r="D539" s="49"/>
      <c r="E539" s="49" t="s">
        <v>535</v>
      </c>
      <c r="F539" s="49"/>
      <c r="G539" s="49"/>
      <c r="H539" s="63">
        <v>0</v>
      </c>
      <c r="I539" s="63">
        <v>6000</v>
      </c>
      <c r="J539" s="64">
        <v>21228.95</v>
      </c>
      <c r="K539" s="64">
        <v>0</v>
      </c>
      <c r="L539" s="65">
        <v>47757.3</v>
      </c>
      <c r="M539" s="65">
        <v>3000</v>
      </c>
      <c r="N539" s="66">
        <f t="shared" si="152"/>
        <v>68986.25</v>
      </c>
      <c r="O539" s="66">
        <f t="shared" si="153"/>
        <v>9000</v>
      </c>
      <c r="P539" s="69">
        <f t="shared" si="148"/>
        <v>22995.416666666668</v>
      </c>
      <c r="Q539" s="69">
        <f t="shared" si="149"/>
        <v>3000</v>
      </c>
      <c r="R539" s="54"/>
      <c r="S539" s="49"/>
      <c r="T539" s="49"/>
      <c r="U539" s="49"/>
      <c r="V539" s="49"/>
      <c r="W539" s="49" t="s">
        <v>535</v>
      </c>
      <c r="X539" s="49"/>
      <c r="Y539" s="49"/>
      <c r="Z539" s="66">
        <v>3000</v>
      </c>
      <c r="AB539" s="66">
        <v>3000</v>
      </c>
      <c r="AD539" s="81">
        <f t="shared" si="147"/>
        <v>0</v>
      </c>
    </row>
    <row r="540" spans="1:31" x14ac:dyDescent="0.35">
      <c r="A540" s="66"/>
      <c r="B540" s="66"/>
      <c r="C540" s="49"/>
      <c r="D540" s="49"/>
      <c r="E540" s="49" t="s">
        <v>536</v>
      </c>
      <c r="F540" s="49"/>
      <c r="G540" s="49"/>
      <c r="H540" s="63">
        <v>19982.650000000001</v>
      </c>
      <c r="I540" s="63">
        <v>32500</v>
      </c>
      <c r="J540" s="64">
        <v>16665.71</v>
      </c>
      <c r="K540" s="64">
        <v>34050</v>
      </c>
      <c r="L540" s="65">
        <v>22645.33</v>
      </c>
      <c r="M540" s="65">
        <v>35000</v>
      </c>
      <c r="N540" s="66">
        <f t="shared" si="152"/>
        <v>59293.69</v>
      </c>
      <c r="O540" s="66">
        <f t="shared" si="153"/>
        <v>101550</v>
      </c>
      <c r="P540" s="69">
        <f t="shared" si="148"/>
        <v>19764.563333333335</v>
      </c>
      <c r="Q540" s="69">
        <f t="shared" si="149"/>
        <v>33850</v>
      </c>
      <c r="R540" s="54"/>
      <c r="S540" s="49"/>
      <c r="T540" s="49"/>
      <c r="U540" s="49"/>
      <c r="V540" s="49"/>
      <c r="W540" s="49" t="s">
        <v>536</v>
      </c>
      <c r="X540" s="49"/>
      <c r="Y540" s="49"/>
      <c r="Z540" s="66">
        <v>35000</v>
      </c>
      <c r="AB540" s="66">
        <v>35000</v>
      </c>
      <c r="AD540" s="81">
        <f t="shared" si="147"/>
        <v>0</v>
      </c>
    </row>
    <row r="541" spans="1:31" x14ac:dyDescent="0.35">
      <c r="A541" s="66"/>
      <c r="B541" s="66"/>
      <c r="C541" s="49"/>
      <c r="D541" s="49"/>
      <c r="E541" s="49" t="s">
        <v>537</v>
      </c>
      <c r="F541" s="49"/>
      <c r="G541" s="49"/>
      <c r="H541" s="63">
        <v>0</v>
      </c>
      <c r="I541" s="63"/>
      <c r="J541" s="64">
        <v>0</v>
      </c>
      <c r="K541" s="64"/>
      <c r="L541" s="65">
        <v>0</v>
      </c>
      <c r="M541" s="65"/>
      <c r="N541" s="66">
        <f t="shared" si="152"/>
        <v>0</v>
      </c>
      <c r="O541" s="66"/>
      <c r="P541" s="69">
        <f t="shared" si="148"/>
        <v>0</v>
      </c>
      <c r="Q541" s="69">
        <f t="shared" si="149"/>
        <v>0</v>
      </c>
      <c r="R541" s="54"/>
      <c r="S541" s="49"/>
      <c r="T541" s="49"/>
      <c r="U541" s="49"/>
      <c r="V541" s="49"/>
      <c r="W541" s="49" t="s">
        <v>537</v>
      </c>
      <c r="X541" s="49"/>
      <c r="Y541" s="49"/>
      <c r="Z541" s="66">
        <v>0</v>
      </c>
      <c r="AB541" s="66">
        <v>0</v>
      </c>
      <c r="AD541" s="81">
        <f t="shared" si="147"/>
        <v>0</v>
      </c>
    </row>
    <row r="542" spans="1:31" x14ac:dyDescent="0.35">
      <c r="A542" s="66"/>
      <c r="B542" s="66"/>
      <c r="C542" s="49"/>
      <c r="D542" s="49"/>
      <c r="E542" s="49" t="s">
        <v>538</v>
      </c>
      <c r="F542" s="49"/>
      <c r="G542" s="49"/>
      <c r="H542" s="63">
        <v>14880.27</v>
      </c>
      <c r="I542" s="63">
        <v>15000</v>
      </c>
      <c r="J542" s="64">
        <v>16092.2</v>
      </c>
      <c r="K542" s="64">
        <v>10000</v>
      </c>
      <c r="L542" s="65">
        <v>-1635.48</v>
      </c>
      <c r="M542" s="65">
        <v>10000</v>
      </c>
      <c r="N542" s="66">
        <f t="shared" si="152"/>
        <v>29336.99</v>
      </c>
      <c r="O542" s="66">
        <f>ROUND(I542+K542+M542,5)</f>
        <v>35000</v>
      </c>
      <c r="P542" s="69">
        <f t="shared" si="148"/>
        <v>9778.9966666666678</v>
      </c>
      <c r="Q542" s="69">
        <f t="shared" si="149"/>
        <v>11666.666666666666</v>
      </c>
      <c r="R542" s="54"/>
      <c r="S542" s="49"/>
      <c r="T542" s="49"/>
      <c r="U542" s="49"/>
      <c r="V542" s="49"/>
      <c r="W542" s="49" t="s">
        <v>538</v>
      </c>
      <c r="X542" s="49"/>
      <c r="Y542" s="49"/>
      <c r="Z542" s="66">
        <v>10000</v>
      </c>
      <c r="AB542" s="66">
        <v>10000</v>
      </c>
      <c r="AD542" s="81">
        <f t="shared" si="147"/>
        <v>0</v>
      </c>
    </row>
    <row r="543" spans="1:31" x14ac:dyDescent="0.35">
      <c r="A543" s="66"/>
      <c r="B543" s="66"/>
      <c r="C543" s="49"/>
      <c r="D543" s="49"/>
      <c r="E543" s="49" t="s">
        <v>539</v>
      </c>
      <c r="F543" s="49"/>
      <c r="G543" s="49"/>
      <c r="H543" s="63"/>
      <c r="I543" s="63"/>
      <c r="J543" s="64"/>
      <c r="K543" s="64"/>
      <c r="L543" s="65"/>
      <c r="M543" s="65"/>
      <c r="N543" s="66"/>
      <c r="O543" s="66"/>
      <c r="P543" s="69"/>
      <c r="Q543" s="69"/>
      <c r="R543" s="54"/>
      <c r="S543" s="49"/>
      <c r="T543" s="49"/>
      <c r="U543" s="49"/>
      <c r="V543" s="49"/>
      <c r="W543" s="49" t="s">
        <v>539</v>
      </c>
      <c r="X543" s="49"/>
      <c r="Y543" s="49"/>
      <c r="Z543" s="66"/>
      <c r="AB543" s="66"/>
      <c r="AD543" s="81">
        <f t="shared" si="147"/>
        <v>0</v>
      </c>
    </row>
    <row r="544" spans="1:31" x14ac:dyDescent="0.35">
      <c r="A544" s="66"/>
      <c r="B544" s="66"/>
      <c r="C544" s="49"/>
      <c r="D544" s="49"/>
      <c r="E544" s="49"/>
      <c r="F544" s="49" t="s">
        <v>540</v>
      </c>
      <c r="G544" s="49"/>
      <c r="H544" s="63">
        <v>11400</v>
      </c>
      <c r="I544" s="63">
        <v>11970</v>
      </c>
      <c r="J544" s="64">
        <v>11400</v>
      </c>
      <c r="K544" s="64">
        <v>11400</v>
      </c>
      <c r="L544" s="65">
        <v>11400</v>
      </c>
      <c r="M544" s="65">
        <v>11970</v>
      </c>
      <c r="N544" s="66">
        <f t="shared" ref="N544:O548" si="154">ROUND(H544+J544+L544,5)</f>
        <v>34200</v>
      </c>
      <c r="O544" s="66">
        <f t="shared" si="154"/>
        <v>35340</v>
      </c>
      <c r="P544" s="69">
        <f t="shared" si="148"/>
        <v>11400</v>
      </c>
      <c r="Q544" s="69">
        <f t="shared" si="149"/>
        <v>11780</v>
      </c>
      <c r="R544" s="54"/>
      <c r="S544" s="49"/>
      <c r="T544" s="49"/>
      <c r="U544" s="49"/>
      <c r="V544" s="49"/>
      <c r="W544" s="49"/>
      <c r="X544" s="49" t="s">
        <v>540</v>
      </c>
      <c r="Y544" s="49"/>
      <c r="Z544" s="66">
        <v>11970</v>
      </c>
      <c r="AB544" s="66">
        <v>11970</v>
      </c>
      <c r="AD544" s="81">
        <f t="shared" si="147"/>
        <v>0</v>
      </c>
    </row>
    <row r="545" spans="1:30" x14ac:dyDescent="0.35">
      <c r="A545" s="66"/>
      <c r="B545" s="66"/>
      <c r="C545" s="49"/>
      <c r="D545" s="49"/>
      <c r="E545" s="49"/>
      <c r="F545" s="49" t="s">
        <v>541</v>
      </c>
      <c r="G545" s="49"/>
      <c r="H545" s="63">
        <v>20000</v>
      </c>
      <c r="I545" s="63">
        <v>20000</v>
      </c>
      <c r="J545" s="64">
        <v>20000.04</v>
      </c>
      <c r="K545" s="64">
        <v>20000</v>
      </c>
      <c r="L545" s="65">
        <v>20000.04</v>
      </c>
      <c r="M545" s="65">
        <v>20000</v>
      </c>
      <c r="N545" s="66">
        <f t="shared" si="154"/>
        <v>60000.08</v>
      </c>
      <c r="O545" s="66">
        <f t="shared" si="154"/>
        <v>60000</v>
      </c>
      <c r="P545" s="69">
        <f t="shared" si="148"/>
        <v>20000.026666666668</v>
      </c>
      <c r="Q545" s="69">
        <f t="shared" si="149"/>
        <v>20000</v>
      </c>
      <c r="R545" s="54"/>
      <c r="S545" s="49"/>
      <c r="T545" s="49"/>
      <c r="U545" s="49"/>
      <c r="V545" s="49"/>
      <c r="W545" s="49"/>
      <c r="X545" s="49" t="s">
        <v>541</v>
      </c>
      <c r="Y545" s="49"/>
      <c r="Z545" s="66">
        <v>21000</v>
      </c>
      <c r="AB545" s="66">
        <v>0</v>
      </c>
      <c r="AC545" s="46" t="s">
        <v>843</v>
      </c>
      <c r="AD545" s="81">
        <f t="shared" si="147"/>
        <v>-21000</v>
      </c>
    </row>
    <row r="546" spans="1:30" ht="16" thickBot="1" x14ac:dyDescent="0.4">
      <c r="A546" s="66"/>
      <c r="B546" s="66"/>
      <c r="C546" s="49"/>
      <c r="D546" s="49"/>
      <c r="E546" s="49"/>
      <c r="F546" s="49" t="s">
        <v>542</v>
      </c>
      <c r="G546" s="49"/>
      <c r="H546" s="70">
        <v>34792.800000000003</v>
      </c>
      <c r="I546" s="70">
        <v>34464</v>
      </c>
      <c r="J546" s="71">
        <v>36880.32</v>
      </c>
      <c r="K546" s="71">
        <v>32823.360000000001</v>
      </c>
      <c r="L546" s="72">
        <v>39093.120000000003</v>
      </c>
      <c r="M546" s="72">
        <v>38724.339999999997</v>
      </c>
      <c r="N546" s="73">
        <f t="shared" si="154"/>
        <v>110766.24</v>
      </c>
      <c r="O546" s="73">
        <f t="shared" si="154"/>
        <v>106011.7</v>
      </c>
      <c r="P546" s="74">
        <f t="shared" si="148"/>
        <v>36922.080000000002</v>
      </c>
      <c r="Q546" s="74">
        <f t="shared" si="149"/>
        <v>35337.23333333333</v>
      </c>
      <c r="R546" s="54"/>
      <c r="S546" s="49"/>
      <c r="T546" s="49"/>
      <c r="U546" s="49"/>
      <c r="V546" s="49"/>
      <c r="W546" s="49"/>
      <c r="X546" s="49" t="s">
        <v>542</v>
      </c>
      <c r="Y546" s="49"/>
      <c r="Z546" s="73">
        <v>41048</v>
      </c>
      <c r="AB546" s="73">
        <v>75353.289999999994</v>
      </c>
      <c r="AD546" s="81">
        <f t="shared" si="147"/>
        <v>34305.289999999994</v>
      </c>
    </row>
    <row r="547" spans="1:30" ht="16" thickBot="1" x14ac:dyDescent="0.4">
      <c r="A547" s="66"/>
      <c r="B547" s="66"/>
      <c r="C547" s="49"/>
      <c r="D547" s="49"/>
      <c r="E547" s="49" t="s">
        <v>543</v>
      </c>
      <c r="F547" s="49"/>
      <c r="G547" s="49"/>
      <c r="H547" s="63">
        <f t="shared" ref="H547:M547" si="155">ROUND(SUM(H543:H546),5)</f>
        <v>66192.800000000003</v>
      </c>
      <c r="I547" s="63">
        <f t="shared" si="155"/>
        <v>66434</v>
      </c>
      <c r="J547" s="64">
        <f t="shared" si="155"/>
        <v>68280.36</v>
      </c>
      <c r="K547" s="64">
        <f t="shared" si="155"/>
        <v>64223.360000000001</v>
      </c>
      <c r="L547" s="65">
        <f t="shared" si="155"/>
        <v>70493.16</v>
      </c>
      <c r="M547" s="65">
        <f t="shared" si="155"/>
        <v>70694.34</v>
      </c>
      <c r="N547" s="66">
        <f t="shared" si="154"/>
        <v>204966.32</v>
      </c>
      <c r="O547" s="66">
        <f t="shared" si="154"/>
        <v>201351.7</v>
      </c>
      <c r="P547" s="69">
        <f t="shared" si="148"/>
        <v>68322.106666666674</v>
      </c>
      <c r="Q547" s="69">
        <f t="shared" si="149"/>
        <v>67117.233333333337</v>
      </c>
      <c r="R547" s="54"/>
      <c r="S547" s="49"/>
      <c r="T547" s="49"/>
      <c r="U547" s="49"/>
      <c r="V547" s="49"/>
      <c r="W547" s="49" t="s">
        <v>543</v>
      </c>
      <c r="X547" s="49"/>
      <c r="Y547" s="49"/>
      <c r="Z547" s="66">
        <f>ROUND(SUM(Z543:Z546),5)</f>
        <v>74018</v>
      </c>
      <c r="AB547" s="66">
        <f>ROUND(SUM(AB543:AB546),5)</f>
        <v>87323.29</v>
      </c>
      <c r="AD547" s="81">
        <f t="shared" si="147"/>
        <v>13305.289999999994</v>
      </c>
    </row>
    <row r="548" spans="1:30" x14ac:dyDescent="0.35">
      <c r="A548" s="66"/>
      <c r="B548" s="66"/>
      <c r="C548" s="49"/>
      <c r="D548" s="49" t="s">
        <v>544</v>
      </c>
      <c r="E548" s="49"/>
      <c r="F548" s="49"/>
      <c r="G548" s="49"/>
      <c r="H548" s="63">
        <f t="shared" ref="H548:M548" si="156">ROUND(SUM(H490:H513)+SUM(H518:H542)+SUM(H547:H547),5)</f>
        <v>820827.03</v>
      </c>
      <c r="I548" s="63">
        <f t="shared" si="156"/>
        <v>933251.5</v>
      </c>
      <c r="J548" s="64">
        <f t="shared" si="156"/>
        <v>885822.56</v>
      </c>
      <c r="K548" s="64">
        <f t="shared" si="156"/>
        <v>789393.59</v>
      </c>
      <c r="L548" s="65">
        <f t="shared" si="156"/>
        <v>1006470.26</v>
      </c>
      <c r="M548" s="65">
        <f t="shared" si="156"/>
        <v>900551.6</v>
      </c>
      <c r="N548" s="66">
        <f t="shared" si="154"/>
        <v>2713119.85</v>
      </c>
      <c r="O548" s="66">
        <f t="shared" si="154"/>
        <v>2623196.69</v>
      </c>
      <c r="P548" s="69">
        <f t="shared" si="148"/>
        <v>904373.28333333333</v>
      </c>
      <c r="Q548" s="69">
        <f t="shared" si="149"/>
        <v>874398.89666666661</v>
      </c>
      <c r="R548" s="54"/>
      <c r="S548" s="49"/>
      <c r="T548" s="49"/>
      <c r="U548" s="49"/>
      <c r="V548" s="49" t="s">
        <v>544</v>
      </c>
      <c r="W548" s="49"/>
      <c r="X548" s="49"/>
      <c r="Y548" s="49"/>
      <c r="Z548" s="78">
        <f>ROUND(SUM(Z490:Z513)+SUM(Z518:Z542)+SUM(Z547:Z547),5)</f>
        <v>979664.82</v>
      </c>
      <c r="AB548" s="91">
        <f>ROUND(SUM(AB490:AB513)+SUM(AB518:AB542)+SUM(AB547:AB547),5)</f>
        <v>1013580.17</v>
      </c>
      <c r="AD548" s="81">
        <f t="shared" si="147"/>
        <v>33915.350000000093</v>
      </c>
    </row>
    <row r="549" spans="1:30" x14ac:dyDescent="0.35">
      <c r="A549" s="66"/>
      <c r="B549" s="66"/>
      <c r="C549" s="49"/>
      <c r="D549" s="49" t="s">
        <v>545</v>
      </c>
      <c r="E549" s="49"/>
      <c r="F549" s="49"/>
      <c r="G549" s="49"/>
      <c r="H549" s="63"/>
      <c r="I549" s="63"/>
      <c r="J549" s="64"/>
      <c r="K549" s="64"/>
      <c r="L549" s="65"/>
      <c r="M549" s="65"/>
      <c r="N549" s="66"/>
      <c r="O549" s="66"/>
      <c r="P549" s="69"/>
      <c r="Q549" s="69"/>
      <c r="R549" s="54"/>
      <c r="S549" s="49"/>
      <c r="T549" s="49"/>
      <c r="U549" s="49"/>
      <c r="V549" s="49" t="s">
        <v>545</v>
      </c>
      <c r="W549" s="49"/>
      <c r="X549" s="49"/>
      <c r="Y549" s="49"/>
      <c r="Z549" s="66"/>
      <c r="AB549" s="66"/>
    </row>
    <row r="550" spans="1:30" ht="16" thickBot="1" x14ac:dyDescent="0.4">
      <c r="A550" s="66"/>
      <c r="B550" s="66"/>
      <c r="C550" s="49"/>
      <c r="D550" s="49"/>
      <c r="E550" s="49" t="s">
        <v>546</v>
      </c>
      <c r="F550" s="49"/>
      <c r="G550" s="49"/>
      <c r="H550" s="63">
        <v>4568.2</v>
      </c>
      <c r="I550" s="63">
        <v>20000</v>
      </c>
      <c r="J550" s="64">
        <v>4000.49</v>
      </c>
      <c r="K550" s="64">
        <v>30000</v>
      </c>
      <c r="L550" s="65">
        <v>22812.77</v>
      </c>
      <c r="M550" s="65">
        <v>10000</v>
      </c>
      <c r="N550" s="66">
        <f t="shared" ref="N550:O553" si="157">ROUND(H550+J550+L550,5)</f>
        <v>31381.46</v>
      </c>
      <c r="O550" s="66">
        <f t="shared" si="157"/>
        <v>60000</v>
      </c>
      <c r="P550" s="69">
        <f t="shared" si="148"/>
        <v>10460.486666666666</v>
      </c>
      <c r="Q550" s="69">
        <f t="shared" si="149"/>
        <v>20000</v>
      </c>
      <c r="R550" s="54"/>
      <c r="S550" s="49"/>
      <c r="T550" s="49"/>
      <c r="U550" s="49"/>
      <c r="V550" s="49"/>
      <c r="W550" s="49" t="s">
        <v>546</v>
      </c>
      <c r="X550" s="49"/>
      <c r="Y550" s="49"/>
      <c r="Z550" s="66">
        <v>15000</v>
      </c>
      <c r="AB550" s="66">
        <v>10000</v>
      </c>
    </row>
    <row r="551" spans="1:30" ht="16" thickBot="1" x14ac:dyDescent="0.4">
      <c r="A551" s="66"/>
      <c r="B551" s="66"/>
      <c r="C551" s="49"/>
      <c r="D551" s="49" t="s">
        <v>547</v>
      </c>
      <c r="E551" s="49"/>
      <c r="F551" s="49"/>
      <c r="G551" s="49"/>
      <c r="H551" s="75">
        <f t="shared" ref="H551:M551" si="158">ROUND(SUM(H549:H550),5)</f>
        <v>4568.2</v>
      </c>
      <c r="I551" s="75">
        <f t="shared" si="158"/>
        <v>20000</v>
      </c>
      <c r="J551" s="76">
        <f t="shared" si="158"/>
        <v>4000.49</v>
      </c>
      <c r="K551" s="76">
        <f t="shared" si="158"/>
        <v>30000</v>
      </c>
      <c r="L551" s="77">
        <f t="shared" si="158"/>
        <v>22812.77</v>
      </c>
      <c r="M551" s="77">
        <f t="shared" si="158"/>
        <v>10000</v>
      </c>
      <c r="N551" s="78">
        <f t="shared" si="157"/>
        <v>31381.46</v>
      </c>
      <c r="O551" s="78">
        <f t="shared" si="157"/>
        <v>60000</v>
      </c>
      <c r="P551" s="79">
        <f t="shared" si="148"/>
        <v>10460.486666666666</v>
      </c>
      <c r="Q551" s="79">
        <f t="shared" si="149"/>
        <v>20000</v>
      </c>
      <c r="R551" s="54"/>
      <c r="S551" s="49"/>
      <c r="T551" s="49"/>
      <c r="U551" s="49"/>
      <c r="V551" s="49" t="s">
        <v>547</v>
      </c>
      <c r="W551" s="49"/>
      <c r="X551" s="49"/>
      <c r="Y551" s="49"/>
      <c r="Z551" s="78">
        <f>ROUND(SUM(Z549:Z550),5)</f>
        <v>15000</v>
      </c>
      <c r="AB551" s="91">
        <f>ROUND(SUM(AB549:AB550),5)</f>
        <v>10000</v>
      </c>
    </row>
    <row r="552" spans="1:30" ht="16" thickBot="1" x14ac:dyDescent="0.4">
      <c r="A552" s="66"/>
      <c r="B552" s="66"/>
      <c r="C552" s="49" t="s">
        <v>548</v>
      </c>
      <c r="D552" s="49"/>
      <c r="E552" s="49"/>
      <c r="F552" s="49"/>
      <c r="G552" s="49"/>
      <c r="H552" s="83">
        <f t="shared" ref="H552:M552" si="159">ROUND(H221+H225+H364+H371+H376+H428+H489+H548+H551,5)</f>
        <v>4602596.84</v>
      </c>
      <c r="I552" s="83">
        <f t="shared" si="159"/>
        <v>4826439.17</v>
      </c>
      <c r="J552" s="84">
        <f t="shared" si="159"/>
        <v>5124859.8899999997</v>
      </c>
      <c r="K552" s="84">
        <f t="shared" si="159"/>
        <v>4876753.51</v>
      </c>
      <c r="L552" s="85">
        <f t="shared" si="159"/>
        <v>5236566.88</v>
      </c>
      <c r="M552" s="85">
        <f t="shared" si="159"/>
        <v>5167354.4800000004</v>
      </c>
      <c r="N552" s="86">
        <f t="shared" si="157"/>
        <v>14964023.609999999</v>
      </c>
      <c r="O552" s="86">
        <f t="shared" si="157"/>
        <v>14870547.16</v>
      </c>
      <c r="P552" s="87">
        <f t="shared" si="148"/>
        <v>4988007.87</v>
      </c>
      <c r="Q552" s="87">
        <f t="shared" si="149"/>
        <v>4956849.0533333337</v>
      </c>
      <c r="R552" s="54"/>
      <c r="S552" s="49"/>
      <c r="T552" s="49"/>
      <c r="U552" s="49" t="s">
        <v>548</v>
      </c>
      <c r="V552" s="49"/>
      <c r="W552" s="49"/>
      <c r="X552" s="49"/>
      <c r="Y552" s="49"/>
      <c r="Z552" s="86">
        <f>ROUND(Z221+Z225+Z364+Z371+Z376+Z428+Z489+Z548+Z551,5)</f>
        <v>5275555.82</v>
      </c>
      <c r="AB552" s="86">
        <f>ROUND(AB221+AB225+AB364+AB371+AB376+AB428+AB489+AB548+AB551,5)</f>
        <v>5522831.5764199998</v>
      </c>
    </row>
    <row r="553" spans="1:30" x14ac:dyDescent="0.35">
      <c r="A553" s="66"/>
      <c r="B553" s="66" t="s">
        <v>549</v>
      </c>
      <c r="C553" s="49"/>
      <c r="D553" s="49"/>
      <c r="E553" s="49"/>
      <c r="F553" s="49"/>
      <c r="G553" s="49"/>
      <c r="H553" s="63">
        <f t="shared" ref="H553:M553" si="160">ROUND(H5+H220-H552,5)</f>
        <v>-92592.2</v>
      </c>
      <c r="I553" s="63">
        <f t="shared" si="160"/>
        <v>8714.58</v>
      </c>
      <c r="J553" s="64">
        <f t="shared" si="160"/>
        <v>-187378.98</v>
      </c>
      <c r="K553" s="64">
        <f t="shared" si="160"/>
        <v>826.41</v>
      </c>
      <c r="L553" s="65">
        <f t="shared" si="160"/>
        <v>-21575.47</v>
      </c>
      <c r="M553" s="65">
        <f t="shared" si="160"/>
        <v>354.02</v>
      </c>
      <c r="N553" s="66">
        <f t="shared" si="157"/>
        <v>-301546.65000000002</v>
      </c>
      <c r="O553" s="66">
        <f t="shared" si="157"/>
        <v>9895.01</v>
      </c>
      <c r="P553" s="69">
        <f t="shared" si="148"/>
        <v>-100515.55</v>
      </c>
      <c r="Q553" s="69">
        <f t="shared" si="149"/>
        <v>3298.3366666666666</v>
      </c>
      <c r="R553" s="54"/>
      <c r="S553" s="49"/>
      <c r="T553" s="49" t="s">
        <v>549</v>
      </c>
      <c r="U553" s="49"/>
      <c r="V553" s="49"/>
      <c r="W553" s="49"/>
      <c r="X553" s="49"/>
      <c r="Y553" s="49"/>
      <c r="Z553" s="66">
        <f>ROUND(Z5+Z220-Z552,5)</f>
        <v>811.37</v>
      </c>
      <c r="AB553" s="66">
        <f>ROUND(AB5+AB220-AB552,5)</f>
        <v>-211160.46642000001</v>
      </c>
    </row>
    <row r="554" spans="1:30" x14ac:dyDescent="0.35">
      <c r="A554" s="66"/>
      <c r="B554" s="66" t="s">
        <v>550</v>
      </c>
      <c r="C554" s="49"/>
      <c r="D554" s="49"/>
      <c r="E554" s="49"/>
      <c r="F554" s="49"/>
      <c r="G554" s="49"/>
      <c r="H554" s="63"/>
      <c r="I554" s="63"/>
      <c r="J554" s="64"/>
      <c r="K554" s="64"/>
      <c r="L554" s="65"/>
      <c r="M554" s="65"/>
      <c r="N554" s="66"/>
      <c r="O554" s="66"/>
      <c r="P554" s="69"/>
      <c r="Q554" s="69"/>
      <c r="R554" s="54"/>
      <c r="S554" s="49"/>
      <c r="T554" s="49" t="s">
        <v>550</v>
      </c>
      <c r="U554" s="49"/>
      <c r="V554" s="49"/>
      <c r="W554" s="49"/>
      <c r="X554" s="49"/>
      <c r="Y554" s="49"/>
      <c r="Z554" s="66"/>
      <c r="AB554" s="66"/>
    </row>
    <row r="555" spans="1:30" x14ac:dyDescent="0.35">
      <c r="A555" s="66"/>
      <c r="B555" s="66"/>
      <c r="C555" s="49" t="s">
        <v>551</v>
      </c>
      <c r="D555" s="49"/>
      <c r="E555" s="49"/>
      <c r="F555" s="49"/>
      <c r="G555" s="49"/>
      <c r="H555" s="63"/>
      <c r="I555" s="63"/>
      <c r="J555" s="64"/>
      <c r="K555" s="64"/>
      <c r="L555" s="65"/>
      <c r="M555" s="65"/>
      <c r="N555" s="66"/>
      <c r="O555" s="66"/>
      <c r="P555" s="69"/>
      <c r="Q555" s="69"/>
      <c r="R555" s="54"/>
      <c r="S555" s="49"/>
      <c r="T555" s="49"/>
      <c r="U555" s="49" t="s">
        <v>551</v>
      </c>
      <c r="V555" s="49"/>
      <c r="W555" s="49"/>
      <c r="X555" s="49"/>
      <c r="Y555" s="49"/>
      <c r="Z555" s="66"/>
      <c r="AB555" s="66"/>
    </row>
    <row r="556" spans="1:30" x14ac:dyDescent="0.35">
      <c r="A556" s="66"/>
      <c r="B556" s="66"/>
      <c r="C556" s="49"/>
      <c r="D556" s="49" t="s">
        <v>552</v>
      </c>
      <c r="E556" s="49"/>
      <c r="F556" s="49"/>
      <c r="G556" s="49"/>
      <c r="H556" s="63">
        <v>288386.05</v>
      </c>
      <c r="I556" s="63">
        <v>0</v>
      </c>
      <c r="J556" s="64">
        <v>313714.26</v>
      </c>
      <c r="K556" s="64">
        <v>0</v>
      </c>
      <c r="L556" s="65">
        <v>363433.03</v>
      </c>
      <c r="M556" s="65">
        <v>0</v>
      </c>
      <c r="N556" s="66">
        <f>ROUND(H556+J556+L556,5)</f>
        <v>965533.34</v>
      </c>
      <c r="O556" s="66">
        <f>ROUND(I556+K556+M556,5)</f>
        <v>0</v>
      </c>
      <c r="P556" s="69">
        <f t="shared" si="148"/>
        <v>321844.44666666666</v>
      </c>
      <c r="Q556" s="69">
        <f t="shared" si="149"/>
        <v>0</v>
      </c>
      <c r="R556" s="54"/>
      <c r="S556" s="49"/>
      <c r="T556" s="49"/>
      <c r="U556" s="49"/>
      <c r="V556" s="49" t="s">
        <v>552</v>
      </c>
      <c r="W556" s="49"/>
      <c r="X556" s="49"/>
      <c r="Y556" s="49"/>
      <c r="Z556" s="66"/>
      <c r="AB556" s="66"/>
    </row>
    <row r="557" spans="1:30" x14ac:dyDescent="0.35">
      <c r="A557" s="66"/>
      <c r="B557" s="66"/>
      <c r="C557" s="49"/>
      <c r="D557" s="49" t="s">
        <v>553</v>
      </c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/>
      <c r="V557" s="49" t="s">
        <v>553</v>
      </c>
      <c r="W557" s="49"/>
      <c r="X557" s="49"/>
      <c r="Y557" s="49"/>
      <c r="Z557" s="66"/>
      <c r="AB557" s="66"/>
    </row>
    <row r="558" spans="1:30" x14ac:dyDescent="0.35">
      <c r="A558" s="66"/>
      <c r="B558" s="66"/>
      <c r="C558" s="49"/>
      <c r="D558" s="49"/>
      <c r="E558" s="49" t="s">
        <v>554</v>
      </c>
      <c r="F558" s="49"/>
      <c r="G558" s="49"/>
      <c r="H558" s="63">
        <v>0</v>
      </c>
      <c r="I558" s="63">
        <v>0</v>
      </c>
      <c r="J558" s="64">
        <v>0</v>
      </c>
      <c r="K558" s="64">
        <v>0</v>
      </c>
      <c r="L558" s="65">
        <v>0</v>
      </c>
      <c r="M558" s="65">
        <v>0</v>
      </c>
      <c r="N558" s="66">
        <f t="shared" ref="N558:O563" si="161">ROUND(H558+J558+L558,5)</f>
        <v>0</v>
      </c>
      <c r="O558" s="66">
        <f t="shared" si="161"/>
        <v>0</v>
      </c>
      <c r="P558" s="69">
        <f t="shared" si="148"/>
        <v>0</v>
      </c>
      <c r="Q558" s="69">
        <f t="shared" si="149"/>
        <v>0</v>
      </c>
      <c r="R558" s="54"/>
      <c r="S558" s="49"/>
      <c r="T558" s="49"/>
      <c r="U558" s="49"/>
      <c r="V558" s="49"/>
      <c r="W558" s="49" t="s">
        <v>554</v>
      </c>
      <c r="X558" s="49"/>
      <c r="Y558" s="49"/>
      <c r="Z558" s="66"/>
      <c r="AB558" s="66"/>
    </row>
    <row r="559" spans="1:30" x14ac:dyDescent="0.35">
      <c r="A559" s="66"/>
      <c r="B559" s="66"/>
      <c r="C559" s="49"/>
      <c r="D559" s="49"/>
      <c r="E559" s="49" t="s">
        <v>555</v>
      </c>
      <c r="F559" s="49"/>
      <c r="G559" s="49"/>
      <c r="H559" s="63">
        <v>0</v>
      </c>
      <c r="I559" s="63">
        <v>0</v>
      </c>
      <c r="J559" s="64">
        <v>0</v>
      </c>
      <c r="K559" s="64">
        <v>0</v>
      </c>
      <c r="L559" s="65">
        <v>0</v>
      </c>
      <c r="M559" s="65">
        <v>0</v>
      </c>
      <c r="N559" s="66">
        <f t="shared" si="161"/>
        <v>0</v>
      </c>
      <c r="O559" s="66">
        <f t="shared" si="161"/>
        <v>0</v>
      </c>
      <c r="P559" s="69">
        <f t="shared" si="148"/>
        <v>0</v>
      </c>
      <c r="Q559" s="69">
        <f t="shared" si="149"/>
        <v>0</v>
      </c>
      <c r="R559" s="54"/>
      <c r="S559" s="49"/>
      <c r="T559" s="49"/>
      <c r="U559" s="49"/>
      <c r="V559" s="49"/>
      <c r="W559" s="49" t="s">
        <v>555</v>
      </c>
      <c r="X559" s="49"/>
      <c r="Y559" s="49"/>
      <c r="Z559" s="66"/>
      <c r="AB559" s="66"/>
    </row>
    <row r="560" spans="1:30" x14ac:dyDescent="0.35">
      <c r="A560" s="66"/>
      <c r="B560" s="66"/>
      <c r="C560" s="49"/>
      <c r="D560" s="49"/>
      <c r="E560" s="49" t="s">
        <v>556</v>
      </c>
      <c r="F560" s="49"/>
      <c r="G560" s="49"/>
      <c r="H560" s="63">
        <v>10930.61</v>
      </c>
      <c r="I560" s="63">
        <v>0</v>
      </c>
      <c r="J560" s="64">
        <v>16392.32</v>
      </c>
      <c r="K560" s="64">
        <v>0</v>
      </c>
      <c r="L560" s="65">
        <v>17337.490000000002</v>
      </c>
      <c r="M560" s="65">
        <v>0</v>
      </c>
      <c r="N560" s="66">
        <f t="shared" si="161"/>
        <v>44660.42</v>
      </c>
      <c r="O560" s="66">
        <f t="shared" si="161"/>
        <v>0</v>
      </c>
      <c r="P560" s="69">
        <f t="shared" si="148"/>
        <v>14886.806666666665</v>
      </c>
      <c r="Q560" s="69">
        <f t="shared" si="149"/>
        <v>0</v>
      </c>
      <c r="R560" s="54"/>
      <c r="S560" s="49"/>
      <c r="T560" s="49"/>
      <c r="U560" s="49"/>
      <c r="V560" s="49"/>
      <c r="W560" s="49" t="s">
        <v>556</v>
      </c>
      <c r="X560" s="49"/>
      <c r="Y560" s="49"/>
      <c r="Z560" s="66"/>
      <c r="AB560" s="66"/>
    </row>
    <row r="561" spans="1:28" x14ac:dyDescent="0.35">
      <c r="A561" s="66"/>
      <c r="B561" s="66"/>
      <c r="C561" s="49"/>
      <c r="D561" s="49"/>
      <c r="E561" s="49" t="s">
        <v>557</v>
      </c>
      <c r="F561" s="49"/>
      <c r="G561" s="49"/>
      <c r="H561" s="63">
        <v>12442.84</v>
      </c>
      <c r="I561" s="63">
        <v>0</v>
      </c>
      <c r="J561" s="64">
        <v>10602.84</v>
      </c>
      <c r="K561" s="64">
        <v>0</v>
      </c>
      <c r="L561" s="65">
        <v>10395.5</v>
      </c>
      <c r="M561" s="65">
        <v>0</v>
      </c>
      <c r="N561" s="66">
        <f t="shared" si="161"/>
        <v>33441.18</v>
      </c>
      <c r="O561" s="66">
        <f t="shared" si="161"/>
        <v>0</v>
      </c>
      <c r="P561" s="69">
        <f t="shared" si="148"/>
        <v>11147.06</v>
      </c>
      <c r="Q561" s="69">
        <f t="shared" si="149"/>
        <v>0</v>
      </c>
      <c r="R561" s="54"/>
      <c r="S561" s="49"/>
      <c r="T561" s="49"/>
      <c r="U561" s="49"/>
      <c r="V561" s="49"/>
      <c r="W561" s="49" t="s">
        <v>557</v>
      </c>
      <c r="X561" s="49"/>
      <c r="Y561" s="49"/>
      <c r="Z561" s="66"/>
      <c r="AB561" s="66"/>
    </row>
    <row r="562" spans="1:28" ht="16" thickBot="1" x14ac:dyDescent="0.4">
      <c r="A562" s="66"/>
      <c r="B562" s="66"/>
      <c r="C562" s="49"/>
      <c r="D562" s="49"/>
      <c r="E562" s="49" t="s">
        <v>558</v>
      </c>
      <c r="F562" s="49"/>
      <c r="G562" s="49"/>
      <c r="H562" s="70">
        <v>1000</v>
      </c>
      <c r="I562" s="70">
        <v>0</v>
      </c>
      <c r="J562" s="71">
        <v>1000</v>
      </c>
      <c r="K562" s="64">
        <v>0</v>
      </c>
      <c r="L562" s="72">
        <v>1000</v>
      </c>
      <c r="M562" s="65">
        <v>0</v>
      </c>
      <c r="N562" s="73">
        <f t="shared" si="161"/>
        <v>3000</v>
      </c>
      <c r="O562" s="73">
        <f t="shared" si="161"/>
        <v>0</v>
      </c>
      <c r="P562" s="74">
        <f t="shared" si="148"/>
        <v>1000</v>
      </c>
      <c r="Q562" s="74">
        <f t="shared" si="149"/>
        <v>0</v>
      </c>
      <c r="R562" s="54"/>
      <c r="S562" s="49"/>
      <c r="T562" s="49"/>
      <c r="U562" s="49"/>
      <c r="V562" s="49"/>
      <c r="W562" s="49" t="s">
        <v>558</v>
      </c>
      <c r="X562" s="49"/>
      <c r="Y562" s="49"/>
      <c r="Z562" s="66"/>
      <c r="AB562" s="66"/>
    </row>
    <row r="563" spans="1:28" x14ac:dyDescent="0.35">
      <c r="A563" s="66"/>
      <c r="B563" s="66"/>
      <c r="C563" s="49"/>
      <c r="D563" s="49" t="s">
        <v>559</v>
      </c>
      <c r="E563" s="49"/>
      <c r="F563" s="49"/>
      <c r="G563" s="49"/>
      <c r="H563" s="63">
        <f t="shared" ref="H563:M563" si="162">ROUND(SUM(H557:H562),5)</f>
        <v>24373.45</v>
      </c>
      <c r="I563" s="63">
        <f t="shared" si="162"/>
        <v>0</v>
      </c>
      <c r="J563" s="64">
        <f t="shared" si="162"/>
        <v>27995.16</v>
      </c>
      <c r="K563" s="76">
        <f t="shared" si="162"/>
        <v>0</v>
      </c>
      <c r="L563" s="65">
        <f t="shared" si="162"/>
        <v>28732.99</v>
      </c>
      <c r="M563" s="77">
        <f t="shared" si="162"/>
        <v>0</v>
      </c>
      <c r="N563" s="66">
        <f t="shared" si="161"/>
        <v>81101.600000000006</v>
      </c>
      <c r="O563" s="66">
        <f t="shared" si="161"/>
        <v>0</v>
      </c>
      <c r="P563" s="69">
        <f t="shared" si="148"/>
        <v>27033.866666666669</v>
      </c>
      <c r="Q563" s="69">
        <f t="shared" si="149"/>
        <v>0</v>
      </c>
      <c r="R563" s="54"/>
      <c r="S563" s="49"/>
      <c r="T563" s="49"/>
      <c r="U563" s="49"/>
      <c r="V563" s="49" t="s">
        <v>559</v>
      </c>
      <c r="W563" s="49"/>
      <c r="X563" s="49"/>
      <c r="Y563" s="49"/>
      <c r="Z563" s="66"/>
      <c r="AB563" s="66"/>
    </row>
    <row r="564" spans="1:28" x14ac:dyDescent="0.35">
      <c r="A564" s="66"/>
      <c r="B564" s="66"/>
      <c r="C564" s="49"/>
      <c r="D564" s="49" t="s">
        <v>560</v>
      </c>
      <c r="E564" s="49"/>
      <c r="F564" s="49"/>
      <c r="G564" s="49"/>
      <c r="H564" s="63"/>
      <c r="I564" s="63"/>
      <c r="J564" s="64"/>
      <c r="K564" s="64"/>
      <c r="L564" s="65"/>
      <c r="M564" s="65"/>
      <c r="N564" s="66"/>
      <c r="O564" s="66"/>
      <c r="P564" s="69"/>
      <c r="Q564" s="69"/>
      <c r="R564" s="54"/>
      <c r="S564" s="49"/>
      <c r="T564" s="49"/>
      <c r="U564" s="49"/>
      <c r="V564" s="49" t="s">
        <v>560</v>
      </c>
      <c r="W564" s="49"/>
      <c r="X564" s="49"/>
      <c r="Y564" s="49"/>
      <c r="Z564" s="66"/>
      <c r="AB564" s="66"/>
    </row>
    <row r="565" spans="1:28" x14ac:dyDescent="0.35">
      <c r="A565" s="66"/>
      <c r="B565" s="66"/>
      <c r="C565" s="49"/>
      <c r="D565" s="49"/>
      <c r="E565" s="49" t="s">
        <v>561</v>
      </c>
      <c r="F565" s="49"/>
      <c r="G565" s="49"/>
      <c r="H565" s="63">
        <v>558.27</v>
      </c>
      <c r="I565" s="63">
        <v>0</v>
      </c>
      <c r="J565" s="64">
        <v>-985.85</v>
      </c>
      <c r="K565" s="64">
        <v>0</v>
      </c>
      <c r="L565" s="65">
        <v>6774.89</v>
      </c>
      <c r="M565" s="65">
        <v>0</v>
      </c>
      <c r="N565" s="66">
        <f t="shared" ref="N565:O569" si="163">ROUND(H565+J565+L565,5)</f>
        <v>6347.31</v>
      </c>
      <c r="O565" s="66">
        <f t="shared" si="163"/>
        <v>0</v>
      </c>
      <c r="P565" s="69">
        <f t="shared" si="148"/>
        <v>2115.77</v>
      </c>
      <c r="Q565" s="69">
        <f t="shared" si="149"/>
        <v>0</v>
      </c>
      <c r="R565" s="54"/>
      <c r="S565" s="49"/>
      <c r="T565" s="49"/>
      <c r="U565" s="49"/>
      <c r="V565" s="49"/>
      <c r="W565" s="49" t="s">
        <v>561</v>
      </c>
      <c r="X565" s="49"/>
      <c r="Y565" s="49"/>
      <c r="Z565" s="66"/>
      <c r="AB565" s="66"/>
    </row>
    <row r="566" spans="1:28" x14ac:dyDescent="0.35">
      <c r="A566" s="66"/>
      <c r="B566" s="66"/>
      <c r="C566" s="49"/>
      <c r="D566" s="49"/>
      <c r="E566" s="49" t="s">
        <v>562</v>
      </c>
      <c r="F566" s="49"/>
      <c r="G566" s="49"/>
      <c r="H566" s="63">
        <v>0</v>
      </c>
      <c r="I566" s="63">
        <v>0</v>
      </c>
      <c r="J566" s="64">
        <v>0</v>
      </c>
      <c r="K566" s="64">
        <v>0</v>
      </c>
      <c r="L566" s="65">
        <v>-58.71</v>
      </c>
      <c r="M566" s="65">
        <v>0</v>
      </c>
      <c r="N566" s="66">
        <f t="shared" si="163"/>
        <v>-58.71</v>
      </c>
      <c r="O566" s="66">
        <f t="shared" si="163"/>
        <v>0</v>
      </c>
      <c r="P566" s="69">
        <f t="shared" si="148"/>
        <v>-19.57</v>
      </c>
      <c r="Q566" s="69">
        <f t="shared" si="149"/>
        <v>0</v>
      </c>
      <c r="R566" s="54"/>
      <c r="S566" s="49"/>
      <c r="T566" s="49"/>
      <c r="U566" s="49"/>
      <c r="V566" s="49"/>
      <c r="W566" s="49" t="s">
        <v>562</v>
      </c>
      <c r="X566" s="49"/>
      <c r="Y566" s="49"/>
      <c r="Z566" s="66"/>
      <c r="AB566" s="66"/>
    </row>
    <row r="567" spans="1:28" ht="16" thickBot="1" x14ac:dyDescent="0.4">
      <c r="A567" s="66"/>
      <c r="B567" s="66"/>
      <c r="C567" s="49"/>
      <c r="D567" s="49"/>
      <c r="E567" s="49" t="s">
        <v>563</v>
      </c>
      <c r="F567" s="49"/>
      <c r="G567" s="49"/>
      <c r="H567" s="63">
        <v>136732.6</v>
      </c>
      <c r="I567" s="63">
        <v>0</v>
      </c>
      <c r="J567" s="64">
        <v>235676.86</v>
      </c>
      <c r="K567" s="64">
        <v>0</v>
      </c>
      <c r="L567" s="65">
        <v>195303.78</v>
      </c>
      <c r="M567" s="65">
        <v>0</v>
      </c>
      <c r="N567" s="66">
        <f t="shared" si="163"/>
        <v>567713.24</v>
      </c>
      <c r="O567" s="66">
        <f t="shared" si="163"/>
        <v>0</v>
      </c>
      <c r="P567" s="69">
        <f t="shared" si="148"/>
        <v>189237.74666666667</v>
      </c>
      <c r="Q567" s="69">
        <f t="shared" si="149"/>
        <v>0</v>
      </c>
      <c r="R567" s="54"/>
      <c r="S567" s="49"/>
      <c r="T567" s="49"/>
      <c r="U567" s="49"/>
      <c r="V567" s="49"/>
      <c r="W567" s="49" t="s">
        <v>563</v>
      </c>
      <c r="X567" s="49"/>
      <c r="Y567" s="49"/>
      <c r="Z567" s="66"/>
      <c r="AB567" s="66"/>
    </row>
    <row r="568" spans="1:28" ht="16" thickBot="1" x14ac:dyDescent="0.4">
      <c r="A568" s="66"/>
      <c r="B568" s="66"/>
      <c r="C568" s="49"/>
      <c r="D568" s="49" t="s">
        <v>564</v>
      </c>
      <c r="E568" s="49"/>
      <c r="F568" s="49"/>
      <c r="G568" s="49"/>
      <c r="H568" s="83">
        <f t="shared" ref="H568:M568" si="164">ROUND(SUM(H564:H567),5)</f>
        <v>137290.87</v>
      </c>
      <c r="I568" s="83">
        <f t="shared" si="164"/>
        <v>0</v>
      </c>
      <c r="J568" s="84">
        <f t="shared" si="164"/>
        <v>234691.01</v>
      </c>
      <c r="K568" s="84">
        <f t="shared" si="164"/>
        <v>0</v>
      </c>
      <c r="L568" s="85">
        <f t="shared" si="164"/>
        <v>202019.96</v>
      </c>
      <c r="M568" s="85">
        <f t="shared" si="164"/>
        <v>0</v>
      </c>
      <c r="N568" s="86">
        <f t="shared" si="163"/>
        <v>574001.84</v>
      </c>
      <c r="O568" s="86">
        <f t="shared" si="163"/>
        <v>0</v>
      </c>
      <c r="P568" s="87">
        <f t="shared" si="148"/>
        <v>191333.94666666666</v>
      </c>
      <c r="Q568" s="87">
        <f t="shared" si="149"/>
        <v>0</v>
      </c>
      <c r="R568" s="54"/>
      <c r="S568" s="49"/>
      <c r="T568" s="49"/>
      <c r="U568" s="49"/>
      <c r="V568" s="49" t="s">
        <v>564</v>
      </c>
      <c r="W568" s="49"/>
      <c r="X568" s="49"/>
      <c r="Y568" s="49"/>
      <c r="Z568" s="66"/>
      <c r="AB568" s="66"/>
    </row>
    <row r="569" spans="1:28" x14ac:dyDescent="0.35">
      <c r="A569" s="66"/>
      <c r="B569" s="66"/>
      <c r="C569" s="49" t="s">
        <v>565</v>
      </c>
      <c r="D569" s="49"/>
      <c r="E569" s="49"/>
      <c r="F569" s="49"/>
      <c r="G569" s="49"/>
      <c r="H569" s="63">
        <f t="shared" ref="H569:M569" si="165">ROUND(SUM(H555:H556)+H563+H568,5)</f>
        <v>450050.37</v>
      </c>
      <c r="I569" s="63">
        <f t="shared" si="165"/>
        <v>0</v>
      </c>
      <c r="J569" s="64">
        <f t="shared" si="165"/>
        <v>576400.43000000005</v>
      </c>
      <c r="K569" s="64">
        <f t="shared" si="165"/>
        <v>0</v>
      </c>
      <c r="L569" s="65">
        <f t="shared" si="165"/>
        <v>594185.98</v>
      </c>
      <c r="M569" s="65">
        <f t="shared" si="165"/>
        <v>0</v>
      </c>
      <c r="N569" s="66">
        <f t="shared" si="163"/>
        <v>1620636.78</v>
      </c>
      <c r="O569" s="66">
        <f t="shared" si="163"/>
        <v>0</v>
      </c>
      <c r="P569" s="69">
        <f t="shared" si="148"/>
        <v>540212.26</v>
      </c>
      <c r="Q569" s="69">
        <f t="shared" si="149"/>
        <v>0</v>
      </c>
      <c r="R569" s="54"/>
      <c r="S569" s="49"/>
      <c r="T569" s="49"/>
      <c r="U569" s="49" t="s">
        <v>565</v>
      </c>
      <c r="V569" s="49"/>
      <c r="W569" s="49"/>
      <c r="X569" s="49"/>
      <c r="Y569" s="49"/>
      <c r="Z569" s="66"/>
      <c r="AB569" s="66"/>
    </row>
    <row r="570" spans="1:28" x14ac:dyDescent="0.35">
      <c r="A570" s="66"/>
      <c r="B570" s="66"/>
      <c r="C570" s="49" t="s">
        <v>566</v>
      </c>
      <c r="D570" s="49"/>
      <c r="E570" s="49"/>
      <c r="F570" s="49"/>
      <c r="G570" s="49"/>
      <c r="H570" s="63"/>
      <c r="I570" s="63"/>
      <c r="J570" s="64"/>
      <c r="K570" s="64"/>
      <c r="L570" s="65"/>
      <c r="M570" s="65"/>
      <c r="N570" s="66"/>
      <c r="O570" s="66"/>
      <c r="P570" s="69"/>
      <c r="Q570" s="69"/>
      <c r="R570" s="54"/>
      <c r="S570" s="49"/>
      <c r="T570" s="49"/>
      <c r="U570" s="49" t="s">
        <v>566</v>
      </c>
      <c r="V570" s="49"/>
      <c r="W570" s="49"/>
      <c r="X570" s="49"/>
      <c r="Y570" s="49"/>
      <c r="Z570" s="66"/>
      <c r="AB570" s="66"/>
    </row>
    <row r="571" spans="1:28" x14ac:dyDescent="0.35">
      <c r="A571" s="66"/>
      <c r="B571" s="66"/>
      <c r="C571" s="49"/>
      <c r="D571" s="49" t="s">
        <v>567</v>
      </c>
      <c r="E571" s="49"/>
      <c r="F571" s="49"/>
      <c r="G571" s="49"/>
      <c r="H571" s="63"/>
      <c r="I571" s="63"/>
      <c r="J571" s="64"/>
      <c r="K571" s="64"/>
      <c r="L571" s="65"/>
      <c r="M571" s="65"/>
      <c r="N571" s="66"/>
      <c r="O571" s="66"/>
      <c r="P571" s="69"/>
      <c r="Q571" s="69"/>
      <c r="R571" s="54"/>
      <c r="S571" s="49"/>
      <c r="T571" s="49"/>
      <c r="U571" s="49"/>
      <c r="V571" s="49" t="s">
        <v>567</v>
      </c>
      <c r="W571" s="49"/>
      <c r="X571" s="49"/>
      <c r="Y571" s="49"/>
      <c r="Z571" s="66"/>
      <c r="AB571" s="66"/>
    </row>
    <row r="572" spans="1:28" x14ac:dyDescent="0.35">
      <c r="A572" s="66"/>
      <c r="B572" s="66"/>
      <c r="C572" s="49"/>
      <c r="D572" s="49"/>
      <c r="E572" s="49" t="s">
        <v>568</v>
      </c>
      <c r="F572" s="49"/>
      <c r="G572" s="49"/>
      <c r="H572" s="63">
        <v>541.88</v>
      </c>
      <c r="I572" s="63">
        <v>0</v>
      </c>
      <c r="J572" s="64">
        <v>554.29999999999995</v>
      </c>
      <c r="K572" s="64">
        <v>0</v>
      </c>
      <c r="L572" s="65">
        <v>645.24</v>
      </c>
      <c r="M572" s="65">
        <v>0</v>
      </c>
      <c r="N572" s="66">
        <f t="shared" ref="N572:N580" si="166">ROUND(H572+J572+L572,5)</f>
        <v>1741.42</v>
      </c>
      <c r="O572" s="66">
        <f t="shared" ref="O572:O580" si="167">ROUND(I572+K572+M572,5)</f>
        <v>0</v>
      </c>
      <c r="P572" s="69">
        <f t="shared" ref="P572:P580" si="168">N572/3</f>
        <v>580.47333333333336</v>
      </c>
      <c r="Q572" s="69">
        <f t="shared" ref="Q572:Q580" si="169">O572/3</f>
        <v>0</v>
      </c>
      <c r="R572" s="54"/>
      <c r="S572" s="49"/>
      <c r="T572" s="49"/>
      <c r="U572" s="49"/>
      <c r="V572" s="49"/>
      <c r="W572" s="49" t="s">
        <v>568</v>
      </c>
      <c r="X572" s="49"/>
      <c r="Y572" s="49"/>
      <c r="Z572" s="66"/>
      <c r="AB572" s="66"/>
    </row>
    <row r="573" spans="1:28" x14ac:dyDescent="0.35">
      <c r="A573" s="66"/>
      <c r="B573" s="66"/>
      <c r="C573" s="49"/>
      <c r="D573" s="49"/>
      <c r="E573" s="49" t="s">
        <v>569</v>
      </c>
      <c r="F573" s="49"/>
      <c r="G573" s="49"/>
      <c r="H573" s="63">
        <v>0</v>
      </c>
      <c r="I573" s="63">
        <v>0</v>
      </c>
      <c r="J573" s="64">
        <v>0</v>
      </c>
      <c r="K573" s="64">
        <v>0</v>
      </c>
      <c r="L573" s="65">
        <v>0</v>
      </c>
      <c r="M573" s="65">
        <v>0</v>
      </c>
      <c r="N573" s="66">
        <f t="shared" si="166"/>
        <v>0</v>
      </c>
      <c r="O573" s="66">
        <f t="shared" si="167"/>
        <v>0</v>
      </c>
      <c r="P573" s="69">
        <f t="shared" si="168"/>
        <v>0</v>
      </c>
      <c r="Q573" s="69">
        <f t="shared" si="169"/>
        <v>0</v>
      </c>
      <c r="R573" s="54"/>
      <c r="S573" s="49"/>
      <c r="T573" s="49"/>
      <c r="U573" s="49"/>
      <c r="V573" s="49"/>
      <c r="W573" s="49" t="s">
        <v>569</v>
      </c>
      <c r="X573" s="49"/>
      <c r="Y573" s="49"/>
      <c r="Z573" s="66"/>
      <c r="AA573" s="45"/>
      <c r="AB573" s="66"/>
    </row>
    <row r="574" spans="1:28" x14ac:dyDescent="0.35">
      <c r="A574" s="66"/>
      <c r="B574" s="66"/>
      <c r="C574" s="49"/>
      <c r="D574" s="49"/>
      <c r="E574" s="49" t="s">
        <v>570</v>
      </c>
      <c r="F574" s="49"/>
      <c r="G574" s="49"/>
      <c r="H574" s="63">
        <v>2500</v>
      </c>
      <c r="I574" s="63">
        <v>0</v>
      </c>
      <c r="J574" s="64">
        <v>4000</v>
      </c>
      <c r="K574" s="64">
        <v>0</v>
      </c>
      <c r="L574" s="65">
        <v>4500</v>
      </c>
      <c r="M574" s="65">
        <v>0</v>
      </c>
      <c r="N574" s="66">
        <f t="shared" si="166"/>
        <v>11000</v>
      </c>
      <c r="O574" s="66">
        <f t="shared" si="167"/>
        <v>0</v>
      </c>
      <c r="P574" s="69">
        <f t="shared" si="168"/>
        <v>3666.6666666666665</v>
      </c>
      <c r="Q574" s="69">
        <f t="shared" si="169"/>
        <v>0</v>
      </c>
      <c r="R574" s="54"/>
      <c r="S574" s="49"/>
      <c r="T574" s="49"/>
      <c r="U574" s="49"/>
      <c r="V574" s="49"/>
      <c r="W574" s="49" t="s">
        <v>570</v>
      </c>
      <c r="X574" s="49"/>
      <c r="Y574" s="49"/>
      <c r="Z574" s="66"/>
      <c r="AB574" s="66"/>
    </row>
    <row r="575" spans="1:28" ht="16" thickBot="1" x14ac:dyDescent="0.4">
      <c r="A575" s="66"/>
      <c r="B575" s="66"/>
      <c r="C575" s="49"/>
      <c r="D575" s="49"/>
      <c r="E575" s="49" t="s">
        <v>571</v>
      </c>
      <c r="F575" s="49"/>
      <c r="G575" s="49"/>
      <c r="H575" s="70">
        <v>21487.599999999999</v>
      </c>
      <c r="I575" s="70">
        <v>0</v>
      </c>
      <c r="J575" s="71">
        <v>19409.990000000002</v>
      </c>
      <c r="K575" s="64">
        <v>0</v>
      </c>
      <c r="L575" s="72">
        <v>19578.830000000002</v>
      </c>
      <c r="M575" s="65">
        <v>0</v>
      </c>
      <c r="N575" s="73">
        <f t="shared" si="166"/>
        <v>60476.42</v>
      </c>
      <c r="O575" s="73">
        <f t="shared" si="167"/>
        <v>0</v>
      </c>
      <c r="P575" s="74">
        <f t="shared" si="168"/>
        <v>20158.806666666667</v>
      </c>
      <c r="Q575" s="74">
        <f t="shared" si="169"/>
        <v>0</v>
      </c>
      <c r="R575" s="54"/>
      <c r="S575" s="49"/>
      <c r="T575" s="49"/>
      <c r="U575" s="49"/>
      <c r="V575" s="49"/>
      <c r="W575" s="49" t="s">
        <v>571</v>
      </c>
      <c r="X575" s="49"/>
      <c r="Y575" s="49"/>
      <c r="Z575" s="66"/>
      <c r="AB575" s="66"/>
    </row>
    <row r="576" spans="1:28" x14ac:dyDescent="0.35">
      <c r="A576" s="66"/>
      <c r="B576" s="66"/>
      <c r="C576" s="49"/>
      <c r="D576" s="49" t="s">
        <v>572</v>
      </c>
      <c r="E576" s="49"/>
      <c r="F576" s="49"/>
      <c r="G576" s="49"/>
      <c r="H576" s="63">
        <f t="shared" ref="H576:M576" si="170">ROUND(SUM(H571:H575),5)</f>
        <v>24529.48</v>
      </c>
      <c r="I576" s="63">
        <f t="shared" si="170"/>
        <v>0</v>
      </c>
      <c r="J576" s="64">
        <f t="shared" si="170"/>
        <v>23964.29</v>
      </c>
      <c r="K576" s="76">
        <f t="shared" si="170"/>
        <v>0</v>
      </c>
      <c r="L576" s="65">
        <f t="shared" si="170"/>
        <v>24724.07</v>
      </c>
      <c r="M576" s="77">
        <f t="shared" si="170"/>
        <v>0</v>
      </c>
      <c r="N576" s="66">
        <f t="shared" si="166"/>
        <v>73217.84</v>
      </c>
      <c r="O576" s="66">
        <f t="shared" si="167"/>
        <v>0</v>
      </c>
      <c r="P576" s="69">
        <f t="shared" si="168"/>
        <v>24405.946666666667</v>
      </c>
      <c r="Q576" s="69">
        <f t="shared" si="169"/>
        <v>0</v>
      </c>
      <c r="R576" s="54"/>
      <c r="S576" s="49"/>
      <c r="T576" s="49"/>
      <c r="U576" s="49"/>
      <c r="V576" s="49" t="s">
        <v>572</v>
      </c>
      <c r="W576" s="49"/>
      <c r="X576" s="49"/>
      <c r="Y576" s="49"/>
      <c r="Z576" s="66"/>
      <c r="AB576" s="66"/>
    </row>
    <row r="577" spans="1:29" ht="16" thickBot="1" x14ac:dyDescent="0.4">
      <c r="A577" s="66"/>
      <c r="B577" s="66"/>
      <c r="C577" s="49"/>
      <c r="D577" s="49" t="s">
        <v>573</v>
      </c>
      <c r="E577" s="49"/>
      <c r="F577" s="49"/>
      <c r="G577" s="49"/>
      <c r="H577" s="63">
        <v>288386.05</v>
      </c>
      <c r="I577" s="63">
        <v>0</v>
      </c>
      <c r="J577" s="64">
        <v>313714.26</v>
      </c>
      <c r="K577" s="64">
        <v>0</v>
      </c>
      <c r="L577" s="65">
        <v>363433.03</v>
      </c>
      <c r="M577" s="65">
        <v>0</v>
      </c>
      <c r="N577" s="66">
        <f t="shared" si="166"/>
        <v>965533.34</v>
      </c>
      <c r="O577" s="66">
        <f t="shared" si="167"/>
        <v>0</v>
      </c>
      <c r="P577" s="69">
        <f t="shared" si="168"/>
        <v>321844.44666666666</v>
      </c>
      <c r="Q577" s="69">
        <f t="shared" si="169"/>
        <v>0</v>
      </c>
      <c r="R577" s="54"/>
      <c r="S577" s="49"/>
      <c r="T577" s="49"/>
      <c r="U577" s="49"/>
      <c r="V577" s="49" t="s">
        <v>573</v>
      </c>
      <c r="W577" s="49"/>
      <c r="X577" s="49"/>
      <c r="Y577" s="49"/>
      <c r="Z577" s="66"/>
      <c r="AB577" s="66"/>
    </row>
    <row r="578" spans="1:29" ht="16" thickBot="1" x14ac:dyDescent="0.4">
      <c r="A578" s="66"/>
      <c r="B578" s="66"/>
      <c r="C578" s="49" t="s">
        <v>574</v>
      </c>
      <c r="D578" s="49"/>
      <c r="E578" s="49"/>
      <c r="F578" s="49"/>
      <c r="G578" s="49"/>
      <c r="H578" s="75">
        <f t="shared" ref="H578:M578" si="171">ROUND(H570+SUM(H576:H577),5)</f>
        <v>312915.53000000003</v>
      </c>
      <c r="I578" s="75">
        <f t="shared" si="171"/>
        <v>0</v>
      </c>
      <c r="J578" s="76">
        <f t="shared" si="171"/>
        <v>337678.55</v>
      </c>
      <c r="K578" s="76">
        <f t="shared" si="171"/>
        <v>0</v>
      </c>
      <c r="L578" s="77">
        <f t="shared" si="171"/>
        <v>388157.1</v>
      </c>
      <c r="M578" s="77">
        <f t="shared" si="171"/>
        <v>0</v>
      </c>
      <c r="N578" s="78">
        <f t="shared" si="166"/>
        <v>1038751.18</v>
      </c>
      <c r="O578" s="78">
        <f t="shared" si="167"/>
        <v>0</v>
      </c>
      <c r="P578" s="79">
        <f t="shared" si="168"/>
        <v>346250.39333333337</v>
      </c>
      <c r="Q578" s="79">
        <f t="shared" si="169"/>
        <v>0</v>
      </c>
      <c r="R578" s="54"/>
      <c r="S578" s="49"/>
      <c r="T578" s="49"/>
      <c r="U578" s="49" t="s">
        <v>574</v>
      </c>
      <c r="V578" s="49"/>
      <c r="W578" s="49"/>
      <c r="X578" s="49"/>
      <c r="Y578" s="49"/>
      <c r="Z578" s="66"/>
      <c r="AB578" s="66"/>
      <c r="AC578" s="45"/>
    </row>
    <row r="579" spans="1:29" ht="16" thickBot="1" x14ac:dyDescent="0.4">
      <c r="A579" s="66"/>
      <c r="B579" s="66" t="s">
        <v>575</v>
      </c>
      <c r="C579" s="49"/>
      <c r="D579" s="49"/>
      <c r="E579" s="49"/>
      <c r="F579" s="49"/>
      <c r="G579" s="49"/>
      <c r="H579" s="75">
        <f t="shared" ref="H579:M579" si="172">ROUND(H554+H569-H578,5)</f>
        <v>137134.84</v>
      </c>
      <c r="I579" s="75">
        <f t="shared" si="172"/>
        <v>0</v>
      </c>
      <c r="J579" s="76">
        <f t="shared" si="172"/>
        <v>238721.88</v>
      </c>
      <c r="K579" s="76">
        <f t="shared" si="172"/>
        <v>0</v>
      </c>
      <c r="L579" s="77">
        <f t="shared" si="172"/>
        <v>206028.88</v>
      </c>
      <c r="M579" s="77">
        <f t="shared" si="172"/>
        <v>0</v>
      </c>
      <c r="N579" s="78">
        <f t="shared" si="166"/>
        <v>581885.6</v>
      </c>
      <c r="O579" s="78">
        <f t="shared" si="167"/>
        <v>0</v>
      </c>
      <c r="P579" s="79">
        <f t="shared" si="168"/>
        <v>193961.86666666667</v>
      </c>
      <c r="Q579" s="79">
        <f t="shared" si="169"/>
        <v>0</v>
      </c>
      <c r="R579" s="54"/>
      <c r="S579" s="49"/>
      <c r="T579" s="49" t="s">
        <v>575</v>
      </c>
      <c r="U579" s="49"/>
      <c r="V579" s="49"/>
      <c r="W579" s="49"/>
      <c r="X579" s="49"/>
      <c r="Y579" s="49"/>
      <c r="Z579" s="66"/>
      <c r="AB579" s="66"/>
    </row>
    <row r="580" spans="1:29" s="45" customFormat="1" ht="16" thickBot="1" x14ac:dyDescent="0.4">
      <c r="A580" s="95" t="s">
        <v>576</v>
      </c>
      <c r="B580" s="95"/>
      <c r="C580" s="49"/>
      <c r="D580" s="49"/>
      <c r="E580" s="49"/>
      <c r="F580" s="49"/>
      <c r="G580" s="49"/>
      <c r="H580" s="96">
        <f t="shared" ref="H580:M580" si="173">ROUND(H553+H579,5)</f>
        <v>44542.64</v>
      </c>
      <c r="I580" s="96">
        <f t="shared" si="173"/>
        <v>8714.58</v>
      </c>
      <c r="J580" s="97">
        <f t="shared" si="173"/>
        <v>51342.9</v>
      </c>
      <c r="K580" s="97">
        <f t="shared" si="173"/>
        <v>826.41</v>
      </c>
      <c r="L580" s="98">
        <f t="shared" si="173"/>
        <v>184453.41</v>
      </c>
      <c r="M580" s="98">
        <f t="shared" si="173"/>
        <v>354.02</v>
      </c>
      <c r="N580" s="99">
        <f t="shared" si="166"/>
        <v>280338.95</v>
      </c>
      <c r="O580" s="99">
        <f t="shared" si="167"/>
        <v>9895.01</v>
      </c>
      <c r="P580" s="100">
        <f t="shared" si="168"/>
        <v>93446.316666666666</v>
      </c>
      <c r="Q580" s="100">
        <f t="shared" si="169"/>
        <v>3298.3366666666666</v>
      </c>
      <c r="R580" s="101"/>
      <c r="S580" s="49" t="s">
        <v>576</v>
      </c>
      <c r="T580" s="49"/>
      <c r="U580" s="49"/>
      <c r="V580" s="49"/>
      <c r="W580" s="49"/>
      <c r="X580" s="49"/>
      <c r="Y580" s="49"/>
      <c r="Z580" s="99">
        <f>ROUND(Z553+Z579,5)</f>
        <v>811.37</v>
      </c>
      <c r="AA580" s="46"/>
      <c r="AB580" s="99">
        <f>ROUND(AB553+AB579,5)</f>
        <v>-211160.46642000001</v>
      </c>
      <c r="AC580" s="46"/>
    </row>
    <row r="581" spans="1:29" ht="16" thickTop="1" x14ac:dyDescent="0.35">
      <c r="AB581" s="47"/>
    </row>
  </sheetData>
  <mergeCells count="1">
    <mergeCell ref="P3:Q3"/>
  </mergeCells>
  <pageMargins left="0.7" right="0.7" top="0.75" bottom="0.75" header="0.1" footer="0.3"/>
  <pageSetup orientation="portrait" verticalDpi="0" r:id="rId1"/>
  <headerFooter>
    <oddHeader>&amp;L&amp;"Arial,Bold"&amp;12 10:27 AM
&amp;"Arial,Bold"&amp;12 09/17/25
&amp;"Arial,Bold"&amp;12 Accrual Basis&amp;C&amp;"Arial,Bold"&amp;12 International Right of Way Association
&amp;"Arial,Bold"&amp;14 Profit &amp;&amp; Loss Budget vs. Actual
&amp;"Arial,Bold"&amp;10 July 2022 through June 2025</oddHeader>
    <oddFooter>&amp;R&amp;"Arial,Bold"&amp;12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2A4C-D99F-45D9-908E-63A70D0B0A0C}">
  <sheetPr>
    <tabColor rgb="FF92D050"/>
  </sheetPr>
  <dimension ref="A1:AI581"/>
  <sheetViews>
    <sheetView zoomScale="160" zoomScaleNormal="160" workbookViewId="0">
      <pane xSplit="7" ySplit="4" topLeftCell="Y5" activePane="bottomRight" state="frozen"/>
      <selection pane="topRight" activeCell="H1" sqref="H1"/>
      <selection pane="bottomLeft" activeCell="A5" sqref="A5"/>
      <selection pane="bottomRight" sqref="A1:XFD1048576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3.6328125" style="46" customWidth="1"/>
    <col min="10" max="10" width="16.81640625" style="46" customWidth="1"/>
    <col min="11" max="11" width="13.6328125" style="46" customWidth="1"/>
    <col min="12" max="12" width="16.81640625" style="46" customWidth="1"/>
    <col min="13" max="13" width="13.6328125" style="46" customWidth="1"/>
    <col min="14" max="14" width="16.81640625" style="46" bestFit="1" customWidth="1"/>
    <col min="15" max="15" width="14.81640625" style="46" bestFit="1" customWidth="1"/>
    <col min="16" max="16" width="16.81640625" style="46" bestFit="1" customWidth="1"/>
    <col min="17" max="17" width="13.6328125" style="46" bestFit="1" customWidth="1"/>
    <col min="18" max="18" width="0.81640625" style="46" customWidth="1"/>
    <col min="19" max="24" width="0.90625" style="45" customWidth="1"/>
    <col min="25" max="25" width="49.453125" style="45" customWidth="1"/>
    <col min="26" max="26" width="13.81640625" style="47" bestFit="1" customWidth="1"/>
    <col min="27" max="27" width="1.6328125" style="46" customWidth="1"/>
    <col min="28" max="29" width="17.1796875" style="46" bestFit="1" customWidth="1"/>
    <col min="30" max="30" width="47.81640625" style="46" customWidth="1"/>
    <col min="31" max="31" width="10.54296875" style="46" bestFit="1" customWidth="1"/>
    <col min="32" max="32" width="11.54296875" style="46" bestFit="1" customWidth="1"/>
    <col min="33" max="34" width="8.81640625" style="46"/>
    <col min="35" max="35" width="10.1796875" style="46" bestFit="1" customWidth="1"/>
    <col min="36" max="16384" width="8.81640625" style="46"/>
  </cols>
  <sheetData>
    <row r="1" spans="1:30" ht="25" customHeight="1" x14ac:dyDescent="0.35">
      <c r="H1" s="103">
        <f t="shared" ref="H1:Q1" si="0">H580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Z580</f>
        <v>811.37</v>
      </c>
      <c r="AA1" s="105"/>
      <c r="AB1" s="106">
        <f>AB580</f>
        <v>-193160.46642000001</v>
      </c>
      <c r="AC1" s="129">
        <f>AC580</f>
        <v>-8678.4714199999999</v>
      </c>
      <c r="AD1" s="81">
        <f>AB1-AC1</f>
        <v>-184481.99500000002</v>
      </c>
    </row>
    <row r="2" spans="1:30" ht="16" x14ac:dyDescent="0.35">
      <c r="AB2" s="44" t="s">
        <v>583</v>
      </c>
      <c r="AC2" s="130" t="s">
        <v>894</v>
      </c>
    </row>
    <row r="3" spans="1:30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B3" s="1" t="s">
        <v>582</v>
      </c>
      <c r="AC3" s="1" t="s">
        <v>582</v>
      </c>
    </row>
    <row r="4" spans="1:30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B4" s="59" t="s">
        <v>2</v>
      </c>
      <c r="AC4" s="59" t="s">
        <v>2</v>
      </c>
    </row>
    <row r="5" spans="1:30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</row>
    <row r="6" spans="1:30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</row>
    <row r="7" spans="1:30" ht="16" thickBot="1" x14ac:dyDescent="0.4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</row>
    <row r="8" spans="1:30" ht="16" hidden="1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</row>
    <row r="9" spans="1:30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B9" s="66">
        <v>960784.8</v>
      </c>
      <c r="AC9" s="66">
        <v>960784.8</v>
      </c>
    </row>
    <row r="10" spans="1:30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1">ROUND(H10+J10+L10,5)</f>
        <v>270788.24</v>
      </c>
      <c r="O10" s="66">
        <f t="shared" si="1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B10" s="66"/>
      <c r="AC10" s="66"/>
    </row>
    <row r="11" spans="1:30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1"/>
        <v>104161.84</v>
      </c>
      <c r="O11" s="66">
        <f t="shared" si="1"/>
        <v>47215</v>
      </c>
      <c r="P11" s="69">
        <f t="shared" ref="P11:Q74" si="2">N11/3</f>
        <v>34720.613333333335</v>
      </c>
      <c r="Q11" s="69">
        <f t="shared" si="2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B11" s="66"/>
      <c r="AC11" s="66"/>
    </row>
    <row r="12" spans="1:30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1"/>
        <v>0</v>
      </c>
      <c r="O12" s="66">
        <f t="shared" si="1"/>
        <v>8970</v>
      </c>
      <c r="P12" s="69">
        <f t="shared" si="2"/>
        <v>0</v>
      </c>
      <c r="Q12" s="69">
        <f t="shared" si="2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B12" s="66"/>
      <c r="AC12" s="66"/>
    </row>
    <row r="13" spans="1:30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1"/>
        <v>49113.85</v>
      </c>
      <c r="O13" s="66">
        <f t="shared" si="1"/>
        <v>22276</v>
      </c>
      <c r="P13" s="69">
        <f t="shared" si="2"/>
        <v>16371.283333333333</v>
      </c>
      <c r="Q13" s="69">
        <f t="shared" si="2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B13" s="66"/>
      <c r="AC13" s="66"/>
    </row>
    <row r="14" spans="1:30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1"/>
        <v>7790</v>
      </c>
      <c r="O14" s="73">
        <f t="shared" si="1"/>
        <v>1400</v>
      </c>
      <c r="P14" s="74">
        <f t="shared" si="2"/>
        <v>2596.6666666666665</v>
      </c>
      <c r="Q14" s="74">
        <f t="shared" si="2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B14" s="73"/>
      <c r="AC14" s="73"/>
    </row>
    <row r="15" spans="1:30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3">ROUND(SUM(H9:H14),5)</f>
        <v>171173.36</v>
      </c>
      <c r="I15" s="63">
        <f t="shared" si="3"/>
        <v>33072</v>
      </c>
      <c r="J15" s="64">
        <f t="shared" si="3"/>
        <v>129396.15</v>
      </c>
      <c r="K15" s="64">
        <f t="shared" si="3"/>
        <v>61776</v>
      </c>
      <c r="L15" s="65">
        <f t="shared" si="3"/>
        <v>131284.42000000001</v>
      </c>
      <c r="M15" s="65">
        <f t="shared" si="3"/>
        <v>159494</v>
      </c>
      <c r="N15" s="66">
        <f t="shared" si="1"/>
        <v>431853.93</v>
      </c>
      <c r="O15" s="66">
        <f t="shared" si="1"/>
        <v>254342</v>
      </c>
      <c r="P15" s="69">
        <f t="shared" si="2"/>
        <v>143951.31</v>
      </c>
      <c r="Q15" s="69">
        <f t="shared" si="2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B15" s="66">
        <f>ROUND(SUM(AB9:AB14),5)</f>
        <v>960784.8</v>
      </c>
      <c r="AC15" s="66">
        <f>ROUND(SUM(AC9:AC14),5)</f>
        <v>960784.8</v>
      </c>
    </row>
    <row r="16" spans="1:30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B16" s="66"/>
      <c r="AC16" s="66"/>
    </row>
    <row r="17" spans="1:29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4">ROUND(H17+J17+L17,5)</f>
        <v>101809.82</v>
      </c>
      <c r="O17" s="66">
        <f t="shared" si="4"/>
        <v>79973</v>
      </c>
      <c r="P17" s="69">
        <f t="shared" si="2"/>
        <v>33936.606666666667</v>
      </c>
      <c r="Q17" s="69">
        <f t="shared" si="2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B17" s="66"/>
      <c r="AC17" s="66"/>
    </row>
    <row r="18" spans="1:29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4"/>
        <v>26984.29</v>
      </c>
      <c r="O18" s="66">
        <f t="shared" si="4"/>
        <v>23625</v>
      </c>
      <c r="P18" s="69">
        <f t="shared" si="2"/>
        <v>8994.7633333333342</v>
      </c>
      <c r="Q18" s="69">
        <f t="shared" si="2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B18" s="66"/>
      <c r="AC18" s="66"/>
    </row>
    <row r="19" spans="1:29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4"/>
        <v>17270</v>
      </c>
      <c r="O19" s="66">
        <f t="shared" si="4"/>
        <v>35512</v>
      </c>
      <c r="P19" s="69">
        <f t="shared" si="2"/>
        <v>5756.666666666667</v>
      </c>
      <c r="Q19" s="69">
        <f t="shared" si="2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B19" s="66"/>
      <c r="AC19" s="66"/>
    </row>
    <row r="20" spans="1:29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4"/>
        <v>22714.81</v>
      </c>
      <c r="O20" s="66">
        <f t="shared" si="4"/>
        <v>35292</v>
      </c>
      <c r="P20" s="69">
        <f t="shared" si="2"/>
        <v>7571.6033333333335</v>
      </c>
      <c r="Q20" s="69">
        <f t="shared" si="2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B20" s="66"/>
      <c r="AC20" s="66"/>
    </row>
    <row r="21" spans="1:29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4"/>
        <v>3255.05</v>
      </c>
      <c r="O21" s="66">
        <f t="shared" si="4"/>
        <v>0</v>
      </c>
      <c r="P21" s="69">
        <f t="shared" si="2"/>
        <v>1085.0166666666667</v>
      </c>
      <c r="Q21" s="69">
        <f t="shared" si="2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B21" s="66"/>
      <c r="AC21" s="66"/>
    </row>
    <row r="22" spans="1:29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4"/>
        <v>24336.65</v>
      </c>
      <c r="O22" s="66">
        <f t="shared" si="4"/>
        <v>58135</v>
      </c>
      <c r="P22" s="69">
        <f t="shared" si="2"/>
        <v>8112.2166666666672</v>
      </c>
      <c r="Q22" s="69">
        <f t="shared" si="2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B22" s="66"/>
      <c r="AC22" s="66"/>
    </row>
    <row r="23" spans="1:29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4"/>
        <v>3560.05</v>
      </c>
      <c r="O23" s="66">
        <f t="shared" si="4"/>
        <v>0</v>
      </c>
      <c r="P23" s="69">
        <f t="shared" si="2"/>
        <v>1186.6833333333334</v>
      </c>
      <c r="Q23" s="69">
        <f t="shared" si="2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B23" s="66"/>
      <c r="AC23" s="66"/>
    </row>
    <row r="24" spans="1:29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4"/>
        <v>20454.099999999999</v>
      </c>
      <c r="O24" s="66">
        <f t="shared" si="4"/>
        <v>42287</v>
      </c>
      <c r="P24" s="69">
        <f t="shared" si="2"/>
        <v>6818.0333333333328</v>
      </c>
      <c r="Q24" s="69">
        <f t="shared" si="2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B24" s="66"/>
      <c r="AC24" s="66"/>
    </row>
    <row r="25" spans="1:29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4"/>
        <v>13358.41</v>
      </c>
      <c r="O25" s="66">
        <f t="shared" si="4"/>
        <v>17758</v>
      </c>
      <c r="P25" s="69">
        <f t="shared" si="2"/>
        <v>4452.8033333333333</v>
      </c>
      <c r="Q25" s="69">
        <f t="shared" si="2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B25" s="66"/>
      <c r="AC25" s="66"/>
    </row>
    <row r="26" spans="1:29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4"/>
        <v>5642.08</v>
      </c>
      <c r="O26" s="66">
        <f t="shared" si="4"/>
        <v>0</v>
      </c>
      <c r="P26" s="69">
        <f t="shared" si="2"/>
        <v>1880.6933333333334</v>
      </c>
      <c r="Q26" s="69">
        <f t="shared" si="2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B26" s="66"/>
      <c r="AC26" s="66"/>
    </row>
    <row r="27" spans="1:29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4"/>
        <v>28947.17</v>
      </c>
      <c r="O27" s="66">
        <f t="shared" si="4"/>
        <v>23569</v>
      </c>
      <c r="P27" s="69">
        <f t="shared" si="2"/>
        <v>9649.0566666666655</v>
      </c>
      <c r="Q27" s="69">
        <f t="shared" si="2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B27" s="66"/>
      <c r="AC27" s="66"/>
    </row>
    <row r="28" spans="1:29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4"/>
        <v>6391.99</v>
      </c>
      <c r="O28" s="66">
        <f t="shared" si="4"/>
        <v>5858</v>
      </c>
      <c r="P28" s="69">
        <f t="shared" si="2"/>
        <v>2130.6633333333334</v>
      </c>
      <c r="Q28" s="69">
        <f t="shared" si="2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B28" s="66"/>
      <c r="AC28" s="66"/>
    </row>
    <row r="29" spans="1:29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4"/>
        <v>33957.879999999997</v>
      </c>
      <c r="O29" s="66">
        <f t="shared" si="4"/>
        <v>66808</v>
      </c>
      <c r="P29" s="69">
        <f t="shared" si="2"/>
        <v>11319.293333333333</v>
      </c>
      <c r="Q29" s="69">
        <f t="shared" si="2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B29" s="66"/>
      <c r="AC29" s="66"/>
    </row>
    <row r="30" spans="1:29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4"/>
        <v>44017.48</v>
      </c>
      <c r="O30" s="66">
        <f t="shared" si="4"/>
        <v>49854</v>
      </c>
      <c r="P30" s="69">
        <f t="shared" si="2"/>
        <v>14672.493333333334</v>
      </c>
      <c r="Q30" s="69">
        <f t="shared" si="2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B30" s="66"/>
      <c r="AC30" s="66"/>
    </row>
    <row r="31" spans="1:29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4"/>
        <v>64578.81</v>
      </c>
      <c r="O31" s="66">
        <f t="shared" si="4"/>
        <v>27090</v>
      </c>
      <c r="P31" s="69">
        <f t="shared" si="2"/>
        <v>21526.27</v>
      </c>
      <c r="Q31" s="69">
        <f t="shared" si="2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B31" s="66"/>
      <c r="AC31" s="66"/>
    </row>
    <row r="32" spans="1:29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4"/>
        <v>14800.16</v>
      </c>
      <c r="O32" s="66">
        <f t="shared" si="4"/>
        <v>0</v>
      </c>
      <c r="P32" s="69">
        <f t="shared" si="2"/>
        <v>4933.3866666666663</v>
      </c>
      <c r="Q32" s="69">
        <f t="shared" si="2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B32" s="66"/>
      <c r="AC32" s="66"/>
    </row>
    <row r="33" spans="1:29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4"/>
        <v>1604.11</v>
      </c>
      <c r="O33" s="66">
        <f t="shared" si="4"/>
        <v>22561</v>
      </c>
      <c r="P33" s="69">
        <f t="shared" si="2"/>
        <v>534.70333333333326</v>
      </c>
      <c r="Q33" s="69">
        <f t="shared" si="2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B33" s="66"/>
      <c r="AC33" s="66"/>
    </row>
    <row r="34" spans="1:29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4"/>
        <v>1104</v>
      </c>
      <c r="O34" s="66">
        <f t="shared" si="4"/>
        <v>7038</v>
      </c>
      <c r="P34" s="69">
        <f t="shared" si="2"/>
        <v>368</v>
      </c>
      <c r="Q34" s="69">
        <f t="shared" si="2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B34" s="66"/>
      <c r="AC34" s="66"/>
    </row>
    <row r="35" spans="1:29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4"/>
        <v>0</v>
      </c>
      <c r="O35" s="66">
        <f t="shared" si="4"/>
        <v>15254</v>
      </c>
      <c r="P35" s="69">
        <f t="shared" si="2"/>
        <v>0</v>
      </c>
      <c r="Q35" s="69">
        <f t="shared" si="2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B35" s="66"/>
      <c r="AC35" s="66"/>
    </row>
    <row r="36" spans="1:29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2"/>
        <v>1854.64</v>
      </c>
      <c r="Q36" s="69">
        <f t="shared" si="2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B36" s="66"/>
      <c r="AC36" s="66"/>
    </row>
    <row r="37" spans="1:29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2"/>
        <v>0</v>
      </c>
      <c r="Q37" s="69">
        <f t="shared" si="2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B37" s="66"/>
      <c r="AC37" s="66"/>
    </row>
    <row r="38" spans="1:29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2"/>
        <v>0</v>
      </c>
      <c r="Q38" s="74">
        <f t="shared" si="2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B38" s="73"/>
      <c r="AC38" s="73"/>
    </row>
    <row r="39" spans="1:29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5">ROUND(SUM(H16:H38),5)</f>
        <v>125929.22</v>
      </c>
      <c r="I39" s="63">
        <f t="shared" si="5"/>
        <v>120263</v>
      </c>
      <c r="J39" s="64">
        <f t="shared" si="5"/>
        <v>136830.26</v>
      </c>
      <c r="K39" s="64">
        <f t="shared" si="5"/>
        <v>203448</v>
      </c>
      <c r="L39" s="65">
        <f t="shared" si="5"/>
        <v>177591.3</v>
      </c>
      <c r="M39" s="65">
        <f t="shared" si="5"/>
        <v>186903</v>
      </c>
      <c r="N39" s="66">
        <f>ROUND(H39+J39+L39,5)</f>
        <v>440350.78</v>
      </c>
      <c r="O39" s="66">
        <f>ROUND(I39+K39+M39,5)</f>
        <v>510614</v>
      </c>
      <c r="P39" s="69">
        <f t="shared" si="2"/>
        <v>146783.59333333335</v>
      </c>
      <c r="Q39" s="69">
        <f t="shared" si="2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B39" s="66">
        <f>ROUND(SUM(AB16:AB38),5)</f>
        <v>0</v>
      </c>
      <c r="AC39" s="66">
        <f>ROUND(SUM(AC16:AC38),5)</f>
        <v>0</v>
      </c>
    </row>
    <row r="40" spans="1:29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B40" s="66"/>
      <c r="AC40" s="66"/>
    </row>
    <row r="41" spans="1:29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6">ROUND(H41+J41+L41,5)</f>
        <v>17081.599999999999</v>
      </c>
      <c r="O41" s="66">
        <f t="shared" si="6"/>
        <v>44688</v>
      </c>
      <c r="P41" s="69">
        <f t="shared" si="2"/>
        <v>5693.8666666666659</v>
      </c>
      <c r="Q41" s="69">
        <f t="shared" si="2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B41" s="66"/>
      <c r="AC41" s="66"/>
    </row>
    <row r="42" spans="1:29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6"/>
        <v>1953.03</v>
      </c>
      <c r="O42" s="66">
        <f t="shared" si="6"/>
        <v>0</v>
      </c>
      <c r="P42" s="69">
        <f t="shared" si="2"/>
        <v>651.01</v>
      </c>
      <c r="Q42" s="69">
        <f t="shared" si="2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B42" s="66"/>
      <c r="AC42" s="66"/>
    </row>
    <row r="43" spans="1:29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6"/>
        <v>6637.98</v>
      </c>
      <c r="O43" s="66">
        <f t="shared" si="6"/>
        <v>16220</v>
      </c>
      <c r="P43" s="69">
        <f t="shared" si="2"/>
        <v>2212.66</v>
      </c>
      <c r="Q43" s="69">
        <f t="shared" si="2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B43" s="66"/>
      <c r="AC43" s="66"/>
    </row>
    <row r="44" spans="1:29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6"/>
        <v>0</v>
      </c>
      <c r="O44" s="73">
        <f t="shared" si="6"/>
        <v>0</v>
      </c>
      <c r="P44" s="74">
        <f t="shared" si="2"/>
        <v>0</v>
      </c>
      <c r="Q44" s="74">
        <f t="shared" si="2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B44" s="73"/>
      <c r="AC44" s="73"/>
    </row>
    <row r="45" spans="1:29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7">ROUND(SUM(H40:H44),5)</f>
        <v>5918.6</v>
      </c>
      <c r="I45" s="63">
        <f t="shared" si="7"/>
        <v>27950</v>
      </c>
      <c r="J45" s="64">
        <f t="shared" si="7"/>
        <v>10455</v>
      </c>
      <c r="K45" s="64">
        <f t="shared" si="7"/>
        <v>22248</v>
      </c>
      <c r="L45" s="65">
        <f t="shared" si="7"/>
        <v>9299.01</v>
      </c>
      <c r="M45" s="65">
        <f t="shared" si="7"/>
        <v>10710</v>
      </c>
      <c r="N45" s="66">
        <f t="shared" si="6"/>
        <v>25672.61</v>
      </c>
      <c r="O45" s="66">
        <f t="shared" si="6"/>
        <v>60908</v>
      </c>
      <c r="P45" s="69">
        <f t="shared" si="2"/>
        <v>8557.5366666666669</v>
      </c>
      <c r="Q45" s="69">
        <f t="shared" si="2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B45" s="66">
        <f>ROUND(SUM(AB40:AB44),5)</f>
        <v>0</v>
      </c>
      <c r="AC45" s="66">
        <f>ROUND(SUM(AC40:AC44),5)</f>
        <v>0</v>
      </c>
    </row>
    <row r="46" spans="1:29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B46" s="66"/>
      <c r="AC46" s="66"/>
    </row>
    <row r="47" spans="1:29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8">ROUND(H47+J47+L47,5)</f>
        <v>87354.12</v>
      </c>
      <c r="O47" s="66">
        <f t="shared" si="8"/>
        <v>72146</v>
      </c>
      <c r="P47" s="69">
        <f t="shared" si="2"/>
        <v>29118.039999999997</v>
      </c>
      <c r="Q47" s="69">
        <f t="shared" si="2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B47" s="66"/>
      <c r="AC47" s="66"/>
    </row>
    <row r="48" spans="1:29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8"/>
        <v>12866.68</v>
      </c>
      <c r="O48" s="66">
        <f t="shared" si="8"/>
        <v>23176</v>
      </c>
      <c r="P48" s="69">
        <f t="shared" si="2"/>
        <v>4288.8933333333334</v>
      </c>
      <c r="Q48" s="69">
        <f t="shared" si="2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B48" s="66"/>
      <c r="AC48" s="66"/>
    </row>
    <row r="49" spans="1:29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8"/>
        <v>1104</v>
      </c>
      <c r="O49" s="66">
        <f t="shared" si="8"/>
        <v>19670</v>
      </c>
      <c r="P49" s="69">
        <f t="shared" si="2"/>
        <v>368</v>
      </c>
      <c r="Q49" s="69">
        <f t="shared" si="2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B49" s="66"/>
      <c r="AC49" s="66"/>
    </row>
    <row r="50" spans="1:29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8"/>
        <v>35352.550000000003</v>
      </c>
      <c r="O50" s="66">
        <f t="shared" si="8"/>
        <v>25225</v>
      </c>
      <c r="P50" s="69">
        <f t="shared" si="2"/>
        <v>11784.183333333334</v>
      </c>
      <c r="Q50" s="69">
        <f t="shared" si="2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B50" s="66"/>
      <c r="AC50" s="66"/>
    </row>
    <row r="51" spans="1:29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8"/>
        <v>3884.55</v>
      </c>
      <c r="O51" s="66">
        <f t="shared" si="8"/>
        <v>1190</v>
      </c>
      <c r="P51" s="69">
        <f t="shared" si="2"/>
        <v>1294.8500000000001</v>
      </c>
      <c r="Q51" s="69">
        <f t="shared" si="2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B51" s="66"/>
      <c r="AC51" s="66"/>
    </row>
    <row r="52" spans="1:29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8"/>
        <v>3960</v>
      </c>
      <c r="O52" s="66">
        <f t="shared" si="8"/>
        <v>11560</v>
      </c>
      <c r="P52" s="69">
        <f t="shared" si="2"/>
        <v>1320</v>
      </c>
      <c r="Q52" s="69">
        <f t="shared" si="2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B52" s="66"/>
      <c r="AC52" s="66"/>
    </row>
    <row r="53" spans="1:29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8"/>
        <v>546</v>
      </c>
      <c r="O53" s="66">
        <f t="shared" si="8"/>
        <v>10387</v>
      </c>
      <c r="P53" s="69">
        <f t="shared" si="2"/>
        <v>182</v>
      </c>
      <c r="Q53" s="69">
        <f t="shared" si="2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B53" s="66"/>
      <c r="AC53" s="66"/>
    </row>
    <row r="54" spans="1:29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8"/>
        <v>8740.36</v>
      </c>
      <c r="O54" s="66">
        <f t="shared" si="8"/>
        <v>19808</v>
      </c>
      <c r="P54" s="69">
        <f t="shared" si="2"/>
        <v>2913.4533333333334</v>
      </c>
      <c r="Q54" s="69">
        <f t="shared" si="2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B54" s="66"/>
      <c r="AC54" s="66"/>
    </row>
    <row r="55" spans="1:29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8"/>
        <v>594</v>
      </c>
      <c r="O55" s="66">
        <f t="shared" si="8"/>
        <v>24884</v>
      </c>
      <c r="P55" s="69">
        <f t="shared" si="2"/>
        <v>198</v>
      </c>
      <c r="Q55" s="69">
        <f t="shared" si="2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B55" s="66"/>
      <c r="AC55" s="66"/>
    </row>
    <row r="56" spans="1:29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8"/>
        <v>690</v>
      </c>
      <c r="O56" s="66">
        <f t="shared" si="8"/>
        <v>5419</v>
      </c>
      <c r="P56" s="69">
        <f t="shared" si="2"/>
        <v>230</v>
      </c>
      <c r="Q56" s="69">
        <f t="shared" si="2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B56" s="66"/>
      <c r="AC56" s="66"/>
    </row>
    <row r="57" spans="1:29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8"/>
        <v>1413.6</v>
      </c>
      <c r="O57" s="66">
        <f t="shared" si="8"/>
        <v>27552</v>
      </c>
      <c r="P57" s="69">
        <f t="shared" si="2"/>
        <v>471.2</v>
      </c>
      <c r="Q57" s="69">
        <f t="shared" si="2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B57" s="66"/>
      <c r="AC57" s="66"/>
    </row>
    <row r="58" spans="1:29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8"/>
        <v>174920.21</v>
      </c>
      <c r="O58" s="66">
        <f t="shared" si="8"/>
        <v>143746</v>
      </c>
      <c r="P58" s="69">
        <f t="shared" si="2"/>
        <v>58306.736666666664</v>
      </c>
      <c r="Q58" s="69">
        <f t="shared" si="2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B58" s="66"/>
      <c r="AC58" s="66"/>
    </row>
    <row r="59" spans="1:29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8"/>
        <v>12307.07</v>
      </c>
      <c r="O59" s="66">
        <f t="shared" si="8"/>
        <v>24217</v>
      </c>
      <c r="P59" s="69">
        <f t="shared" si="2"/>
        <v>4102.3566666666666</v>
      </c>
      <c r="Q59" s="69">
        <f t="shared" si="2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B59" s="66"/>
      <c r="AC59" s="66"/>
    </row>
    <row r="60" spans="1:29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8"/>
        <v>23322.21</v>
      </c>
      <c r="O60" s="66">
        <f t="shared" si="8"/>
        <v>22992</v>
      </c>
      <c r="P60" s="69">
        <f t="shared" si="2"/>
        <v>7774.07</v>
      </c>
      <c r="Q60" s="69">
        <f t="shared" si="2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B60" s="66"/>
      <c r="AC60" s="66"/>
    </row>
    <row r="61" spans="1:29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8"/>
        <v>4553.9799999999996</v>
      </c>
      <c r="O61" s="73">
        <f t="shared" si="8"/>
        <v>0</v>
      </c>
      <c r="P61" s="74">
        <f t="shared" si="2"/>
        <v>1517.9933333333331</v>
      </c>
      <c r="Q61" s="74">
        <f t="shared" si="2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B61" s="73"/>
      <c r="AC61" s="73"/>
    </row>
    <row r="62" spans="1:29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9">ROUND(SUM(H46:H61),5)</f>
        <v>137372.26</v>
      </c>
      <c r="I62" s="63">
        <f t="shared" si="9"/>
        <v>73450</v>
      </c>
      <c r="J62" s="64">
        <f t="shared" si="9"/>
        <v>111914.03</v>
      </c>
      <c r="K62" s="64">
        <f t="shared" si="9"/>
        <v>203796</v>
      </c>
      <c r="L62" s="65">
        <f t="shared" si="9"/>
        <v>122323.04</v>
      </c>
      <c r="M62" s="65">
        <f t="shared" si="9"/>
        <v>154726</v>
      </c>
      <c r="N62" s="66">
        <f t="shared" si="8"/>
        <v>371609.33</v>
      </c>
      <c r="O62" s="66">
        <f t="shared" si="8"/>
        <v>431972</v>
      </c>
      <c r="P62" s="69">
        <f t="shared" si="2"/>
        <v>123869.77666666667</v>
      </c>
      <c r="Q62" s="69">
        <f t="shared" si="2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B62" s="66">
        <f>ROUND(SUM(AB46:AB61),5)</f>
        <v>0</v>
      </c>
      <c r="AC62" s="66">
        <f>ROUND(SUM(AC46:AC61),5)</f>
        <v>0</v>
      </c>
    </row>
    <row r="63" spans="1:29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8"/>
        <v>34181.74</v>
      </c>
      <c r="O63" s="66">
        <f t="shared" si="8"/>
        <v>66123.38</v>
      </c>
      <c r="P63" s="69">
        <f t="shared" si="2"/>
        <v>11393.913333333332</v>
      </c>
      <c r="Q63" s="69">
        <f t="shared" si="2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B63" s="66"/>
      <c r="AC63" s="66"/>
    </row>
    <row r="64" spans="1:29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B64" s="66"/>
      <c r="AC64" s="66"/>
    </row>
    <row r="65" spans="1:29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10">ROUND(H65+J65+L65,5)</f>
        <v>106817.3</v>
      </c>
      <c r="O65" s="66">
        <f t="shared" si="10"/>
        <v>56558</v>
      </c>
      <c r="P65" s="69">
        <f t="shared" si="2"/>
        <v>35605.76666666667</v>
      </c>
      <c r="Q65" s="69">
        <f t="shared" si="2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B65" s="66"/>
      <c r="AC65" s="66"/>
    </row>
    <row r="66" spans="1:29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10"/>
        <v>63970.64</v>
      </c>
      <c r="O66" s="66">
        <f t="shared" si="10"/>
        <v>68284</v>
      </c>
      <c r="P66" s="69">
        <f t="shared" si="2"/>
        <v>21323.546666666665</v>
      </c>
      <c r="Q66" s="69">
        <f t="shared" si="2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B66" s="66"/>
      <c r="AC66" s="66"/>
    </row>
    <row r="67" spans="1:29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10"/>
        <v>1794</v>
      </c>
      <c r="O67" s="66">
        <f t="shared" si="10"/>
        <v>15153</v>
      </c>
      <c r="P67" s="69">
        <f t="shared" si="2"/>
        <v>598</v>
      </c>
      <c r="Q67" s="69">
        <f t="shared" si="2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B67" s="66"/>
      <c r="AC67" s="66"/>
    </row>
    <row r="68" spans="1:29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10"/>
        <v>22842.29</v>
      </c>
      <c r="O68" s="66">
        <f t="shared" si="10"/>
        <v>61166</v>
      </c>
      <c r="P68" s="69">
        <f t="shared" si="2"/>
        <v>7614.0966666666673</v>
      </c>
      <c r="Q68" s="69">
        <f t="shared" si="2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B68" s="66"/>
      <c r="AC68" s="66"/>
    </row>
    <row r="69" spans="1:29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10"/>
        <v>9232</v>
      </c>
      <c r="O69" s="66">
        <f t="shared" si="10"/>
        <v>16972</v>
      </c>
      <c r="P69" s="69">
        <f t="shared" si="2"/>
        <v>3077.3333333333335</v>
      </c>
      <c r="Q69" s="69">
        <f t="shared" si="2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B69" s="66"/>
      <c r="AC69" s="66"/>
    </row>
    <row r="70" spans="1:29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10"/>
        <v>11879.44</v>
      </c>
      <c r="O70" s="73">
        <f t="shared" si="10"/>
        <v>43386</v>
      </c>
      <c r="P70" s="74">
        <f t="shared" si="2"/>
        <v>3959.8133333333335</v>
      </c>
      <c r="Q70" s="74">
        <f t="shared" si="2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B70" s="73"/>
      <c r="AC70" s="73"/>
    </row>
    <row r="71" spans="1:29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11">ROUND(SUM(H64:H70),5)</f>
        <v>53816.6</v>
      </c>
      <c r="I71" s="63">
        <f t="shared" si="11"/>
        <v>52052</v>
      </c>
      <c r="J71" s="64">
        <f t="shared" si="11"/>
        <v>74785.06</v>
      </c>
      <c r="K71" s="64">
        <f t="shared" si="11"/>
        <v>127356</v>
      </c>
      <c r="L71" s="65">
        <f t="shared" si="11"/>
        <v>87934.01</v>
      </c>
      <c r="M71" s="65">
        <f t="shared" si="11"/>
        <v>82111</v>
      </c>
      <c r="N71" s="66">
        <f t="shared" si="10"/>
        <v>216535.67</v>
      </c>
      <c r="O71" s="66">
        <f t="shared" si="10"/>
        <v>261519</v>
      </c>
      <c r="P71" s="69">
        <f t="shared" si="2"/>
        <v>72178.556666666671</v>
      </c>
      <c r="Q71" s="69">
        <f t="shared" si="2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B71" s="66">
        <f>ROUND(SUM(AB64:AB70),5)</f>
        <v>0</v>
      </c>
      <c r="AC71" s="66">
        <f>ROUND(SUM(AC64:AC70),5)</f>
        <v>0</v>
      </c>
    </row>
    <row r="72" spans="1:29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B72" s="66"/>
      <c r="AC72" s="66"/>
    </row>
    <row r="73" spans="1:29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12">ROUND(H73+J73+L73,5)</f>
        <v>5364.31</v>
      </c>
      <c r="O73" s="66">
        <f t="shared" si="12"/>
        <v>9909</v>
      </c>
      <c r="P73" s="69">
        <f t="shared" si="2"/>
        <v>1788.1033333333335</v>
      </c>
      <c r="Q73" s="69">
        <f t="shared" si="2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B73" s="66"/>
      <c r="AC73" s="66"/>
    </row>
    <row r="74" spans="1:29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12"/>
        <v>46000.91</v>
      </c>
      <c r="O74" s="66">
        <f t="shared" si="12"/>
        <v>29903</v>
      </c>
      <c r="P74" s="69">
        <f t="shared" si="2"/>
        <v>15333.636666666667</v>
      </c>
      <c r="Q74" s="69">
        <f t="shared" si="2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B74" s="66"/>
      <c r="AC74" s="66"/>
    </row>
    <row r="75" spans="1:29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12"/>
        <v>0</v>
      </c>
      <c r="O75" s="66">
        <f t="shared" si="12"/>
        <v>31248</v>
      </c>
      <c r="P75" s="69">
        <f t="shared" ref="P75:Q137" si="13">N75/3</f>
        <v>0</v>
      </c>
      <c r="Q75" s="69">
        <f t="shared" si="13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B75" s="66"/>
      <c r="AC75" s="66"/>
    </row>
    <row r="76" spans="1:29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12"/>
        <v>29409.79</v>
      </c>
      <c r="O76" s="66">
        <f t="shared" si="12"/>
        <v>27007</v>
      </c>
      <c r="P76" s="69">
        <f t="shared" si="13"/>
        <v>9803.2633333333342</v>
      </c>
      <c r="Q76" s="69">
        <f t="shared" si="13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B76" s="66"/>
      <c r="AC76" s="66"/>
    </row>
    <row r="77" spans="1:29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12"/>
        <v>3458.77</v>
      </c>
      <c r="O77" s="66">
        <f t="shared" si="12"/>
        <v>7965</v>
      </c>
      <c r="P77" s="69">
        <f t="shared" si="13"/>
        <v>1152.9233333333334</v>
      </c>
      <c r="Q77" s="69">
        <f t="shared" si="13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B77" s="66"/>
      <c r="AC77" s="66"/>
    </row>
    <row r="78" spans="1:29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12"/>
        <v>21632.07</v>
      </c>
      <c r="O78" s="66">
        <f t="shared" si="12"/>
        <v>25676</v>
      </c>
      <c r="P78" s="69">
        <f t="shared" si="13"/>
        <v>7210.69</v>
      </c>
      <c r="Q78" s="69">
        <f t="shared" si="13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B78" s="66"/>
      <c r="AC78" s="66"/>
    </row>
    <row r="79" spans="1:29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12"/>
        <v>966</v>
      </c>
      <c r="O79" s="66">
        <f t="shared" si="12"/>
        <v>3588</v>
      </c>
      <c r="P79" s="69">
        <f t="shared" si="13"/>
        <v>322</v>
      </c>
      <c r="Q79" s="69">
        <f t="shared" si="13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B79" s="66"/>
      <c r="AC79" s="66"/>
    </row>
    <row r="80" spans="1:29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12"/>
        <v>0</v>
      </c>
      <c r="O80" s="66">
        <f t="shared" si="12"/>
        <v>3901</v>
      </c>
      <c r="P80" s="69">
        <f t="shared" si="13"/>
        <v>0</v>
      </c>
      <c r="Q80" s="69">
        <f t="shared" si="13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B80" s="66"/>
      <c r="AC80" s="66"/>
    </row>
    <row r="81" spans="1:29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13"/>
        <v>0</v>
      </c>
      <c r="Q81" s="69">
        <f t="shared" si="13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B81" s="66"/>
      <c r="AC81" s="66"/>
    </row>
    <row r="82" spans="1:29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14">ROUND(H82+J82+L82,5)</f>
        <v>0</v>
      </c>
      <c r="O82" s="66">
        <f t="shared" si="14"/>
        <v>0</v>
      </c>
      <c r="P82" s="69">
        <f t="shared" si="13"/>
        <v>0</v>
      </c>
      <c r="Q82" s="69">
        <f t="shared" si="13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B82" s="66"/>
      <c r="AC82" s="66"/>
    </row>
    <row r="83" spans="1:29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14"/>
        <v>0</v>
      </c>
      <c r="O83" s="73">
        <f t="shared" si="14"/>
        <v>0</v>
      </c>
      <c r="P83" s="74">
        <f t="shared" si="13"/>
        <v>0</v>
      </c>
      <c r="Q83" s="74">
        <f t="shared" si="13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B83" s="73"/>
      <c r="AC83" s="73"/>
    </row>
    <row r="84" spans="1:29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15">ROUND(SUM(H72:H83),5)</f>
        <v>39159.980000000003</v>
      </c>
      <c r="I84" s="63">
        <f t="shared" si="15"/>
        <v>39468</v>
      </c>
      <c r="J84" s="64">
        <f t="shared" si="15"/>
        <v>32291.99</v>
      </c>
      <c r="K84" s="64">
        <f t="shared" si="15"/>
        <v>31248</v>
      </c>
      <c r="L84" s="65">
        <f t="shared" si="15"/>
        <v>35379.879999999997</v>
      </c>
      <c r="M84" s="65">
        <f t="shared" si="15"/>
        <v>68481</v>
      </c>
      <c r="N84" s="66">
        <f t="shared" si="14"/>
        <v>106831.85</v>
      </c>
      <c r="O84" s="66">
        <f t="shared" si="14"/>
        <v>139197</v>
      </c>
      <c r="P84" s="69">
        <f t="shared" si="13"/>
        <v>35610.616666666669</v>
      </c>
      <c r="Q84" s="69">
        <f t="shared" si="13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B84" s="66">
        <f>ROUND(SUM(AB72:AB83),5)</f>
        <v>0</v>
      </c>
      <c r="AC84" s="66">
        <f>ROUND(SUM(AC72:AC83),5)</f>
        <v>0</v>
      </c>
    </row>
    <row r="85" spans="1:29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B85" s="66"/>
      <c r="AC85" s="66"/>
    </row>
    <row r="86" spans="1:29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16">ROUND(H86+J86+L86,5)</f>
        <v>41055.360000000001</v>
      </c>
      <c r="O86" s="66">
        <f t="shared" si="16"/>
        <v>61593</v>
      </c>
      <c r="P86" s="69">
        <f t="shared" si="13"/>
        <v>13685.12</v>
      </c>
      <c r="Q86" s="69">
        <f t="shared" si="13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B86" s="66"/>
      <c r="AC86" s="66"/>
    </row>
    <row r="87" spans="1:29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16"/>
        <v>4557.07</v>
      </c>
      <c r="O87" s="66">
        <f t="shared" si="16"/>
        <v>5852</v>
      </c>
      <c r="P87" s="69">
        <f t="shared" si="13"/>
        <v>1519.0233333333333</v>
      </c>
      <c r="Q87" s="69">
        <f t="shared" si="13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B87" s="66"/>
      <c r="AC87" s="66"/>
    </row>
    <row r="88" spans="1:29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16"/>
        <v>9699</v>
      </c>
      <c r="O88" s="66">
        <f t="shared" si="16"/>
        <v>58996</v>
      </c>
      <c r="P88" s="69">
        <f t="shared" si="13"/>
        <v>3233</v>
      </c>
      <c r="Q88" s="69">
        <f t="shared" si="13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B88" s="66"/>
      <c r="AC88" s="66"/>
    </row>
    <row r="89" spans="1:29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16"/>
        <v>4967.9799999999996</v>
      </c>
      <c r="O89" s="73">
        <f t="shared" si="16"/>
        <v>15466</v>
      </c>
      <c r="P89" s="74">
        <f t="shared" si="13"/>
        <v>1655.9933333333331</v>
      </c>
      <c r="Q89" s="74">
        <f t="shared" si="13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B89" s="73"/>
      <c r="AC89" s="73"/>
    </row>
    <row r="90" spans="1:29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17">ROUND(SUM(H85:H89),5)</f>
        <v>20271.38</v>
      </c>
      <c r="I90" s="63">
        <f t="shared" si="17"/>
        <v>42055</v>
      </c>
      <c r="J90" s="64">
        <f t="shared" si="17"/>
        <v>14973.03</v>
      </c>
      <c r="K90" s="64">
        <f t="shared" si="17"/>
        <v>58944</v>
      </c>
      <c r="L90" s="65">
        <f t="shared" si="17"/>
        <v>25035</v>
      </c>
      <c r="M90" s="65">
        <f t="shared" si="17"/>
        <v>40908</v>
      </c>
      <c r="N90" s="66">
        <f t="shared" si="16"/>
        <v>60279.41</v>
      </c>
      <c r="O90" s="66">
        <f t="shared" si="16"/>
        <v>141907</v>
      </c>
      <c r="P90" s="69">
        <f t="shared" si="13"/>
        <v>20093.136666666669</v>
      </c>
      <c r="Q90" s="69">
        <f t="shared" si="13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B90" s="66">
        <f>ROUND(SUM(AB85:AB89),5)</f>
        <v>0</v>
      </c>
      <c r="AC90" s="66">
        <f>ROUND(SUM(AC85:AC89),5)</f>
        <v>0</v>
      </c>
    </row>
    <row r="91" spans="1:29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B91" s="66"/>
      <c r="AC91" s="66"/>
    </row>
    <row r="92" spans="1:29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18">ROUND(H92+J92+L92,5)</f>
        <v>108862.85</v>
      </c>
      <c r="O92" s="66">
        <f t="shared" si="18"/>
        <v>69579</v>
      </c>
      <c r="P92" s="69">
        <f t="shared" si="13"/>
        <v>36287.616666666669</v>
      </c>
      <c r="Q92" s="69">
        <f t="shared" si="13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B92" s="66"/>
      <c r="AC92" s="66"/>
    </row>
    <row r="93" spans="1:29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18"/>
        <v>14518.12</v>
      </c>
      <c r="O93" s="66">
        <f t="shared" si="18"/>
        <v>19733</v>
      </c>
      <c r="P93" s="69">
        <f t="shared" si="13"/>
        <v>4839.3733333333339</v>
      </c>
      <c r="Q93" s="69">
        <f t="shared" si="13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B93" s="66"/>
      <c r="AC93" s="66"/>
    </row>
    <row r="94" spans="1:29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18"/>
        <v>43484.49</v>
      </c>
      <c r="O94" s="66">
        <f t="shared" si="18"/>
        <v>62432</v>
      </c>
      <c r="P94" s="69">
        <f t="shared" si="13"/>
        <v>14494.83</v>
      </c>
      <c r="Q94" s="69">
        <f t="shared" si="13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B94" s="66"/>
      <c r="AC94" s="66"/>
    </row>
    <row r="95" spans="1:29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18"/>
        <v>4211.0600000000004</v>
      </c>
      <c r="O95" s="66">
        <f t="shared" si="18"/>
        <v>13454</v>
      </c>
      <c r="P95" s="69">
        <f t="shared" si="13"/>
        <v>1403.6866666666667</v>
      </c>
      <c r="Q95" s="69">
        <f t="shared" si="13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B95" s="66"/>
      <c r="AC95" s="66"/>
    </row>
    <row r="96" spans="1:29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18"/>
        <v>49443.53</v>
      </c>
      <c r="O96" s="66">
        <f t="shared" si="18"/>
        <v>34119</v>
      </c>
      <c r="P96" s="69">
        <f t="shared" si="13"/>
        <v>16481.176666666666</v>
      </c>
      <c r="Q96" s="69">
        <f t="shared" si="13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B96" s="66"/>
      <c r="AC96" s="66"/>
    </row>
    <row r="97" spans="1:29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18"/>
        <v>5328.03</v>
      </c>
      <c r="O97" s="66">
        <f t="shared" si="18"/>
        <v>7526</v>
      </c>
      <c r="P97" s="69">
        <f t="shared" si="13"/>
        <v>1776.01</v>
      </c>
      <c r="Q97" s="69">
        <f t="shared" si="13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B97" s="66"/>
      <c r="AC97" s="66"/>
    </row>
    <row r="98" spans="1:29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18"/>
        <v>63633.29</v>
      </c>
      <c r="O98" s="66">
        <f t="shared" si="18"/>
        <v>69145</v>
      </c>
      <c r="P98" s="69">
        <f t="shared" si="13"/>
        <v>21211.096666666668</v>
      </c>
      <c r="Q98" s="69">
        <f t="shared" si="13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B98" s="66"/>
      <c r="AC98" s="66"/>
    </row>
    <row r="99" spans="1:29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18"/>
        <v>7554.05</v>
      </c>
      <c r="O99" s="66">
        <f t="shared" si="18"/>
        <v>16058</v>
      </c>
      <c r="P99" s="69">
        <f t="shared" si="13"/>
        <v>2518.0166666666669</v>
      </c>
      <c r="Q99" s="69">
        <f t="shared" si="13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B99" s="66"/>
      <c r="AC99" s="66"/>
    </row>
    <row r="100" spans="1:29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18"/>
        <v>5514</v>
      </c>
      <c r="O100" s="66">
        <f t="shared" si="18"/>
        <v>12319</v>
      </c>
      <c r="P100" s="69">
        <f t="shared" si="13"/>
        <v>1838</v>
      </c>
      <c r="Q100" s="69">
        <f t="shared" si="13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B100" s="66"/>
      <c r="AC100" s="66"/>
    </row>
    <row r="101" spans="1:29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B101" s="73"/>
      <c r="AC101" s="73"/>
    </row>
    <row r="102" spans="1:29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19">ROUND(SUM(H91:H100),5)</f>
        <v>81944.17</v>
      </c>
      <c r="I102" s="63">
        <f t="shared" si="19"/>
        <v>70005</v>
      </c>
      <c r="J102" s="64">
        <f t="shared" si="19"/>
        <v>112983.21</v>
      </c>
      <c r="K102" s="64">
        <f t="shared" si="19"/>
        <v>122376</v>
      </c>
      <c r="L102" s="65">
        <f t="shared" si="19"/>
        <v>107622.04</v>
      </c>
      <c r="M102" s="65">
        <f t="shared" si="19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13"/>
        <v>100849.80666666666</v>
      </c>
      <c r="Q102" s="69">
        <f t="shared" si="13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B102" s="66">
        <f>ROUND(SUM(AB91:AB101),5)</f>
        <v>0</v>
      </c>
      <c r="AC102" s="66">
        <f>ROUND(SUM(AC91:AC101),5)</f>
        <v>0</v>
      </c>
    </row>
    <row r="103" spans="1:29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13"/>
        <v>0</v>
      </c>
      <c r="Q103" s="69">
        <f t="shared" si="13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B103" s="66"/>
      <c r="AC103" s="66"/>
    </row>
    <row r="104" spans="1:29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20">ROUND(H104+J104+L104,5)</f>
        <v>74439.240000000005</v>
      </c>
      <c r="O104" s="66">
        <f t="shared" si="20"/>
        <v>63264</v>
      </c>
      <c r="P104" s="69">
        <f t="shared" si="13"/>
        <v>24813.08</v>
      </c>
      <c r="Q104" s="69">
        <f t="shared" si="13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B104" s="66"/>
      <c r="AC104" s="66"/>
    </row>
    <row r="105" spans="1:29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20"/>
        <v>13570.83</v>
      </c>
      <c r="O105" s="66">
        <f t="shared" si="20"/>
        <v>26229</v>
      </c>
      <c r="P105" s="69">
        <f t="shared" si="13"/>
        <v>4523.6099999999997</v>
      </c>
      <c r="Q105" s="69">
        <f t="shared" si="13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B105" s="66"/>
      <c r="AC105" s="66"/>
    </row>
    <row r="106" spans="1:29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20"/>
        <v>31132.720000000001</v>
      </c>
      <c r="O106" s="66">
        <f t="shared" si="20"/>
        <v>23118</v>
      </c>
      <c r="P106" s="69">
        <f t="shared" si="13"/>
        <v>10377.573333333334</v>
      </c>
      <c r="Q106" s="69">
        <f t="shared" si="13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B106" s="66"/>
      <c r="AC106" s="66"/>
    </row>
    <row r="107" spans="1:29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20"/>
        <v>5105.97</v>
      </c>
      <c r="O107" s="66">
        <f t="shared" si="20"/>
        <v>7489</v>
      </c>
      <c r="P107" s="69">
        <f t="shared" si="13"/>
        <v>1701.99</v>
      </c>
      <c r="Q107" s="69">
        <f t="shared" si="13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B107" s="66"/>
      <c r="AC107" s="66"/>
    </row>
    <row r="108" spans="1:29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20"/>
        <v>60762.3</v>
      </c>
      <c r="O108" s="66">
        <f t="shared" si="20"/>
        <v>41781</v>
      </c>
      <c r="P108" s="69">
        <f t="shared" si="13"/>
        <v>20254.100000000002</v>
      </c>
      <c r="Q108" s="69">
        <f t="shared" si="13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B108" s="66"/>
      <c r="AC108" s="66"/>
    </row>
    <row r="109" spans="1:29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20"/>
        <v>20355.89</v>
      </c>
      <c r="O109" s="66">
        <f t="shared" si="20"/>
        <v>5382</v>
      </c>
      <c r="P109" s="69">
        <f t="shared" si="13"/>
        <v>6785.2966666666662</v>
      </c>
      <c r="Q109" s="69">
        <f t="shared" si="13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B109" s="66"/>
      <c r="AC109" s="66"/>
    </row>
    <row r="110" spans="1:29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20"/>
        <v>3399.97</v>
      </c>
      <c r="O110" s="66">
        <f t="shared" si="20"/>
        <v>0</v>
      </c>
      <c r="P110" s="69">
        <f t="shared" si="13"/>
        <v>1133.3233333333333</v>
      </c>
      <c r="Q110" s="69">
        <f t="shared" si="13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B110" s="66"/>
      <c r="AC110" s="66"/>
    </row>
    <row r="111" spans="1:29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21">ROUND(SUM(H103:H110),5)</f>
        <v>59018.03</v>
      </c>
      <c r="I111" s="75">
        <f t="shared" si="21"/>
        <v>31525</v>
      </c>
      <c r="J111" s="76">
        <f t="shared" si="21"/>
        <v>66518.98</v>
      </c>
      <c r="K111" s="76">
        <f t="shared" si="21"/>
        <v>44976</v>
      </c>
      <c r="L111" s="77">
        <f t="shared" si="21"/>
        <v>83229.91</v>
      </c>
      <c r="M111" s="77">
        <f t="shared" si="21"/>
        <v>90762</v>
      </c>
      <c r="N111" s="78">
        <f t="shared" si="20"/>
        <v>208766.92</v>
      </c>
      <c r="O111" s="78">
        <f t="shared" si="20"/>
        <v>167263</v>
      </c>
      <c r="P111" s="79">
        <f t="shared" si="13"/>
        <v>69588.973333333342</v>
      </c>
      <c r="Q111" s="79">
        <f t="shared" si="13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B111" s="78">
        <f>ROUND(SUM(AB103:AB110),5)</f>
        <v>0</v>
      </c>
      <c r="AC111" s="78">
        <f>ROUND(SUM(AC103:AC110),5)</f>
        <v>0</v>
      </c>
    </row>
    <row r="112" spans="1:29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13"/>
        <v>0</v>
      </c>
      <c r="Q112" s="69">
        <f t="shared" si="13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B112" s="66"/>
      <c r="AC112" s="66"/>
    </row>
    <row r="113" spans="1:29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22">ROUND(H113+J113+L113,5)</f>
        <v>453828.9</v>
      </c>
      <c r="O113" s="66">
        <f t="shared" si="22"/>
        <v>406218</v>
      </c>
      <c r="P113" s="69">
        <f t="shared" si="13"/>
        <v>151276.30000000002</v>
      </c>
      <c r="Q113" s="69">
        <f t="shared" si="13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B113" s="66">
        <v>0</v>
      </c>
      <c r="AC113" s="66">
        <v>0</v>
      </c>
    </row>
    <row r="114" spans="1:29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22"/>
        <v>0</v>
      </c>
      <c r="O114" s="73">
        <f t="shared" si="22"/>
        <v>0</v>
      </c>
      <c r="P114" s="74">
        <f t="shared" si="13"/>
        <v>0</v>
      </c>
      <c r="Q114" s="74">
        <f t="shared" si="13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B114" s="66">
        <v>0</v>
      </c>
      <c r="AC114" s="66">
        <v>0</v>
      </c>
    </row>
    <row r="115" spans="1:29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23">ROUND(SUM(H112:H114),5)</f>
        <v>57491.4</v>
      </c>
      <c r="I115" s="63">
        <f t="shared" si="23"/>
        <v>406218</v>
      </c>
      <c r="J115" s="64">
        <f t="shared" si="23"/>
        <v>150471.5</v>
      </c>
      <c r="K115" s="64">
        <f t="shared" si="23"/>
        <v>0</v>
      </c>
      <c r="L115" s="65">
        <f t="shared" si="23"/>
        <v>245866</v>
      </c>
      <c r="M115" s="65">
        <f t="shared" si="23"/>
        <v>0</v>
      </c>
      <c r="N115" s="66">
        <f t="shared" si="22"/>
        <v>453828.9</v>
      </c>
      <c r="O115" s="66">
        <f t="shared" si="22"/>
        <v>406218</v>
      </c>
      <c r="P115" s="69">
        <f t="shared" si="13"/>
        <v>151276.30000000002</v>
      </c>
      <c r="Q115" s="69">
        <f t="shared" si="13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B115" s="73">
        <v>0</v>
      </c>
      <c r="AC115" s="73">
        <v>0</v>
      </c>
    </row>
    <row r="116" spans="1:29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24">ROUND(H8+H15+H39+H45+SUM(H62:H63)+H71+H84+H90+H102+H111+SUM(H115:H115),5)</f>
        <v>760409.73</v>
      </c>
      <c r="I116" s="75">
        <f t="shared" si="24"/>
        <v>912984</v>
      </c>
      <c r="J116" s="76">
        <f t="shared" si="24"/>
        <v>855809.22</v>
      </c>
      <c r="K116" s="76">
        <f t="shared" si="24"/>
        <v>904615.38</v>
      </c>
      <c r="L116" s="77">
        <f t="shared" si="24"/>
        <v>1036241.61</v>
      </c>
      <c r="M116" s="77">
        <f t="shared" si="24"/>
        <v>926829</v>
      </c>
      <c r="N116" s="78">
        <f t="shared" si="22"/>
        <v>2652460.56</v>
      </c>
      <c r="O116" s="78">
        <f t="shared" si="22"/>
        <v>2744428.38</v>
      </c>
      <c r="P116" s="79">
        <f t="shared" si="13"/>
        <v>884153.52</v>
      </c>
      <c r="Q116" s="79">
        <f t="shared" si="13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B116" s="80">
        <f>ROUND(AB8+AB15+AB39+AB45+SUM(AB62:AB63)+AB71+AB84+AB90+AB102+AB111+SUM(AB115:AB115),5)</f>
        <v>960784.8</v>
      </c>
      <c r="AC116" s="80">
        <f>ROUND(AC8+AC15+AC39+AC45+SUM(AC62:AC63)+AC71+AC84+AC90+AC102+AC111+SUM(AC115:AC115),5)</f>
        <v>960784.8</v>
      </c>
    </row>
    <row r="117" spans="1:29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13"/>
        <v>0</v>
      </c>
      <c r="Q117" s="69">
        <f t="shared" si="13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B117" s="66"/>
      <c r="AC117" s="66"/>
    </row>
    <row r="118" spans="1:29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13"/>
        <v>0</v>
      </c>
      <c r="Q118" s="69">
        <f t="shared" si="13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B118" s="66">
        <v>1043950</v>
      </c>
      <c r="AC118" s="66">
        <v>1043950</v>
      </c>
    </row>
    <row r="119" spans="1:29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25">ROUND(H119+J119+L119,5)</f>
        <v>488400</v>
      </c>
      <c r="O119" s="66">
        <f t="shared" si="25"/>
        <v>485585</v>
      </c>
      <c r="P119" s="69">
        <f t="shared" si="13"/>
        <v>162800</v>
      </c>
      <c r="Q119" s="69">
        <f t="shared" si="13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B119" s="66"/>
      <c r="AC119" s="66"/>
    </row>
    <row r="120" spans="1:29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25"/>
        <v>399075</v>
      </c>
      <c r="O120" s="66">
        <f t="shared" si="25"/>
        <v>126010</v>
      </c>
      <c r="P120" s="69">
        <f t="shared" si="13"/>
        <v>133025</v>
      </c>
      <c r="Q120" s="69">
        <f t="shared" si="13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B120" s="66"/>
      <c r="AC120" s="66"/>
    </row>
    <row r="121" spans="1:29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25"/>
        <v>265</v>
      </c>
      <c r="O121" s="66">
        <f t="shared" si="25"/>
        <v>0</v>
      </c>
      <c r="P121" s="69">
        <f t="shared" si="13"/>
        <v>88.333333333333329</v>
      </c>
      <c r="Q121" s="69">
        <f t="shared" si="13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B121" s="66"/>
      <c r="AC121" s="66"/>
    </row>
    <row r="122" spans="1:29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25"/>
        <v>265</v>
      </c>
      <c r="O122" s="66">
        <f t="shared" si="25"/>
        <v>91390</v>
      </c>
      <c r="P122" s="69">
        <f t="shared" si="13"/>
        <v>88.333333333333329</v>
      </c>
      <c r="Q122" s="69">
        <f t="shared" si="13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B122" s="66"/>
      <c r="AC122" s="66"/>
    </row>
    <row r="123" spans="1:29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25"/>
        <v>98830</v>
      </c>
      <c r="O123" s="66">
        <f t="shared" si="25"/>
        <v>125165</v>
      </c>
      <c r="P123" s="69">
        <f t="shared" si="13"/>
        <v>32943.333333333336</v>
      </c>
      <c r="Q123" s="69">
        <f t="shared" si="13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B123" s="66"/>
      <c r="AC123" s="66"/>
    </row>
    <row r="124" spans="1:29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26">ROUND(SUM(H118:H123),5)</f>
        <v>322815</v>
      </c>
      <c r="I124" s="75">
        <f t="shared" si="26"/>
        <v>280085</v>
      </c>
      <c r="J124" s="76">
        <f t="shared" si="26"/>
        <v>327395</v>
      </c>
      <c r="K124" s="76">
        <f t="shared" si="26"/>
        <v>231075</v>
      </c>
      <c r="L124" s="77">
        <f t="shared" si="26"/>
        <v>336625</v>
      </c>
      <c r="M124" s="77">
        <f t="shared" si="26"/>
        <v>316990</v>
      </c>
      <c r="N124" s="78">
        <f t="shared" si="25"/>
        <v>986835</v>
      </c>
      <c r="O124" s="78">
        <f t="shared" si="25"/>
        <v>828150</v>
      </c>
      <c r="P124" s="79">
        <f t="shared" si="13"/>
        <v>328945</v>
      </c>
      <c r="Q124" s="79">
        <f t="shared" si="13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B124" s="78">
        <f>ROUND(SUM(AB118:AB123),5)</f>
        <v>1043950</v>
      </c>
      <c r="AC124" s="78">
        <f>ROUND(SUM(AC118:AC123),5)</f>
        <v>1043950</v>
      </c>
    </row>
    <row r="125" spans="1:29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13"/>
        <v>0</v>
      </c>
      <c r="Q125" s="69">
        <f t="shared" si="13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B125" s="66"/>
      <c r="AC125" s="66"/>
    </row>
    <row r="126" spans="1:29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27">ROUND(H126+J126+L126,5)</f>
        <v>294615</v>
      </c>
      <c r="O126" s="66">
        <f t="shared" si="27"/>
        <v>236035</v>
      </c>
      <c r="P126" s="69">
        <f t="shared" si="13"/>
        <v>98205</v>
      </c>
      <c r="Q126" s="69">
        <f t="shared" si="13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B126" s="66"/>
      <c r="AC126" s="66"/>
    </row>
    <row r="127" spans="1:29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27"/>
        <v>96940</v>
      </c>
      <c r="O127" s="66">
        <f t="shared" si="27"/>
        <v>135795</v>
      </c>
      <c r="P127" s="69">
        <f t="shared" si="13"/>
        <v>32313.333333333332</v>
      </c>
      <c r="Q127" s="69">
        <f t="shared" si="13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B127" s="66"/>
      <c r="AC127" s="66"/>
    </row>
    <row r="128" spans="1:29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27"/>
        <v>69790</v>
      </c>
      <c r="O128" s="66">
        <f t="shared" si="27"/>
        <v>111720</v>
      </c>
      <c r="P128" s="69">
        <f t="shared" si="13"/>
        <v>23263.333333333332</v>
      </c>
      <c r="Q128" s="69">
        <f t="shared" si="13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B128" s="66"/>
      <c r="AC128" s="66"/>
    </row>
    <row r="129" spans="1:29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27"/>
        <v>81000</v>
      </c>
      <c r="O129" s="73">
        <f t="shared" si="27"/>
        <v>99880</v>
      </c>
      <c r="P129" s="74">
        <f t="shared" si="13"/>
        <v>27000</v>
      </c>
      <c r="Q129" s="74">
        <f t="shared" si="13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B129" s="73"/>
      <c r="AC129" s="73"/>
    </row>
    <row r="130" spans="1:29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28">ROUND(SUM(H125:H129),5)</f>
        <v>172910</v>
      </c>
      <c r="I130" s="63">
        <f t="shared" si="28"/>
        <v>222395</v>
      </c>
      <c r="J130" s="64">
        <f t="shared" si="28"/>
        <v>180035</v>
      </c>
      <c r="K130" s="64">
        <f t="shared" si="28"/>
        <v>178545</v>
      </c>
      <c r="L130" s="65">
        <f t="shared" si="28"/>
        <v>189400</v>
      </c>
      <c r="M130" s="65">
        <f t="shared" si="28"/>
        <v>182490</v>
      </c>
      <c r="N130" s="66">
        <f t="shared" si="27"/>
        <v>542345</v>
      </c>
      <c r="O130" s="66">
        <f t="shared" si="27"/>
        <v>583430</v>
      </c>
      <c r="P130" s="69">
        <f t="shared" si="13"/>
        <v>180781.66666666666</v>
      </c>
      <c r="Q130" s="69">
        <f t="shared" si="13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B130" s="66">
        <f>ROUND(SUM(AB125:AB129),5)</f>
        <v>0</v>
      </c>
      <c r="AC130" s="66">
        <f>ROUND(SUM(AC125:AC129),5)</f>
        <v>0</v>
      </c>
    </row>
    <row r="131" spans="1:29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13"/>
        <v>0</v>
      </c>
      <c r="Q131" s="69">
        <f t="shared" si="13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B131" s="66"/>
      <c r="AC131" s="66"/>
    </row>
    <row r="132" spans="1:29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29">ROUND(H132+J132+L132,5)</f>
        <v>59355</v>
      </c>
      <c r="O132" s="66">
        <f t="shared" si="29"/>
        <v>117110</v>
      </c>
      <c r="P132" s="69">
        <f t="shared" si="13"/>
        <v>19785</v>
      </c>
      <c r="Q132" s="69">
        <f t="shared" si="13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B132" s="66"/>
      <c r="AC132" s="66"/>
    </row>
    <row r="133" spans="1:29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29"/>
        <v>22765</v>
      </c>
      <c r="O133" s="66">
        <f t="shared" si="29"/>
        <v>58385</v>
      </c>
      <c r="P133" s="69">
        <f t="shared" si="13"/>
        <v>7588.333333333333</v>
      </c>
      <c r="Q133" s="69">
        <f t="shared" si="13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B133" s="66"/>
      <c r="AC133" s="66"/>
    </row>
    <row r="134" spans="1:29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29"/>
        <v>55100</v>
      </c>
      <c r="O134" s="73">
        <f t="shared" si="29"/>
        <v>63285</v>
      </c>
      <c r="P134" s="74">
        <f t="shared" si="13"/>
        <v>18366.666666666668</v>
      </c>
      <c r="Q134" s="74">
        <f t="shared" si="13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B134" s="73"/>
      <c r="AC134" s="73"/>
    </row>
    <row r="135" spans="1:29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30">ROUND(SUM(H131:H134),5)</f>
        <v>47660</v>
      </c>
      <c r="I135" s="63">
        <f t="shared" si="30"/>
        <v>89480</v>
      </c>
      <c r="J135" s="64">
        <f t="shared" si="30"/>
        <v>50325</v>
      </c>
      <c r="K135" s="64">
        <f t="shared" si="30"/>
        <v>95015</v>
      </c>
      <c r="L135" s="65">
        <f t="shared" si="30"/>
        <v>39235</v>
      </c>
      <c r="M135" s="65">
        <f t="shared" si="30"/>
        <v>54285</v>
      </c>
      <c r="N135" s="66">
        <f t="shared" si="29"/>
        <v>137220</v>
      </c>
      <c r="O135" s="66">
        <f t="shared" si="29"/>
        <v>238780</v>
      </c>
      <c r="P135" s="69">
        <f t="shared" si="13"/>
        <v>45740</v>
      </c>
      <c r="Q135" s="69">
        <f t="shared" si="13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B135" s="66">
        <f>ROUND(SUM(AB131:AB134),5)</f>
        <v>0</v>
      </c>
      <c r="AC135" s="66">
        <f>ROUND(SUM(AC131:AC134),5)</f>
        <v>0</v>
      </c>
    </row>
    <row r="136" spans="1:29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13"/>
        <v>0</v>
      </c>
      <c r="Q136" s="69">
        <f t="shared" si="13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B136" s="66"/>
      <c r="AC136" s="66"/>
    </row>
    <row r="137" spans="1:29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31">ROUND(H137+J137+L137,5)</f>
        <v>139495</v>
      </c>
      <c r="O137" s="66">
        <f t="shared" si="31"/>
        <v>160315</v>
      </c>
      <c r="P137" s="69">
        <f t="shared" si="13"/>
        <v>46498.333333333336</v>
      </c>
      <c r="Q137" s="69">
        <f t="shared" si="13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B137" s="66"/>
      <c r="AC137" s="66"/>
    </row>
    <row r="138" spans="1:29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31"/>
        <v>11925</v>
      </c>
      <c r="O138" s="66">
        <f t="shared" si="31"/>
        <v>57525</v>
      </c>
      <c r="P138" s="69">
        <f t="shared" ref="P138:Q198" si="32">N138/3</f>
        <v>3975</v>
      </c>
      <c r="Q138" s="69">
        <f t="shared" si="32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B138" s="66"/>
      <c r="AC138" s="66"/>
    </row>
    <row r="139" spans="1:29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31"/>
        <v>54560</v>
      </c>
      <c r="O139" s="66">
        <f t="shared" si="31"/>
        <v>80605</v>
      </c>
      <c r="P139" s="69">
        <f t="shared" si="32"/>
        <v>18186.666666666668</v>
      </c>
      <c r="Q139" s="69">
        <f t="shared" si="32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B139" s="66"/>
      <c r="AC139" s="66"/>
    </row>
    <row r="140" spans="1:29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31"/>
        <v>35915</v>
      </c>
      <c r="O140" s="73">
        <f t="shared" si="31"/>
        <v>52710</v>
      </c>
      <c r="P140" s="74">
        <f t="shared" si="32"/>
        <v>11971.666666666666</v>
      </c>
      <c r="Q140" s="74">
        <f t="shared" si="32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B140" s="73"/>
      <c r="AC140" s="73"/>
    </row>
    <row r="141" spans="1:29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33">ROUND(SUM(H136:H140),5)</f>
        <v>92055</v>
      </c>
      <c r="I141" s="63">
        <f t="shared" si="33"/>
        <v>121215</v>
      </c>
      <c r="J141" s="64">
        <f t="shared" si="33"/>
        <v>73370</v>
      </c>
      <c r="K141" s="64">
        <f t="shared" si="33"/>
        <v>124725</v>
      </c>
      <c r="L141" s="65">
        <f t="shared" si="33"/>
        <v>76470</v>
      </c>
      <c r="M141" s="65">
        <f t="shared" si="33"/>
        <v>105215</v>
      </c>
      <c r="N141" s="66">
        <f t="shared" si="31"/>
        <v>241895</v>
      </c>
      <c r="O141" s="66">
        <f t="shared" si="31"/>
        <v>351155</v>
      </c>
      <c r="P141" s="69">
        <f t="shared" si="32"/>
        <v>80631.666666666672</v>
      </c>
      <c r="Q141" s="69">
        <f t="shared" si="32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B141" s="66">
        <f>ROUND(SUM(AB136:AB140),5)</f>
        <v>0</v>
      </c>
      <c r="AC141" s="66">
        <f>ROUND(SUM(AC136:AC140),5)</f>
        <v>0</v>
      </c>
    </row>
    <row r="142" spans="1:29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32"/>
        <v>0</v>
      </c>
      <c r="Q142" s="69">
        <f t="shared" si="32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B142" s="66"/>
      <c r="AC142" s="66"/>
    </row>
    <row r="143" spans="1:29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32"/>
        <v>-129721.66666666667</v>
      </c>
      <c r="Q143" s="74">
        <f t="shared" si="32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B143" s="73">
        <v>-116261.69</v>
      </c>
      <c r="AC143" s="73">
        <v>-116261.69</v>
      </c>
    </row>
    <row r="144" spans="1:29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34">ROUND(SUM(H142:H143),5)</f>
        <v>-125650</v>
      </c>
      <c r="I144" s="63">
        <f t="shared" si="34"/>
        <v>-126150</v>
      </c>
      <c r="J144" s="64">
        <f t="shared" si="34"/>
        <v>-133460</v>
      </c>
      <c r="K144" s="64">
        <f t="shared" si="34"/>
        <v>-130115.02</v>
      </c>
      <c r="L144" s="65">
        <f t="shared" si="34"/>
        <v>-130055</v>
      </c>
      <c r="M144" s="65">
        <f t="shared" si="34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32"/>
        <v>-129721.66666666667</v>
      </c>
      <c r="Q144" s="69">
        <f t="shared" si="32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B144" s="66">
        <f>ROUND(SUM(AB142:AB143),5)</f>
        <v>-116261.69</v>
      </c>
      <c r="AC144" s="66">
        <f>ROUND(SUM(AC142:AC143),5)</f>
        <v>-116261.69</v>
      </c>
    </row>
    <row r="145" spans="1:30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32"/>
        <v>0</v>
      </c>
      <c r="Q145" s="69">
        <f t="shared" si="32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B145" s="66"/>
      <c r="AC145" s="66"/>
      <c r="AD145" s="81"/>
    </row>
    <row r="146" spans="1:30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35">ROUND(H146+J146+L146,5)</f>
        <v>15355</v>
      </c>
      <c r="O146" s="66">
        <f t="shared" si="35"/>
        <v>40980</v>
      </c>
      <c r="P146" s="69">
        <f t="shared" si="32"/>
        <v>5118.333333333333</v>
      </c>
      <c r="Q146" s="69">
        <f t="shared" si="32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B146" s="66"/>
      <c r="AC146" s="66"/>
    </row>
    <row r="147" spans="1:30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35"/>
        <v>11325</v>
      </c>
      <c r="O147" s="66">
        <f t="shared" si="35"/>
        <v>40155</v>
      </c>
      <c r="P147" s="69">
        <f t="shared" si="32"/>
        <v>3775</v>
      </c>
      <c r="Q147" s="69">
        <f t="shared" si="32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B147" s="66"/>
      <c r="AC147" s="66"/>
    </row>
    <row r="148" spans="1:30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35"/>
        <v>13910</v>
      </c>
      <c r="O148" s="66">
        <f t="shared" si="35"/>
        <v>41310</v>
      </c>
      <c r="P148" s="69">
        <f t="shared" si="32"/>
        <v>4636.666666666667</v>
      </c>
      <c r="Q148" s="69">
        <f t="shared" si="32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B148" s="66"/>
      <c r="AC148" s="66"/>
    </row>
    <row r="149" spans="1:30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35"/>
        <v>14095</v>
      </c>
      <c r="O149" s="66">
        <f t="shared" si="35"/>
        <v>40355</v>
      </c>
      <c r="P149" s="69">
        <f t="shared" si="32"/>
        <v>4698.333333333333</v>
      </c>
      <c r="Q149" s="69">
        <f t="shared" si="32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B149" s="66"/>
      <c r="AC149" s="66"/>
    </row>
    <row r="150" spans="1:30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35"/>
        <v>25215</v>
      </c>
      <c r="O150" s="73">
        <f t="shared" si="35"/>
        <v>66355</v>
      </c>
      <c r="P150" s="74">
        <f t="shared" si="32"/>
        <v>8405</v>
      </c>
      <c r="Q150" s="74">
        <f t="shared" si="32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B150" s="73"/>
      <c r="AC150" s="73"/>
    </row>
    <row r="151" spans="1:30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36">ROUND(SUM(H145:H150),5)</f>
        <v>28635</v>
      </c>
      <c r="I151" s="63">
        <f t="shared" si="36"/>
        <v>84725</v>
      </c>
      <c r="J151" s="64">
        <f t="shared" si="36"/>
        <v>25420</v>
      </c>
      <c r="K151" s="64">
        <f t="shared" si="36"/>
        <v>100435</v>
      </c>
      <c r="L151" s="65">
        <f t="shared" si="36"/>
        <v>25845</v>
      </c>
      <c r="M151" s="65">
        <f t="shared" si="36"/>
        <v>43995</v>
      </c>
      <c r="N151" s="66">
        <f t="shared" si="35"/>
        <v>79900</v>
      </c>
      <c r="O151" s="66">
        <f t="shared" si="35"/>
        <v>229155</v>
      </c>
      <c r="P151" s="69">
        <f t="shared" si="32"/>
        <v>26633.333333333332</v>
      </c>
      <c r="Q151" s="69">
        <f t="shared" si="32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B151" s="66">
        <f>ROUND(SUM(AB145:AB150),5)</f>
        <v>0</v>
      </c>
      <c r="AC151" s="66">
        <f>ROUND(SUM(AC145:AC150),5)</f>
        <v>0</v>
      </c>
    </row>
    <row r="152" spans="1:30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32"/>
        <v>0</v>
      </c>
      <c r="Q152" s="69">
        <f t="shared" si="32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B152" s="66"/>
      <c r="AC152" s="66"/>
    </row>
    <row r="153" spans="1:30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37">ROUND(H153+J153+L153,5)</f>
        <v>158780</v>
      </c>
      <c r="O153" s="66">
        <f t="shared" si="37"/>
        <v>106120</v>
      </c>
      <c r="P153" s="69">
        <f t="shared" si="32"/>
        <v>52926.666666666664</v>
      </c>
      <c r="Q153" s="69">
        <f t="shared" si="32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B153" s="66"/>
      <c r="AC153" s="66"/>
    </row>
    <row r="154" spans="1:30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37"/>
        <v>0</v>
      </c>
      <c r="O154" s="66">
        <f t="shared" si="37"/>
        <v>0</v>
      </c>
      <c r="P154" s="69">
        <f t="shared" si="32"/>
        <v>0</v>
      </c>
      <c r="Q154" s="69">
        <f t="shared" si="32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B154" s="66"/>
      <c r="AC154" s="66"/>
    </row>
    <row r="155" spans="1:30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37"/>
        <v>20005</v>
      </c>
      <c r="O155" s="73">
        <f t="shared" si="37"/>
        <v>57720</v>
      </c>
      <c r="P155" s="74">
        <f t="shared" si="32"/>
        <v>6668.333333333333</v>
      </c>
      <c r="Q155" s="74">
        <f t="shared" si="32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B155" s="73"/>
      <c r="AC155" s="73"/>
    </row>
    <row r="156" spans="1:30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38">ROUND(SUM(H152:H155),5)</f>
        <v>49410</v>
      </c>
      <c r="I156" s="63">
        <f t="shared" si="38"/>
        <v>53770</v>
      </c>
      <c r="J156" s="64">
        <f t="shared" si="38"/>
        <v>64775</v>
      </c>
      <c r="K156" s="64">
        <f t="shared" si="38"/>
        <v>53565</v>
      </c>
      <c r="L156" s="65">
        <f t="shared" si="38"/>
        <v>64600</v>
      </c>
      <c r="M156" s="65">
        <f t="shared" si="38"/>
        <v>56505</v>
      </c>
      <c r="N156" s="66">
        <f t="shared" si="37"/>
        <v>178785</v>
      </c>
      <c r="O156" s="66">
        <f t="shared" si="37"/>
        <v>163840</v>
      </c>
      <c r="P156" s="69">
        <f t="shared" si="32"/>
        <v>59595</v>
      </c>
      <c r="Q156" s="69">
        <f t="shared" si="32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B156" s="66">
        <f>ROUND(SUM(AB152:AB155),5)</f>
        <v>0</v>
      </c>
      <c r="AC156" s="66">
        <f>ROUND(SUM(AC152:AC155),5)</f>
        <v>0</v>
      </c>
    </row>
    <row r="157" spans="1:30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32"/>
        <v>0</v>
      </c>
      <c r="Q157" s="69">
        <f t="shared" si="32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B157" s="66"/>
      <c r="AC157" s="66"/>
    </row>
    <row r="158" spans="1:30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32"/>
        <v>44666.666666666664</v>
      </c>
      <c r="Q158" s="74">
        <f t="shared" si="32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B158" s="73"/>
      <c r="AC158" s="73"/>
    </row>
    <row r="159" spans="1:30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39">ROUND(SUM(H157:H158),5)</f>
        <v>40160</v>
      </c>
      <c r="I159" s="63">
        <f t="shared" si="39"/>
        <v>39540</v>
      </c>
      <c r="J159" s="64">
        <f t="shared" si="39"/>
        <v>42655</v>
      </c>
      <c r="K159" s="64">
        <f t="shared" si="39"/>
        <v>40060</v>
      </c>
      <c r="L159" s="65">
        <f t="shared" si="39"/>
        <v>51185</v>
      </c>
      <c r="M159" s="65">
        <f t="shared" si="39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32"/>
        <v>44666.666666666664</v>
      </c>
      <c r="Q159" s="69">
        <f t="shared" si="32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B159" s="66">
        <f>ROUND(SUM(AB157:AB158),5)</f>
        <v>0</v>
      </c>
      <c r="AC159" s="66">
        <f>ROUND(SUM(AC157:AC158),5)</f>
        <v>0</v>
      </c>
    </row>
    <row r="160" spans="1:30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32"/>
        <v>0</v>
      </c>
      <c r="Q160" s="69">
        <f t="shared" si="32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B160" s="66"/>
      <c r="AC160" s="66"/>
    </row>
    <row r="161" spans="1:30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40">ROUND(H161+J161+L161,5)</f>
        <v>246750</v>
      </c>
      <c r="O161" s="66">
        <f t="shared" si="40"/>
        <v>185670</v>
      </c>
      <c r="P161" s="69">
        <f t="shared" si="32"/>
        <v>82250</v>
      </c>
      <c r="Q161" s="69">
        <f t="shared" si="32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B161" s="66"/>
      <c r="AC161" s="66"/>
    </row>
    <row r="162" spans="1:30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40"/>
        <v>151865</v>
      </c>
      <c r="O162" s="66">
        <f t="shared" si="40"/>
        <v>108245</v>
      </c>
      <c r="P162" s="69">
        <f t="shared" si="32"/>
        <v>50621.666666666664</v>
      </c>
      <c r="Q162" s="69">
        <f t="shared" si="32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B162" s="66"/>
      <c r="AC162" s="66"/>
    </row>
    <row r="163" spans="1:30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40"/>
        <v>110740</v>
      </c>
      <c r="O163" s="73">
        <f t="shared" si="40"/>
        <v>97550</v>
      </c>
      <c r="P163" s="74">
        <f t="shared" si="32"/>
        <v>36913.333333333336</v>
      </c>
      <c r="Q163" s="74">
        <f t="shared" si="32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B163" s="73"/>
      <c r="AC163" s="73"/>
    </row>
    <row r="164" spans="1:30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41">ROUND(SUM(H160:H163),5)</f>
        <v>154940</v>
      </c>
      <c r="I164" s="63">
        <f t="shared" si="41"/>
        <v>123940</v>
      </c>
      <c r="J164" s="64">
        <f t="shared" si="41"/>
        <v>167910</v>
      </c>
      <c r="K164" s="64">
        <f t="shared" si="41"/>
        <v>108130</v>
      </c>
      <c r="L164" s="65">
        <f t="shared" si="41"/>
        <v>186505</v>
      </c>
      <c r="M164" s="65">
        <f t="shared" si="41"/>
        <v>159395</v>
      </c>
      <c r="N164" s="66">
        <f t="shared" si="40"/>
        <v>509355</v>
      </c>
      <c r="O164" s="66">
        <f t="shared" si="40"/>
        <v>391465</v>
      </c>
      <c r="P164" s="69">
        <f t="shared" si="32"/>
        <v>169785</v>
      </c>
      <c r="Q164" s="69">
        <f t="shared" si="32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B164" s="66">
        <f>ROUND(SUM(AB160:AB163),5)</f>
        <v>0</v>
      </c>
      <c r="AC164" s="66">
        <f>ROUND(SUM(AC160:AC163),5)</f>
        <v>0</v>
      </c>
    </row>
    <row r="165" spans="1:30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32"/>
        <v>0</v>
      </c>
      <c r="Q165" s="69">
        <f t="shared" si="32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B165" s="66"/>
      <c r="AC165" s="66"/>
    </row>
    <row r="166" spans="1:30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42">ROUND(H166+J166+L166,5)</f>
        <v>223285</v>
      </c>
      <c r="O166" s="66">
        <f t="shared" si="42"/>
        <v>112600</v>
      </c>
      <c r="P166" s="69">
        <f t="shared" si="32"/>
        <v>74428.333333333328</v>
      </c>
      <c r="Q166" s="69">
        <f t="shared" si="32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B166" s="66"/>
      <c r="AC166" s="66"/>
    </row>
    <row r="167" spans="1:30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42"/>
        <v>1035</v>
      </c>
      <c r="O167" s="73">
        <f t="shared" si="42"/>
        <v>10779.56</v>
      </c>
      <c r="P167" s="74">
        <f t="shared" si="32"/>
        <v>345</v>
      </c>
      <c r="Q167" s="74">
        <f t="shared" si="32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B167" s="73"/>
      <c r="AC167" s="73"/>
    </row>
    <row r="168" spans="1:30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43">ROUND(SUM(H165:H167),5)</f>
        <v>66205</v>
      </c>
      <c r="I168" s="63">
        <f t="shared" si="43"/>
        <v>36000</v>
      </c>
      <c r="J168" s="64">
        <f t="shared" si="43"/>
        <v>76590</v>
      </c>
      <c r="K168" s="64">
        <f t="shared" si="43"/>
        <v>32349.56</v>
      </c>
      <c r="L168" s="65">
        <f t="shared" si="43"/>
        <v>81525</v>
      </c>
      <c r="M168" s="65">
        <f t="shared" si="43"/>
        <v>55030</v>
      </c>
      <c r="N168" s="66">
        <f t="shared" si="42"/>
        <v>224320</v>
      </c>
      <c r="O168" s="66">
        <f t="shared" si="42"/>
        <v>123379.56</v>
      </c>
      <c r="P168" s="69">
        <f t="shared" si="32"/>
        <v>74773.333333333328</v>
      </c>
      <c r="Q168" s="69">
        <f t="shared" si="32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B168" s="66">
        <f>ROUND(SUM(AB165:AB167),5)</f>
        <v>0</v>
      </c>
      <c r="AC168" s="66">
        <f>ROUND(SUM(AC165:AC167),5)</f>
        <v>0</v>
      </c>
    </row>
    <row r="169" spans="1:30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42"/>
        <v>0</v>
      </c>
      <c r="O169" s="73">
        <f t="shared" si="42"/>
        <v>0</v>
      </c>
      <c r="P169" s="74">
        <f t="shared" si="32"/>
        <v>0</v>
      </c>
      <c r="Q169" s="74">
        <f t="shared" si="32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B169" s="73">
        <v>0</v>
      </c>
      <c r="AC169" s="73">
        <v>0</v>
      </c>
    </row>
    <row r="170" spans="1:30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44">ROUND(H117+H124+H130+H135+H141+H144+H151+H156+H159+H164+SUM(H168:H169),5)</f>
        <v>849140</v>
      </c>
      <c r="I170" s="63">
        <f t="shared" si="44"/>
        <v>925000</v>
      </c>
      <c r="J170" s="64">
        <f t="shared" si="44"/>
        <v>875015</v>
      </c>
      <c r="K170" s="64">
        <f t="shared" si="44"/>
        <v>833784.54</v>
      </c>
      <c r="L170" s="65">
        <f t="shared" si="44"/>
        <v>921335</v>
      </c>
      <c r="M170" s="65">
        <f t="shared" si="44"/>
        <v>890121</v>
      </c>
      <c r="N170" s="66">
        <f t="shared" si="42"/>
        <v>2645490</v>
      </c>
      <c r="O170" s="66">
        <f t="shared" si="42"/>
        <v>2648905.54</v>
      </c>
      <c r="P170" s="69">
        <f t="shared" si="32"/>
        <v>881830</v>
      </c>
      <c r="Q170" s="69">
        <f t="shared" si="32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B170" s="80">
        <f>ROUND(AB117+AB124+AB130+AB135+AB141+AB144+AB151+AB156+AB159+AB164+SUM(AB168:AB169),5)</f>
        <v>927688.31</v>
      </c>
      <c r="AC170" s="80">
        <f>ROUND(AC117+AC124+AC130+AC135+AC141+AC144+AC151+AC156+AC159+AC164+SUM(AC168:AC169),5)</f>
        <v>927688.31</v>
      </c>
    </row>
    <row r="171" spans="1:30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32"/>
        <v>0</v>
      </c>
      <c r="Q171" s="69">
        <f t="shared" si="32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B171" s="66"/>
      <c r="AC171" s="66"/>
    </row>
    <row r="172" spans="1:30" ht="43.5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45">ROUND(H172+J172+L172,5)</f>
        <v>322169.82</v>
      </c>
      <c r="O172" s="66">
        <f t="shared" si="45"/>
        <v>137000</v>
      </c>
      <c r="P172" s="69">
        <f t="shared" si="32"/>
        <v>107389.94</v>
      </c>
      <c r="Q172" s="69">
        <f t="shared" si="32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B172" s="66">
        <v>264250</v>
      </c>
      <c r="AC172" s="66">
        <v>264250</v>
      </c>
      <c r="AD172" s="102" t="s">
        <v>881</v>
      </c>
    </row>
    <row r="173" spans="1:30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45"/>
        <v>242478.99</v>
      </c>
      <c r="O173" s="66">
        <f t="shared" si="45"/>
        <v>253000</v>
      </c>
      <c r="P173" s="69">
        <f>N173/3</f>
        <v>80826.33</v>
      </c>
      <c r="Q173" s="69">
        <f t="shared" si="32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B173" s="66">
        <f>26750+29750+19500+10625</f>
        <v>86625</v>
      </c>
      <c r="AC173" s="66">
        <f>26750+29750+19500+10625</f>
        <v>86625</v>
      </c>
    </row>
    <row r="174" spans="1:30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45"/>
        <v>7072</v>
      </c>
      <c r="O174" s="66">
        <f t="shared" si="45"/>
        <v>8000</v>
      </c>
      <c r="P174" s="69">
        <f t="shared" si="32"/>
        <v>2357.3333333333335</v>
      </c>
      <c r="Q174" s="69">
        <f t="shared" si="32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B174" s="66">
        <v>0</v>
      </c>
      <c r="AC174" s="66">
        <v>0</v>
      </c>
    </row>
    <row r="175" spans="1:30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45"/>
        <v>0</v>
      </c>
      <c r="O175" s="66">
        <f t="shared" si="45"/>
        <v>0</v>
      </c>
      <c r="P175" s="69">
        <f t="shared" si="32"/>
        <v>0</v>
      </c>
      <c r="Q175" s="69">
        <f t="shared" si="32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B175" s="66">
        <v>0</v>
      </c>
      <c r="AC175" s="66">
        <v>0</v>
      </c>
    </row>
    <row r="176" spans="1:30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45"/>
        <v>11385</v>
      </c>
      <c r="O176" s="66">
        <f t="shared" si="45"/>
        <v>39800</v>
      </c>
      <c r="P176" s="69">
        <f t="shared" si="32"/>
        <v>3795</v>
      </c>
      <c r="Q176" s="69">
        <f t="shared" si="32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B176" s="66">
        <v>7425</v>
      </c>
      <c r="AC176" s="66">
        <v>7425</v>
      </c>
      <c r="AD176" s="46" t="s">
        <v>895</v>
      </c>
    </row>
    <row r="177" spans="1:30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45"/>
        <v>0</v>
      </c>
      <c r="O177" s="66">
        <f t="shared" si="45"/>
        <v>15000</v>
      </c>
      <c r="P177" s="69">
        <f t="shared" si="32"/>
        <v>0</v>
      </c>
      <c r="Q177" s="69">
        <f t="shared" si="32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B177" s="66">
        <v>0</v>
      </c>
      <c r="AC177" s="66">
        <v>0</v>
      </c>
      <c r="AD177" s="46">
        <v>1000</v>
      </c>
    </row>
    <row r="178" spans="1:30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45"/>
        <v>3000</v>
      </c>
      <c r="O178" s="66">
        <f t="shared" si="45"/>
        <v>11000</v>
      </c>
      <c r="P178" s="69">
        <f t="shared" si="32"/>
        <v>1000</v>
      </c>
      <c r="Q178" s="69">
        <f t="shared" si="32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B178" s="66">
        <v>0</v>
      </c>
      <c r="AC178" s="66">
        <v>0</v>
      </c>
      <c r="AD178" s="111">
        <v>265</v>
      </c>
    </row>
    <row r="179" spans="1:30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45"/>
        <v>56296.39</v>
      </c>
      <c r="O179" s="66">
        <f t="shared" si="45"/>
        <v>28065</v>
      </c>
      <c r="P179" s="69">
        <f t="shared" si="32"/>
        <v>18765.463333333333</v>
      </c>
      <c r="Q179" s="69">
        <f t="shared" si="32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B179" s="66">
        <v>16325</v>
      </c>
      <c r="AC179" s="66">
        <v>16325</v>
      </c>
      <c r="AD179" s="111">
        <f>AD177*AD178</f>
        <v>265000</v>
      </c>
    </row>
    <row r="180" spans="1:30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45"/>
        <v>9375</v>
      </c>
      <c r="O180" s="66">
        <f t="shared" si="45"/>
        <v>18070</v>
      </c>
      <c r="P180" s="69">
        <f t="shared" si="32"/>
        <v>3125</v>
      </c>
      <c r="Q180" s="69">
        <f t="shared" si="32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B180" s="66">
        <v>10050</v>
      </c>
      <c r="AC180" s="66">
        <v>10050</v>
      </c>
    </row>
    <row r="181" spans="1:30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45"/>
        <v>5322.15</v>
      </c>
      <c r="O181" s="66">
        <f t="shared" si="45"/>
        <v>4200</v>
      </c>
      <c r="P181" s="69">
        <f t="shared" si="32"/>
        <v>1774.05</v>
      </c>
      <c r="Q181" s="69">
        <f t="shared" si="32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B181" s="66">
        <v>1200</v>
      </c>
      <c r="AC181" s="66">
        <v>1200</v>
      </c>
    </row>
    <row r="182" spans="1:30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46">ROUND(SUM(H171:H181),5)</f>
        <v>94478.28</v>
      </c>
      <c r="I182" s="83">
        <f t="shared" si="46"/>
        <v>186755</v>
      </c>
      <c r="J182" s="84">
        <f t="shared" si="46"/>
        <v>252523.42</v>
      </c>
      <c r="K182" s="84">
        <f t="shared" si="46"/>
        <v>146000</v>
      </c>
      <c r="L182" s="85">
        <f t="shared" si="46"/>
        <v>310097.65000000002</v>
      </c>
      <c r="M182" s="85">
        <f t="shared" si="46"/>
        <v>181380</v>
      </c>
      <c r="N182" s="86">
        <f t="shared" si="45"/>
        <v>657099.35</v>
      </c>
      <c r="O182" s="86">
        <f t="shared" si="45"/>
        <v>514135</v>
      </c>
      <c r="P182" s="87">
        <f t="shared" si="32"/>
        <v>219033.11666666667</v>
      </c>
      <c r="Q182" s="87">
        <f t="shared" si="32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B182" s="88">
        <f>ROUND(SUM(AB171:AB181),5)</f>
        <v>385875</v>
      </c>
      <c r="AC182" s="88">
        <f>ROUND(SUM(AC171:AC181),5)</f>
        <v>385875</v>
      </c>
    </row>
    <row r="183" spans="1:30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47">ROUND(H7+H116+H170+H182,5)</f>
        <v>1704028.01</v>
      </c>
      <c r="I183" s="63">
        <f t="shared" si="47"/>
        <v>2024739</v>
      </c>
      <c r="J183" s="64">
        <f t="shared" si="47"/>
        <v>1983347.64</v>
      </c>
      <c r="K183" s="64">
        <f t="shared" si="47"/>
        <v>1884399.92</v>
      </c>
      <c r="L183" s="65">
        <f t="shared" si="47"/>
        <v>2267674.2599999998</v>
      </c>
      <c r="M183" s="65">
        <f t="shared" si="47"/>
        <v>1998330</v>
      </c>
      <c r="N183" s="66">
        <f t="shared" si="45"/>
        <v>5955049.9100000001</v>
      </c>
      <c r="O183" s="66">
        <f t="shared" si="45"/>
        <v>5907468.9199999999</v>
      </c>
      <c r="P183" s="69">
        <f t="shared" si="32"/>
        <v>1985016.6366666667</v>
      </c>
      <c r="Q183" s="69">
        <f t="shared" si="32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B183" s="66">
        <f>ROUND(AB7+AB116+AB170+AB182,5)</f>
        <v>2274348.11</v>
      </c>
      <c r="AC183" s="66">
        <f>ROUND(AC7+AC116+AC170+AC182,5)</f>
        <v>2274348.11</v>
      </c>
    </row>
    <row r="184" spans="1:30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32"/>
        <v>0</v>
      </c>
      <c r="Q184" s="69">
        <f t="shared" si="32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B184" s="66"/>
      <c r="AC184" s="66"/>
    </row>
    <row r="185" spans="1:30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48">ROUND(H185+J185+L185,5)</f>
        <v>465847.8</v>
      </c>
      <c r="O185" s="66">
        <f t="shared" si="48"/>
        <v>521768</v>
      </c>
      <c r="P185" s="69">
        <f t="shared" si="32"/>
        <v>155282.6</v>
      </c>
      <c r="Q185" s="69">
        <f t="shared" si="32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B185" s="66">
        <f>ROUND(94796.75, 0)</f>
        <v>94797</v>
      </c>
      <c r="AC185" s="66">
        <f>ROUND(94796.75, 0)</f>
        <v>94797</v>
      </c>
      <c r="AD185" s="111"/>
    </row>
    <row r="186" spans="1:30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48"/>
        <v>77592.62</v>
      </c>
      <c r="O186" s="66">
        <f t="shared" si="48"/>
        <v>92000</v>
      </c>
      <c r="P186" s="69">
        <f t="shared" si="32"/>
        <v>25864.206666666665</v>
      </c>
      <c r="Q186" s="69">
        <f t="shared" si="32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B186" s="66">
        <v>25000</v>
      </c>
      <c r="AC186" s="66">
        <v>25000</v>
      </c>
    </row>
    <row r="187" spans="1:30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48"/>
        <v>15133.13</v>
      </c>
      <c r="O187" s="66">
        <f t="shared" si="48"/>
        <v>61000</v>
      </c>
      <c r="P187" s="69">
        <f t="shared" si="32"/>
        <v>5044.3766666666661</v>
      </c>
      <c r="Q187" s="69">
        <f t="shared" si="32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B187" s="66">
        <v>5000</v>
      </c>
      <c r="AC187" s="66">
        <v>5000</v>
      </c>
    </row>
    <row r="188" spans="1:30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49">ROUND(SUM(H184:H187),5)</f>
        <v>213369.38</v>
      </c>
      <c r="I188" s="75">
        <f t="shared" si="49"/>
        <v>213000</v>
      </c>
      <c r="J188" s="76">
        <f t="shared" si="49"/>
        <v>193755.57</v>
      </c>
      <c r="K188" s="76">
        <f t="shared" si="49"/>
        <v>240000</v>
      </c>
      <c r="L188" s="77">
        <f t="shared" si="49"/>
        <v>151448.6</v>
      </c>
      <c r="M188" s="77">
        <f t="shared" si="49"/>
        <v>221768</v>
      </c>
      <c r="N188" s="78">
        <f t="shared" si="48"/>
        <v>558573.55000000005</v>
      </c>
      <c r="O188" s="78">
        <f t="shared" si="48"/>
        <v>674768</v>
      </c>
      <c r="P188" s="79">
        <f t="shared" si="32"/>
        <v>186191.18333333335</v>
      </c>
      <c r="Q188" s="79">
        <f t="shared" si="32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B188" s="80">
        <f>ROUND(SUM(AB184:AB187),5)</f>
        <v>124797</v>
      </c>
      <c r="AC188" s="80">
        <f>ROUND(SUM(AC184:AC187),5)</f>
        <v>124797</v>
      </c>
    </row>
    <row r="189" spans="1:30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32"/>
        <v>0</v>
      </c>
      <c r="Q189" s="69">
        <f t="shared" si="32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B189" s="66"/>
      <c r="AC189" s="66"/>
    </row>
    <row r="190" spans="1:30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32"/>
        <v>96804.536666666667</v>
      </c>
      <c r="Q190" s="74">
        <f t="shared" si="32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B190" s="73">
        <v>100000</v>
      </c>
      <c r="AC190" s="73">
        <v>100000</v>
      </c>
    </row>
    <row r="191" spans="1:30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50">ROUND(SUM(H189:H190),5)</f>
        <v>61772.91</v>
      </c>
      <c r="I191" s="63">
        <f t="shared" si="50"/>
        <v>30000</v>
      </c>
      <c r="J191" s="64">
        <f t="shared" si="50"/>
        <v>114884.79</v>
      </c>
      <c r="K191" s="64">
        <f t="shared" si="50"/>
        <v>60000</v>
      </c>
      <c r="L191" s="65">
        <f t="shared" si="50"/>
        <v>113755.91</v>
      </c>
      <c r="M191" s="65">
        <f t="shared" si="50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32"/>
        <v>96804.536666666667</v>
      </c>
      <c r="Q191" s="69">
        <f t="shared" si="32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B191" s="80">
        <f>ROUND(SUM(AB189:AB190),5)</f>
        <v>100000</v>
      </c>
      <c r="AC191" s="80">
        <f>ROUND(SUM(AC189:AC190),5)</f>
        <v>100000</v>
      </c>
    </row>
    <row r="192" spans="1:30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B192" s="66"/>
      <c r="AC192" s="66"/>
    </row>
    <row r="193" spans="1:30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51">ROUND(H193+J193+L193,5)</f>
        <v>333403.68</v>
      </c>
      <c r="O193" s="66">
        <f t="shared" si="51"/>
        <v>338929</v>
      </c>
      <c r="P193" s="69">
        <f t="shared" si="32"/>
        <v>111134.56</v>
      </c>
      <c r="Q193" s="69">
        <f t="shared" si="32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B193" s="66">
        <f>ROUND(142010.17, 0)</f>
        <v>142010</v>
      </c>
      <c r="AC193" s="66">
        <f>ROUND(142010.17, 0)</f>
        <v>142010</v>
      </c>
    </row>
    <row r="194" spans="1:30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51"/>
        <v>694468.19</v>
      </c>
      <c r="O194" s="66">
        <f t="shared" si="51"/>
        <v>750379</v>
      </c>
      <c r="P194" s="69">
        <f t="shared" si="32"/>
        <v>231489.39666666664</v>
      </c>
      <c r="Q194" s="69">
        <f t="shared" si="32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B194" s="66">
        <v>299000</v>
      </c>
      <c r="AC194" s="66">
        <v>299000</v>
      </c>
    </row>
    <row r="195" spans="1:30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51"/>
        <v>76944.899999999994</v>
      </c>
      <c r="O195" s="66">
        <f t="shared" si="51"/>
        <v>54756</v>
      </c>
      <c r="P195" s="69">
        <f t="shared" si="32"/>
        <v>25648.3</v>
      </c>
      <c r="Q195" s="69">
        <f t="shared" si="32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B195" s="66">
        <f>(88*12)*25</f>
        <v>26400</v>
      </c>
      <c r="AC195" s="66">
        <f>(88*12)*25</f>
        <v>26400</v>
      </c>
      <c r="AD195" s="46" t="s">
        <v>849</v>
      </c>
    </row>
    <row r="196" spans="1:30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51"/>
        <v>582630.68999999994</v>
      </c>
      <c r="O196" s="66">
        <f t="shared" si="51"/>
        <v>470773.25</v>
      </c>
      <c r="P196" s="69">
        <f t="shared" si="32"/>
        <v>194210.22999999998</v>
      </c>
      <c r="Q196" s="69">
        <f t="shared" si="32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B196" s="66">
        <f>ROUND(202248.75, 0)</f>
        <v>202249</v>
      </c>
      <c r="AC196" s="66">
        <f>ROUND(202248.75, 0)</f>
        <v>202249</v>
      </c>
      <c r="AD196" s="110" t="s">
        <v>850</v>
      </c>
    </row>
    <row r="197" spans="1:30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51"/>
        <v>3315663.86</v>
      </c>
      <c r="O197" s="66">
        <f t="shared" si="51"/>
        <v>3738792</v>
      </c>
      <c r="P197" s="69">
        <f t="shared" si="32"/>
        <v>1105221.2866666666</v>
      </c>
      <c r="Q197" s="69">
        <f t="shared" si="32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B197" s="109">
        <v>1247277</v>
      </c>
      <c r="AC197" s="109">
        <v>1247277</v>
      </c>
    </row>
    <row r="198" spans="1:30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52">ROUND(SUM(H192:H197),5)</f>
        <v>1617990.72</v>
      </c>
      <c r="I198" s="75">
        <f t="shared" si="52"/>
        <v>1764843.75</v>
      </c>
      <c r="J198" s="76">
        <f t="shared" si="52"/>
        <v>1649149.39</v>
      </c>
      <c r="K198" s="76">
        <f t="shared" si="52"/>
        <v>1716700</v>
      </c>
      <c r="L198" s="77">
        <f t="shared" si="52"/>
        <v>1735971.21</v>
      </c>
      <c r="M198" s="77">
        <f t="shared" si="52"/>
        <v>1872085.5</v>
      </c>
      <c r="N198" s="78">
        <f t="shared" si="51"/>
        <v>5003111.32</v>
      </c>
      <c r="O198" s="78">
        <f t="shared" si="51"/>
        <v>5353629.25</v>
      </c>
      <c r="P198" s="79">
        <f t="shared" si="32"/>
        <v>1667703.7733333334</v>
      </c>
      <c r="Q198" s="79">
        <f t="shared" si="32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B198" s="80">
        <f>ROUND(SUM(AB192:AB197),5)</f>
        <v>1916936</v>
      </c>
      <c r="AC198" s="80">
        <f>ROUND(SUM(AC192:AC197),5)</f>
        <v>1916936</v>
      </c>
      <c r="AD198" s="81">
        <f>Z198-AB198</f>
        <v>21289</v>
      </c>
    </row>
    <row r="199" spans="1:30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B199" s="66"/>
      <c r="AC199" s="66"/>
    </row>
    <row r="200" spans="1:30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53">N200/3</f>
        <v>5375.666666666667</v>
      </c>
      <c r="Q200" s="74">
        <f t="shared" si="53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B200" s="73">
        <v>6980</v>
      </c>
      <c r="AC200" s="73">
        <v>6980</v>
      </c>
      <c r="AD200" s="111">
        <f>AB196+AB197</f>
        <v>1449526</v>
      </c>
    </row>
    <row r="201" spans="1:30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54">ROUND(SUM(H199:H200),5)</f>
        <v>5928</v>
      </c>
      <c r="I201" s="63">
        <f t="shared" si="54"/>
        <v>6321</v>
      </c>
      <c r="J201" s="64">
        <f t="shared" si="54"/>
        <v>4164</v>
      </c>
      <c r="K201" s="64">
        <f t="shared" si="54"/>
        <v>7265</v>
      </c>
      <c r="L201" s="65">
        <f t="shared" si="54"/>
        <v>6035</v>
      </c>
      <c r="M201" s="65">
        <f t="shared" si="54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53"/>
        <v>5375.666666666667</v>
      </c>
      <c r="Q201" s="69">
        <f t="shared" si="53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B201" s="80">
        <f>ROUND(SUM(AB199:AB200),5)</f>
        <v>6980</v>
      </c>
      <c r="AC201" s="80">
        <f>ROUND(SUM(AC199:AC200),5)</f>
        <v>6980</v>
      </c>
      <c r="AD201" s="111">
        <f>AD200*0.86</f>
        <v>1246592.3599999999</v>
      </c>
    </row>
    <row r="202" spans="1:30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B202" s="66"/>
      <c r="AC202" s="66"/>
    </row>
    <row r="203" spans="1:30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53"/>
        <v>4066.6533333333332</v>
      </c>
      <c r="Q203" s="69">
        <f t="shared" si="53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B203" s="66">
        <v>2400</v>
      </c>
      <c r="AC203" s="66">
        <v>2400</v>
      </c>
    </row>
    <row r="204" spans="1:30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53"/>
        <v>666.66666666666663</v>
      </c>
      <c r="Q204" s="69">
        <f t="shared" si="53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B204" s="66">
        <v>0</v>
      </c>
      <c r="AC204" s="66">
        <v>0</v>
      </c>
    </row>
    <row r="205" spans="1:30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53"/>
        <v>330</v>
      </c>
      <c r="Q205" s="69">
        <f t="shared" si="53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B205" s="66">
        <v>210</v>
      </c>
      <c r="AC205" s="66">
        <v>210</v>
      </c>
    </row>
    <row r="206" spans="1:30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53"/>
        <v>11731.87</v>
      </c>
      <c r="Q206" s="69">
        <f t="shared" si="53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B206" s="66">
        <v>10000</v>
      </c>
      <c r="AC206" s="66">
        <v>10000</v>
      </c>
    </row>
    <row r="207" spans="1:30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55">ROUND(SUM(H202:H206),5)</f>
        <v>22749.62</v>
      </c>
      <c r="I207" s="75">
        <f t="shared" si="55"/>
        <v>7950</v>
      </c>
      <c r="J207" s="76">
        <f t="shared" si="55"/>
        <v>10219.52</v>
      </c>
      <c r="K207" s="76">
        <f t="shared" si="55"/>
        <v>2840</v>
      </c>
      <c r="L207" s="77">
        <f t="shared" si="55"/>
        <v>17416.43</v>
      </c>
      <c r="M207" s="77">
        <f t="shared" si="5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53"/>
        <v>16795.189999999999</v>
      </c>
      <c r="Q207" s="79">
        <f t="shared" si="53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B207" s="80">
        <f>ROUND(SUM(AB202:AB206),5)</f>
        <v>12610</v>
      </c>
      <c r="AC207" s="80">
        <f>ROUND(SUM(AC202:AC206),5)</f>
        <v>12610</v>
      </c>
    </row>
    <row r="208" spans="1:30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B208" s="66"/>
      <c r="AC208" s="66"/>
    </row>
    <row r="209" spans="1:30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B209" s="66"/>
      <c r="AC209" s="66"/>
    </row>
    <row r="210" spans="1:30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53"/>
        <v>4434.333333333333</v>
      </c>
      <c r="Q210" s="69">
        <f t="shared" si="53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B210" s="66">
        <v>1500</v>
      </c>
      <c r="AC210" s="66">
        <v>1500</v>
      </c>
    </row>
    <row r="211" spans="1:30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53"/>
        <v>78916.666666666672</v>
      </c>
      <c r="Q211" s="69">
        <f t="shared" si="53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B211" s="66">
        <v>77000</v>
      </c>
      <c r="AC211" s="66">
        <v>77000</v>
      </c>
      <c r="AD211" s="46" t="s">
        <v>854</v>
      </c>
    </row>
    <row r="212" spans="1:30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53"/>
        <v>1180</v>
      </c>
      <c r="Q212" s="69">
        <f t="shared" si="53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B212" s="66">
        <v>0</v>
      </c>
      <c r="AC212" s="66">
        <v>0</v>
      </c>
    </row>
    <row r="213" spans="1:30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53"/>
        <v>725696</v>
      </c>
      <c r="Q213" s="69">
        <f t="shared" si="53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B213" s="66">
        <v>644500</v>
      </c>
      <c r="AC213" s="66">
        <v>644500</v>
      </c>
      <c r="AD213" s="46" t="s">
        <v>853</v>
      </c>
    </row>
    <row r="214" spans="1:30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53"/>
        <v>114800</v>
      </c>
      <c r="Q214" s="69">
        <f t="shared" si="53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B214" s="66">
        <v>153000</v>
      </c>
      <c r="AC214" s="66">
        <v>153000</v>
      </c>
      <c r="AD214" s="46" t="s">
        <v>855</v>
      </c>
    </row>
    <row r="215" spans="1:30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56">ROUND(SUM(H209:H214),5)</f>
        <v>884166</v>
      </c>
      <c r="I215" s="75">
        <f t="shared" si="56"/>
        <v>788300</v>
      </c>
      <c r="J215" s="76">
        <f t="shared" si="56"/>
        <v>968225</v>
      </c>
      <c r="K215" s="76">
        <f t="shared" si="56"/>
        <v>966375</v>
      </c>
      <c r="L215" s="77">
        <f t="shared" si="56"/>
        <v>922690</v>
      </c>
      <c r="M215" s="77">
        <f t="shared" si="56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53"/>
        <v>925027</v>
      </c>
      <c r="Q215" s="79">
        <f t="shared" si="53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B215" s="80">
        <f>ROUND(SUM(AB209:AB214),5)</f>
        <v>876000</v>
      </c>
      <c r="AC215" s="80">
        <f>ROUND(SUM(AC209:AC214),5)</f>
        <v>876000</v>
      </c>
      <c r="AD215" s="127">
        <f>AB215-AB423</f>
        <v>-28046</v>
      </c>
    </row>
    <row r="216" spans="1:30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B216" s="66"/>
      <c r="AC216" s="66"/>
      <c r="AD216" s="128" t="s">
        <v>892</v>
      </c>
    </row>
    <row r="217" spans="1:30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53"/>
        <v>4578.333333333333</v>
      </c>
      <c r="Q217" s="69">
        <f t="shared" si="53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B217" s="66">
        <v>0</v>
      </c>
      <c r="AC217" s="66">
        <v>0</v>
      </c>
    </row>
    <row r="218" spans="1:30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53"/>
        <v>4578.333333333333</v>
      </c>
      <c r="Q218" s="79">
        <f t="shared" si="53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B218" s="86"/>
      <c r="AC218" s="86"/>
    </row>
    <row r="219" spans="1:30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57">ROUND(H208+H215+H218,5)</f>
        <v>884166</v>
      </c>
      <c r="I219" s="83">
        <f t="shared" si="57"/>
        <v>788300</v>
      </c>
      <c r="J219" s="84">
        <f t="shared" si="57"/>
        <v>981960</v>
      </c>
      <c r="K219" s="84">
        <f t="shared" si="57"/>
        <v>966375</v>
      </c>
      <c r="L219" s="85">
        <f t="shared" si="57"/>
        <v>922690</v>
      </c>
      <c r="M219" s="85">
        <f t="shared" si="57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53"/>
        <v>929605.33333333337</v>
      </c>
      <c r="Q219" s="87">
        <f t="shared" si="53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B219" s="88">
        <f>ROUND(AB208+AB215+AB218,5)</f>
        <v>876000</v>
      </c>
      <c r="AC219" s="88">
        <f>ROUND(AC208+AC215+AC218,5)</f>
        <v>876000</v>
      </c>
    </row>
    <row r="220" spans="1:30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58">ROUND(H6+H183+H188+H191+H198+H201+H207+H219,5)</f>
        <v>4510004.6399999997</v>
      </c>
      <c r="I220" s="63">
        <f t="shared" si="58"/>
        <v>4835153.75</v>
      </c>
      <c r="J220" s="64">
        <f t="shared" si="58"/>
        <v>4937480.91</v>
      </c>
      <c r="K220" s="64">
        <f t="shared" si="58"/>
        <v>4877579.92</v>
      </c>
      <c r="L220" s="65">
        <f t="shared" si="58"/>
        <v>5214991.41</v>
      </c>
      <c r="M220" s="65">
        <f t="shared" si="58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53"/>
        <v>4887492.32</v>
      </c>
      <c r="Q220" s="69">
        <f t="shared" si="53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B220" s="66">
        <f>ROUND(AB6+AB183+AB188+AB191+AB198+AB201+AB207+AB219,5)</f>
        <v>5311671.1100000003</v>
      </c>
      <c r="AC220" s="66">
        <f>ROUND(AC6+AC183+AC188+AC191+AC198+AC201+AC207+AC219,5)</f>
        <v>5311671.1100000003</v>
      </c>
      <c r="AD220" s="111">
        <f>AB220-Z220</f>
        <v>35303.919999999925</v>
      </c>
    </row>
    <row r="221" spans="1:30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B221" s="66"/>
      <c r="AC221" s="66"/>
    </row>
    <row r="222" spans="1:30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B222" s="66"/>
      <c r="AC222" s="66"/>
    </row>
    <row r="223" spans="1:30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59">ROUND(H223+J223+L223,5)</f>
        <v>14645.71</v>
      </c>
      <c r="O223" s="66">
        <f t="shared" si="59"/>
        <v>15644.98</v>
      </c>
      <c r="P223" s="69">
        <f t="shared" si="53"/>
        <v>4881.9033333333327</v>
      </c>
      <c r="Q223" s="69">
        <f t="shared" si="53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B223" s="66">
        <f>ROUND(5691.67, 0)</f>
        <v>5692</v>
      </c>
      <c r="AC223" s="66">
        <f>ROUND(5691.67, 0)</f>
        <v>5692</v>
      </c>
    </row>
    <row r="224" spans="1:30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59"/>
        <v>3195.19</v>
      </c>
      <c r="O224" s="66">
        <f t="shared" si="59"/>
        <v>7437.44</v>
      </c>
      <c r="P224" s="69">
        <f t="shared" si="53"/>
        <v>1065.0633333333333</v>
      </c>
      <c r="Q224" s="69">
        <f t="shared" si="53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B224" s="66">
        <v>3348</v>
      </c>
      <c r="AC224" s="66">
        <v>3348</v>
      </c>
    </row>
    <row r="225" spans="1:29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60">ROUND(SUM(H222:H224),5)</f>
        <v>5911.22</v>
      </c>
      <c r="I225" s="75">
        <f t="shared" si="60"/>
        <v>5833.45</v>
      </c>
      <c r="J225" s="76">
        <f t="shared" si="60"/>
        <v>5605.52</v>
      </c>
      <c r="K225" s="76">
        <f t="shared" si="60"/>
        <v>5849.17</v>
      </c>
      <c r="L225" s="77">
        <f t="shared" si="60"/>
        <v>6324.16</v>
      </c>
      <c r="M225" s="77">
        <f t="shared" si="60"/>
        <v>11399.8</v>
      </c>
      <c r="N225" s="78">
        <f t="shared" si="59"/>
        <v>17840.900000000001</v>
      </c>
      <c r="O225" s="78">
        <f t="shared" si="59"/>
        <v>23082.42</v>
      </c>
      <c r="P225" s="79">
        <f t="shared" si="53"/>
        <v>5946.9666666666672</v>
      </c>
      <c r="Q225" s="79">
        <f t="shared" si="53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B225" s="80">
        <f>ROUND(SUM(AB222:AB224),5)</f>
        <v>9040</v>
      </c>
      <c r="AC225" s="80">
        <f>ROUND(SUM(AC222:AC224),5)</f>
        <v>9040</v>
      </c>
    </row>
    <row r="226" spans="1:29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B226" s="66"/>
      <c r="AC226" s="66"/>
    </row>
    <row r="227" spans="1:29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B227" s="66">
        <f>AB9*0.237196</f>
        <v>227894.31142079999</v>
      </c>
      <c r="AC227" s="66">
        <f>AC9*0.237196</f>
        <v>227894.31142079999</v>
      </c>
    </row>
    <row r="228" spans="1:29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53"/>
        <v>621.57000000000005</v>
      </c>
      <c r="Q228" s="69">
        <f t="shared" si="53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B228" s="66"/>
      <c r="AC228" s="66"/>
    </row>
    <row r="229" spans="1:29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53"/>
        <v>0</v>
      </c>
      <c r="Q229" s="69">
        <f t="shared" si="53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B229" s="66"/>
      <c r="AC229" s="66"/>
    </row>
    <row r="230" spans="1:29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61">ROUND(H230+J230+L230,5)</f>
        <v>160678.19</v>
      </c>
      <c r="O230" s="66">
        <f t="shared" si="61"/>
        <v>76847.710000000006</v>
      </c>
      <c r="P230" s="69">
        <f t="shared" si="53"/>
        <v>53559.396666666667</v>
      </c>
      <c r="Q230" s="69">
        <f t="shared" si="53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B230" s="66"/>
      <c r="AC230" s="66"/>
    </row>
    <row r="231" spans="1:29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61"/>
        <v>4393.6000000000004</v>
      </c>
      <c r="O231" s="66">
        <f t="shared" si="61"/>
        <v>3748.32</v>
      </c>
      <c r="P231" s="69">
        <f t="shared" si="53"/>
        <v>1464.5333333333335</v>
      </c>
      <c r="Q231" s="69">
        <f t="shared" si="53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B231" s="66"/>
      <c r="AC231" s="66"/>
    </row>
    <row r="232" spans="1:29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61"/>
        <v>3931.71</v>
      </c>
      <c r="O232" s="66">
        <f t="shared" si="61"/>
        <v>1056.04</v>
      </c>
      <c r="P232" s="69">
        <f t="shared" si="53"/>
        <v>1310.57</v>
      </c>
      <c r="Q232" s="69">
        <f t="shared" si="53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B232" s="66"/>
      <c r="AC232" s="66"/>
    </row>
    <row r="233" spans="1:29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61"/>
        <v>1953.44</v>
      </c>
      <c r="O233" s="73">
        <f t="shared" si="61"/>
        <v>100</v>
      </c>
      <c r="P233" s="74">
        <f t="shared" si="53"/>
        <v>651.14666666666665</v>
      </c>
      <c r="Q233" s="74">
        <f t="shared" si="53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B233" s="73"/>
      <c r="AC233" s="73"/>
    </row>
    <row r="234" spans="1:29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62">ROUND(SUM(H229:H233),5)</f>
        <v>66004.350000000006</v>
      </c>
      <c r="I234" s="63">
        <f t="shared" si="62"/>
        <v>0</v>
      </c>
      <c r="J234" s="64">
        <f t="shared" si="62"/>
        <v>53975.49</v>
      </c>
      <c r="K234" s="64">
        <f t="shared" si="62"/>
        <v>13281.84</v>
      </c>
      <c r="L234" s="65">
        <f t="shared" si="62"/>
        <v>50977.1</v>
      </c>
      <c r="M234" s="65">
        <f t="shared" si="62"/>
        <v>68470.23</v>
      </c>
      <c r="N234" s="66">
        <f t="shared" si="61"/>
        <v>170956.94</v>
      </c>
      <c r="O234" s="66">
        <f t="shared" si="61"/>
        <v>81752.070000000007</v>
      </c>
      <c r="P234" s="69">
        <f t="shared" si="53"/>
        <v>56985.646666666667</v>
      </c>
      <c r="Q234" s="69">
        <f t="shared" si="53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B234" s="66">
        <f>ROUND(SUM(AB229:AB233),5)</f>
        <v>0</v>
      </c>
      <c r="AC234" s="66">
        <f>ROUND(SUM(AC229:AC233),5)</f>
        <v>0</v>
      </c>
    </row>
    <row r="235" spans="1:29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B235" s="66"/>
      <c r="AC235" s="66"/>
    </row>
    <row r="236" spans="1:29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63">ROUND(H236+J236+L236,5)</f>
        <v>10300.370000000001</v>
      </c>
      <c r="O236" s="66">
        <f t="shared" si="63"/>
        <v>7978.18</v>
      </c>
      <c r="P236" s="69">
        <f t="shared" si="53"/>
        <v>3433.4566666666669</v>
      </c>
      <c r="Q236" s="69">
        <f t="shared" si="53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B236" s="66"/>
      <c r="AC236" s="66"/>
    </row>
    <row r="237" spans="1:29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63"/>
        <v>265.04000000000002</v>
      </c>
      <c r="O237" s="66">
        <f t="shared" si="63"/>
        <v>2079.58</v>
      </c>
      <c r="P237" s="69">
        <f t="shared" si="53"/>
        <v>88.346666666666678</v>
      </c>
      <c r="Q237" s="69">
        <f t="shared" si="53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B237" s="66"/>
      <c r="AC237" s="66"/>
    </row>
    <row r="238" spans="1:29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63"/>
        <v>291.58999999999997</v>
      </c>
      <c r="O238" s="66">
        <f t="shared" si="63"/>
        <v>6330.08</v>
      </c>
      <c r="P238" s="69">
        <f t="shared" si="53"/>
        <v>97.196666666666658</v>
      </c>
      <c r="Q238" s="69">
        <f t="shared" si="53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B238" s="66"/>
      <c r="AC238" s="66"/>
    </row>
    <row r="239" spans="1:29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63"/>
        <v>1002.62</v>
      </c>
      <c r="O239" s="66">
        <f t="shared" si="63"/>
        <v>3299.3</v>
      </c>
      <c r="P239" s="69">
        <f t="shared" si="53"/>
        <v>334.20666666666665</v>
      </c>
      <c r="Q239" s="69">
        <f t="shared" si="53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B239" s="66"/>
      <c r="AC239" s="66"/>
    </row>
    <row r="240" spans="1:29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63"/>
        <v>384.28</v>
      </c>
      <c r="O240" s="66">
        <f t="shared" si="63"/>
        <v>0</v>
      </c>
      <c r="P240" s="69">
        <f t="shared" si="53"/>
        <v>128.09333333333333</v>
      </c>
      <c r="Q240" s="69">
        <f t="shared" si="53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B240" s="66"/>
      <c r="AC240" s="66"/>
    </row>
    <row r="241" spans="1:29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63"/>
        <v>1703.01</v>
      </c>
      <c r="O241" s="66">
        <f t="shared" si="63"/>
        <v>6458.46</v>
      </c>
      <c r="P241" s="69">
        <f t="shared" si="53"/>
        <v>567.66999999999996</v>
      </c>
      <c r="Q241" s="69">
        <f t="shared" si="53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B241" s="66"/>
      <c r="AC241" s="66"/>
    </row>
    <row r="242" spans="1:29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63"/>
        <v>844.98</v>
      </c>
      <c r="O242" s="66">
        <f t="shared" si="63"/>
        <v>4878.88</v>
      </c>
      <c r="P242" s="69">
        <f t="shared" si="53"/>
        <v>281.66000000000003</v>
      </c>
      <c r="Q242" s="69">
        <f t="shared" si="53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B242" s="66"/>
      <c r="AC242" s="66"/>
    </row>
    <row r="243" spans="1:29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63"/>
        <v>952.7</v>
      </c>
      <c r="O243" s="66">
        <f t="shared" si="63"/>
        <v>759.86</v>
      </c>
      <c r="P243" s="69">
        <f t="shared" si="53"/>
        <v>317.56666666666666</v>
      </c>
      <c r="Q243" s="69">
        <f t="shared" si="53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B243" s="66"/>
      <c r="AC243" s="66"/>
    </row>
    <row r="244" spans="1:29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63"/>
        <v>-279.7</v>
      </c>
      <c r="O244" s="66">
        <v>0</v>
      </c>
      <c r="P244" s="69">
        <f t="shared" si="53"/>
        <v>-93.233333333333334</v>
      </c>
      <c r="Q244" s="69">
        <f t="shared" si="53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B244" s="66"/>
      <c r="AC244" s="66"/>
    </row>
    <row r="245" spans="1:29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63"/>
        <v>2068.73</v>
      </c>
      <c r="O245" s="66">
        <f>ROUND(I245+K245+M245,5)</f>
        <v>600</v>
      </c>
      <c r="P245" s="69">
        <f t="shared" si="53"/>
        <v>689.57666666666671</v>
      </c>
      <c r="Q245" s="69">
        <f t="shared" si="53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B245" s="66"/>
      <c r="AC245" s="66"/>
    </row>
    <row r="246" spans="1:29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63"/>
        <v>126.77</v>
      </c>
      <c r="O246" s="66">
        <f>ROUND(I246+K246+M246,5)</f>
        <v>100</v>
      </c>
      <c r="P246" s="69">
        <f t="shared" si="53"/>
        <v>42.256666666666668</v>
      </c>
      <c r="Q246" s="69">
        <f t="shared" si="53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B246" s="66"/>
      <c r="AC246" s="66"/>
    </row>
    <row r="247" spans="1:29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63"/>
        <v>4683.93</v>
      </c>
      <c r="O247" s="66">
        <f>ROUND(I247+K247+M247,5)</f>
        <v>7118.32</v>
      </c>
      <c r="P247" s="69">
        <f t="shared" si="53"/>
        <v>1561.3100000000002</v>
      </c>
      <c r="Q247" s="69">
        <f t="shared" si="53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B247" s="66"/>
      <c r="AC247" s="66"/>
    </row>
    <row r="248" spans="1:29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63"/>
        <v>2913.09</v>
      </c>
      <c r="O248" s="66">
        <f>ROUND(I248+K248+M248,5)</f>
        <v>4719.0200000000004</v>
      </c>
      <c r="P248" s="69">
        <f t="shared" si="53"/>
        <v>971.03000000000009</v>
      </c>
      <c r="Q248" s="69">
        <f t="shared" si="53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B248" s="66"/>
      <c r="AC248" s="66"/>
    </row>
    <row r="249" spans="1:29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63"/>
        <v>4608.63</v>
      </c>
      <c r="O249" s="66">
        <f>ROUND(I249+K249+M249,5)</f>
        <v>1619.72</v>
      </c>
      <c r="P249" s="69">
        <f t="shared" si="53"/>
        <v>1536.21</v>
      </c>
      <c r="Q249" s="69">
        <f t="shared" si="53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B249" s="66"/>
      <c r="AC249" s="66"/>
    </row>
    <row r="250" spans="1:29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63"/>
        <v>78.989999999999995</v>
      </c>
      <c r="O250" s="66">
        <v>0</v>
      </c>
      <c r="P250" s="69">
        <f t="shared" si="53"/>
        <v>26.33</v>
      </c>
      <c r="Q250" s="69">
        <f t="shared" si="53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B250" s="66"/>
      <c r="AC250" s="66"/>
    </row>
    <row r="251" spans="1:29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63"/>
        <v>0</v>
      </c>
      <c r="O251" s="66">
        <f>ROUND(I251+K251+M251,5)</f>
        <v>1219.72</v>
      </c>
      <c r="P251" s="69">
        <f t="shared" si="53"/>
        <v>0</v>
      </c>
      <c r="Q251" s="69">
        <f t="shared" si="53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B251" s="66"/>
      <c r="AC251" s="66"/>
    </row>
    <row r="252" spans="1:29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64">ROUND(H252+J252+L252,5)</f>
        <v>469.32</v>
      </c>
      <c r="O252" s="66">
        <f>ROUND(I252+K252+M252,5)</f>
        <v>356.04</v>
      </c>
      <c r="P252" s="69">
        <f t="shared" si="53"/>
        <v>156.44</v>
      </c>
      <c r="Q252" s="69">
        <f t="shared" si="53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B252" s="66"/>
      <c r="AC252" s="66"/>
    </row>
    <row r="253" spans="1:29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64"/>
        <v>0</v>
      </c>
      <c r="O253" s="66">
        <f>ROUND(I253+K253+M253,5)</f>
        <v>1524.16</v>
      </c>
      <c r="P253" s="69">
        <f t="shared" si="53"/>
        <v>0</v>
      </c>
      <c r="Q253" s="69">
        <f t="shared" si="53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B253" s="66"/>
      <c r="AC253" s="66"/>
    </row>
    <row r="254" spans="1:29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64"/>
        <v>295.95</v>
      </c>
      <c r="O254" s="66">
        <v>0</v>
      </c>
      <c r="P254" s="69">
        <f t="shared" si="53"/>
        <v>98.649999999999991</v>
      </c>
      <c r="Q254" s="69">
        <f t="shared" si="53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B254" s="66"/>
      <c r="AC254" s="66"/>
    </row>
    <row r="255" spans="1:29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64"/>
        <v>0</v>
      </c>
      <c r="O255" s="66">
        <f>ROUND(I255+K255+M255,5)</f>
        <v>0</v>
      </c>
      <c r="P255" s="69">
        <f t="shared" si="53"/>
        <v>0</v>
      </c>
      <c r="Q255" s="69">
        <f t="shared" si="53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B255" s="66"/>
      <c r="AC255" s="66"/>
    </row>
    <row r="256" spans="1:29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64"/>
        <v>0</v>
      </c>
      <c r="O256" s="73">
        <f>ROUND(I256+K256+M256,5)</f>
        <v>0</v>
      </c>
      <c r="P256" s="74">
        <f t="shared" si="53"/>
        <v>0</v>
      </c>
      <c r="Q256" s="74">
        <f t="shared" si="53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B256" s="73"/>
      <c r="AC256" s="73"/>
    </row>
    <row r="257" spans="1:29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65">ROUND(SUM(H235:H256),5)</f>
        <v>9952.77</v>
      </c>
      <c r="I257" s="63">
        <f t="shared" si="65"/>
        <v>0</v>
      </c>
      <c r="J257" s="64">
        <f t="shared" si="65"/>
        <v>12257.65</v>
      </c>
      <c r="K257" s="64">
        <f t="shared" si="65"/>
        <v>43741.32</v>
      </c>
      <c r="L257" s="65">
        <f t="shared" si="65"/>
        <v>8499.8799999999992</v>
      </c>
      <c r="M257" s="65">
        <f t="shared" si="65"/>
        <v>5300</v>
      </c>
      <c r="N257" s="66">
        <f t="shared" si="64"/>
        <v>30710.3</v>
      </c>
      <c r="O257" s="66">
        <f>ROUND(I257+K257+M257,5)</f>
        <v>49041.32</v>
      </c>
      <c r="P257" s="69">
        <f t="shared" si="53"/>
        <v>10236.766666666666</v>
      </c>
      <c r="Q257" s="69">
        <f t="shared" si="53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B257" s="66">
        <f>ROUND(SUM(AB235:AB256),5)</f>
        <v>0</v>
      </c>
      <c r="AC257" s="66">
        <f>ROUND(SUM(AC235:AC256),5)</f>
        <v>0</v>
      </c>
    </row>
    <row r="258" spans="1:29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53"/>
        <v>0</v>
      </c>
      <c r="Q258" s="69">
        <f t="shared" si="53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B258" s="66"/>
      <c r="AC258" s="66"/>
    </row>
    <row r="259" spans="1:29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66">ROUND(H259+J259+L259,5)</f>
        <v>292.07</v>
      </c>
      <c r="O259" s="66">
        <f t="shared" si="66"/>
        <v>3559.16</v>
      </c>
      <c r="P259" s="69">
        <f t="shared" si="53"/>
        <v>97.356666666666669</v>
      </c>
      <c r="Q259" s="69">
        <f t="shared" si="53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B259" s="66"/>
      <c r="AC259" s="66"/>
    </row>
    <row r="260" spans="1:29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66"/>
        <v>0</v>
      </c>
      <c r="O260" s="66">
        <f t="shared" si="66"/>
        <v>0</v>
      </c>
      <c r="P260" s="69">
        <f t="shared" ref="P260:Q323" si="67">N260/3</f>
        <v>0</v>
      </c>
      <c r="Q260" s="69">
        <f t="shared" si="67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B260" s="66"/>
      <c r="AC260" s="66"/>
    </row>
    <row r="261" spans="1:29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66"/>
        <v>414.94</v>
      </c>
      <c r="O261" s="66">
        <f t="shared" si="66"/>
        <v>1624.16</v>
      </c>
      <c r="P261" s="69">
        <f t="shared" si="67"/>
        <v>138.31333333333333</v>
      </c>
      <c r="Q261" s="69">
        <f t="shared" si="67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B261" s="66"/>
      <c r="AC261" s="66"/>
    </row>
    <row r="262" spans="1:29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66"/>
        <v>0</v>
      </c>
      <c r="O262" s="73">
        <f t="shared" si="66"/>
        <v>0</v>
      </c>
      <c r="P262" s="74">
        <f t="shared" si="67"/>
        <v>0</v>
      </c>
      <c r="Q262" s="74">
        <f t="shared" si="67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B262" s="73"/>
      <c r="AC262" s="73"/>
    </row>
    <row r="263" spans="1:29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68">ROUND(SUM(H258:H262),5)</f>
        <v>414.94</v>
      </c>
      <c r="I263" s="63">
        <f t="shared" si="68"/>
        <v>0</v>
      </c>
      <c r="J263" s="64">
        <f t="shared" si="68"/>
        <v>73.44</v>
      </c>
      <c r="K263" s="64">
        <f t="shared" si="68"/>
        <v>4783.32</v>
      </c>
      <c r="L263" s="65">
        <f t="shared" si="68"/>
        <v>218.63</v>
      </c>
      <c r="M263" s="65">
        <f t="shared" si="68"/>
        <v>400</v>
      </c>
      <c r="N263" s="66">
        <f t="shared" si="66"/>
        <v>707.01</v>
      </c>
      <c r="O263" s="66">
        <f t="shared" si="66"/>
        <v>5183.32</v>
      </c>
      <c r="P263" s="69">
        <f t="shared" si="67"/>
        <v>235.67</v>
      </c>
      <c r="Q263" s="69">
        <f t="shared" si="67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B263" s="66">
        <f>ROUND(SUM(AB258:AB262),5)</f>
        <v>0</v>
      </c>
      <c r="AC263" s="66">
        <f>ROUND(SUM(AC258:AC262),5)</f>
        <v>0</v>
      </c>
    </row>
    <row r="264" spans="1:29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B264" s="66"/>
      <c r="AC264" s="66"/>
    </row>
    <row r="265" spans="1:29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69">ROUND(H265+J265+L265,5)</f>
        <v>9233.0499999999993</v>
      </c>
      <c r="O265" s="66">
        <f t="shared" si="69"/>
        <v>5438.74</v>
      </c>
      <c r="P265" s="69">
        <f t="shared" si="67"/>
        <v>3077.6833333333329</v>
      </c>
      <c r="Q265" s="69">
        <f t="shared" si="67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B265" s="66"/>
      <c r="AC265" s="66"/>
    </row>
    <row r="266" spans="1:29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69"/>
        <v>173.59</v>
      </c>
      <c r="O266" s="66">
        <f t="shared" si="69"/>
        <v>2539.44</v>
      </c>
      <c r="P266" s="69">
        <f t="shared" si="67"/>
        <v>57.863333333333337</v>
      </c>
      <c r="Q266" s="69">
        <f t="shared" si="67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B266" s="66"/>
      <c r="AC266" s="66"/>
    </row>
    <row r="267" spans="1:29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69"/>
        <v>99.76</v>
      </c>
      <c r="O267" s="66">
        <f t="shared" si="69"/>
        <v>1980.2</v>
      </c>
      <c r="P267" s="69">
        <f t="shared" si="67"/>
        <v>33.253333333333337</v>
      </c>
      <c r="Q267" s="69">
        <f t="shared" si="67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B267" s="66"/>
      <c r="AC267" s="66"/>
    </row>
    <row r="268" spans="1:29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69"/>
        <v>2756.34</v>
      </c>
      <c r="O268" s="66">
        <f t="shared" si="69"/>
        <v>956.04</v>
      </c>
      <c r="P268" s="69">
        <f t="shared" si="67"/>
        <v>918.78000000000009</v>
      </c>
      <c r="Q268" s="69">
        <f t="shared" si="67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B268" s="66"/>
      <c r="AC268" s="66"/>
    </row>
    <row r="269" spans="1:29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69"/>
        <v>62</v>
      </c>
      <c r="O269" s="66">
        <f t="shared" si="69"/>
        <v>718</v>
      </c>
      <c r="P269" s="69">
        <f t="shared" si="67"/>
        <v>20.666666666666668</v>
      </c>
      <c r="Q269" s="69">
        <f t="shared" si="67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B269" s="66"/>
      <c r="AC269" s="66"/>
    </row>
    <row r="270" spans="1:29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69"/>
        <v>5017.79</v>
      </c>
      <c r="O270" s="66">
        <f t="shared" si="69"/>
        <v>1535.1</v>
      </c>
      <c r="P270" s="69">
        <f t="shared" si="67"/>
        <v>1672.5966666666666</v>
      </c>
      <c r="Q270" s="69">
        <f t="shared" si="67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B270" s="66"/>
      <c r="AC270" s="66"/>
    </row>
    <row r="271" spans="1:29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69"/>
        <v>0</v>
      </c>
      <c r="O271" s="66">
        <f t="shared" si="69"/>
        <v>1880.2</v>
      </c>
      <c r="P271" s="69">
        <f t="shared" si="67"/>
        <v>0</v>
      </c>
      <c r="Q271" s="69">
        <f t="shared" si="67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B271" s="66"/>
      <c r="AC271" s="66"/>
    </row>
    <row r="272" spans="1:29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69"/>
        <v>1851.6</v>
      </c>
      <c r="O272" s="66">
        <f t="shared" si="69"/>
        <v>1624.16</v>
      </c>
      <c r="P272" s="69">
        <f t="shared" si="67"/>
        <v>617.19999999999993</v>
      </c>
      <c r="Q272" s="69">
        <f t="shared" si="67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B272" s="66"/>
      <c r="AC272" s="66"/>
    </row>
    <row r="273" spans="1:29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69"/>
        <v>0</v>
      </c>
      <c r="O273" s="66">
        <f t="shared" si="69"/>
        <v>6709.32</v>
      </c>
      <c r="P273" s="69">
        <f t="shared" si="67"/>
        <v>0</v>
      </c>
      <c r="Q273" s="69">
        <f t="shared" si="67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B273" s="66"/>
      <c r="AC273" s="66"/>
    </row>
    <row r="274" spans="1:29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69"/>
        <v>0</v>
      </c>
      <c r="O274" s="66">
        <f t="shared" si="69"/>
        <v>1983.36</v>
      </c>
      <c r="P274" s="69">
        <f t="shared" si="67"/>
        <v>0</v>
      </c>
      <c r="Q274" s="69">
        <f t="shared" si="67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B274" s="66"/>
      <c r="AC274" s="66"/>
    </row>
    <row r="275" spans="1:29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69"/>
        <v>0</v>
      </c>
      <c r="O275" s="66">
        <f t="shared" si="69"/>
        <v>4759.01</v>
      </c>
      <c r="P275" s="69">
        <f t="shared" si="67"/>
        <v>0</v>
      </c>
      <c r="Q275" s="69">
        <f t="shared" si="67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B275" s="66"/>
      <c r="AC275" s="66"/>
    </row>
    <row r="276" spans="1:29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69"/>
        <v>8987.11</v>
      </c>
      <c r="O276" s="66">
        <f t="shared" si="69"/>
        <v>17088.16</v>
      </c>
      <c r="P276" s="69">
        <f t="shared" si="67"/>
        <v>2995.7033333333334</v>
      </c>
      <c r="Q276" s="69">
        <f t="shared" si="67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B276" s="66"/>
      <c r="AC276" s="66"/>
    </row>
    <row r="277" spans="1:29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69"/>
        <v>170.91</v>
      </c>
      <c r="O277" s="66">
        <f t="shared" si="69"/>
        <v>4097.04</v>
      </c>
      <c r="P277" s="69">
        <f t="shared" si="67"/>
        <v>56.97</v>
      </c>
      <c r="Q277" s="69">
        <f t="shared" si="67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B277" s="66"/>
      <c r="AC277" s="66"/>
    </row>
    <row r="278" spans="1:29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69"/>
        <v>1914.86</v>
      </c>
      <c r="O278" s="66">
        <f t="shared" si="69"/>
        <v>1668.12</v>
      </c>
      <c r="P278" s="69">
        <f t="shared" si="67"/>
        <v>638.28666666666663</v>
      </c>
      <c r="Q278" s="69">
        <f t="shared" si="67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B278" s="66"/>
      <c r="AC278" s="66"/>
    </row>
    <row r="279" spans="1:29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69"/>
        <v>581.79999999999995</v>
      </c>
      <c r="O279" s="73">
        <f t="shared" si="69"/>
        <v>0</v>
      </c>
      <c r="P279" s="74">
        <f t="shared" si="67"/>
        <v>193.93333333333331</v>
      </c>
      <c r="Q279" s="74">
        <f t="shared" si="67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B279" s="73"/>
      <c r="AC279" s="73"/>
    </row>
    <row r="280" spans="1:29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70">ROUND(SUM(H264:H279),5)</f>
        <v>11247.41</v>
      </c>
      <c r="I280" s="63">
        <f t="shared" si="70"/>
        <v>0</v>
      </c>
      <c r="J280" s="64">
        <f t="shared" si="70"/>
        <v>13538.34</v>
      </c>
      <c r="K280" s="64">
        <f t="shared" si="70"/>
        <v>43816.14</v>
      </c>
      <c r="L280" s="65">
        <f t="shared" si="70"/>
        <v>6063.06</v>
      </c>
      <c r="M280" s="65">
        <f t="shared" si="70"/>
        <v>9160.75</v>
      </c>
      <c r="N280" s="66">
        <f t="shared" si="69"/>
        <v>30848.81</v>
      </c>
      <c r="O280" s="66">
        <f t="shared" si="69"/>
        <v>52976.89</v>
      </c>
      <c r="P280" s="69">
        <f t="shared" si="67"/>
        <v>10282.936666666666</v>
      </c>
      <c r="Q280" s="69">
        <f t="shared" si="67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B280" s="66">
        <f>ROUND(SUM(AB264:AB279),5)</f>
        <v>0</v>
      </c>
      <c r="AC280" s="66">
        <f>ROUND(SUM(AC264:AC279),5)</f>
        <v>0</v>
      </c>
    </row>
    <row r="281" spans="1:29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67"/>
        <v>0</v>
      </c>
      <c r="Q281" s="69">
        <f t="shared" si="67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B281" s="66"/>
      <c r="AC281" s="66"/>
    </row>
    <row r="282" spans="1:29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71">ROUND(H282+J282+L282,5)</f>
        <v>9840.1</v>
      </c>
      <c r="O282" s="66">
        <f t="shared" si="71"/>
        <v>6658.46</v>
      </c>
      <c r="P282" s="69">
        <f t="shared" si="67"/>
        <v>3280.0333333333333</v>
      </c>
      <c r="Q282" s="69">
        <f t="shared" si="67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B282" s="66"/>
      <c r="AC282" s="66"/>
    </row>
    <row r="283" spans="1:29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71"/>
        <v>9035.52</v>
      </c>
      <c r="O283" s="66">
        <f t="shared" si="71"/>
        <v>7418.32</v>
      </c>
      <c r="P283" s="69">
        <f t="shared" si="67"/>
        <v>3011.84</v>
      </c>
      <c r="Q283" s="69">
        <f t="shared" si="67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B283" s="66"/>
      <c r="AC283" s="66"/>
    </row>
    <row r="284" spans="1:29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71"/>
        <v>0</v>
      </c>
      <c r="O284" s="66">
        <f t="shared" si="71"/>
        <v>656.04</v>
      </c>
      <c r="P284" s="69">
        <f t="shared" si="67"/>
        <v>0</v>
      </c>
      <c r="Q284" s="69">
        <f t="shared" si="67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B284" s="66"/>
      <c r="AC284" s="66"/>
    </row>
    <row r="285" spans="1:29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71"/>
        <v>2620.06</v>
      </c>
      <c r="O285" s="66">
        <f t="shared" si="71"/>
        <v>7118.32</v>
      </c>
      <c r="P285" s="69">
        <f t="shared" si="67"/>
        <v>873.35333333333335</v>
      </c>
      <c r="Q285" s="69">
        <f t="shared" si="67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B285" s="66"/>
      <c r="AC285" s="66"/>
    </row>
    <row r="286" spans="1:29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71"/>
        <v>2099.5700000000002</v>
      </c>
      <c r="O286" s="66">
        <f t="shared" si="71"/>
        <v>1012.08</v>
      </c>
      <c r="P286" s="69">
        <f t="shared" si="67"/>
        <v>699.85666666666668</v>
      </c>
      <c r="Q286" s="69">
        <f t="shared" si="67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B286" s="66"/>
      <c r="AC286" s="66"/>
    </row>
    <row r="287" spans="1:29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71"/>
        <v>1066.75</v>
      </c>
      <c r="O287" s="73">
        <f t="shared" si="71"/>
        <v>6918.32</v>
      </c>
      <c r="P287" s="74">
        <f t="shared" si="67"/>
        <v>355.58333333333331</v>
      </c>
      <c r="Q287" s="74">
        <f t="shared" si="67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B287" s="73"/>
      <c r="AC287" s="73"/>
    </row>
    <row r="288" spans="1:29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72">ROUND(SUM(H281:H287),5)</f>
        <v>5366.39</v>
      </c>
      <c r="I288" s="63">
        <f t="shared" si="72"/>
        <v>0</v>
      </c>
      <c r="J288" s="64">
        <f t="shared" si="72"/>
        <v>9447.02</v>
      </c>
      <c r="K288" s="64">
        <f t="shared" si="72"/>
        <v>27381.54</v>
      </c>
      <c r="L288" s="65">
        <f t="shared" si="72"/>
        <v>9848.59</v>
      </c>
      <c r="M288" s="65">
        <f t="shared" si="72"/>
        <v>2400</v>
      </c>
      <c r="N288" s="66">
        <f t="shared" si="71"/>
        <v>24662</v>
      </c>
      <c r="O288" s="66">
        <f t="shared" si="71"/>
        <v>29781.54</v>
      </c>
      <c r="P288" s="69">
        <f t="shared" si="67"/>
        <v>8220.6666666666661</v>
      </c>
      <c r="Q288" s="69">
        <f t="shared" si="67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B288" s="66">
        <f>ROUND(SUM(AB281:AB287),5)</f>
        <v>0</v>
      </c>
      <c r="AC288" s="66">
        <f>ROUND(SUM(AC281:AC287),5)</f>
        <v>0</v>
      </c>
    </row>
    <row r="289" spans="1:29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B289" s="66"/>
      <c r="AC289" s="66"/>
    </row>
    <row r="290" spans="1:29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73">ROUND(H290+J290+L290,5)</f>
        <v>513.95000000000005</v>
      </c>
      <c r="O290" s="66">
        <f t="shared" si="73"/>
        <v>300</v>
      </c>
      <c r="P290" s="69">
        <f t="shared" si="67"/>
        <v>171.31666666666669</v>
      </c>
      <c r="Q290" s="69">
        <f t="shared" si="67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B290" s="66"/>
      <c r="AC290" s="66"/>
    </row>
    <row r="291" spans="1:29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73"/>
        <v>5543.87</v>
      </c>
      <c r="O291" s="66">
        <f t="shared" si="73"/>
        <v>800</v>
      </c>
      <c r="P291" s="69">
        <f t="shared" si="67"/>
        <v>1847.9566666666667</v>
      </c>
      <c r="Q291" s="69">
        <f t="shared" si="67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B291" s="66"/>
      <c r="AC291" s="66"/>
    </row>
    <row r="292" spans="1:29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73"/>
        <v>0</v>
      </c>
      <c r="O292" s="66">
        <f t="shared" si="73"/>
        <v>6718.32</v>
      </c>
      <c r="P292" s="69">
        <f t="shared" si="67"/>
        <v>0</v>
      </c>
      <c r="Q292" s="69">
        <f t="shared" si="67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B292" s="66"/>
      <c r="AC292" s="66"/>
    </row>
    <row r="293" spans="1:29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73"/>
        <v>1829.97</v>
      </c>
      <c r="O293" s="66">
        <f t="shared" si="73"/>
        <v>400</v>
      </c>
      <c r="P293" s="69">
        <f t="shared" si="67"/>
        <v>609.99</v>
      </c>
      <c r="Q293" s="69">
        <f t="shared" si="67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B293" s="66"/>
      <c r="AC293" s="66"/>
    </row>
    <row r="294" spans="1:29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73"/>
        <v>574.11</v>
      </c>
      <c r="O294" s="66">
        <f t="shared" si="73"/>
        <v>200</v>
      </c>
      <c r="P294" s="69">
        <f t="shared" si="67"/>
        <v>191.37</v>
      </c>
      <c r="Q294" s="69">
        <f t="shared" si="67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B294" s="66"/>
      <c r="AC294" s="66"/>
    </row>
    <row r="295" spans="1:29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73"/>
        <v>2094.56</v>
      </c>
      <c r="O295" s="66">
        <f t="shared" si="73"/>
        <v>700</v>
      </c>
      <c r="P295" s="69">
        <f t="shared" si="67"/>
        <v>698.18666666666661</v>
      </c>
      <c r="Q295" s="69">
        <f t="shared" si="67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B295" s="66"/>
      <c r="AC295" s="66"/>
    </row>
    <row r="296" spans="1:29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73"/>
        <v>143.52000000000001</v>
      </c>
      <c r="O296" s="66">
        <f t="shared" si="73"/>
        <v>0</v>
      </c>
      <c r="P296" s="69">
        <f t="shared" si="67"/>
        <v>47.84</v>
      </c>
      <c r="Q296" s="69">
        <f t="shared" si="67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B296" s="66"/>
      <c r="AC296" s="66"/>
    </row>
    <row r="297" spans="1:29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73"/>
        <v>0</v>
      </c>
      <c r="O297" s="66">
        <f t="shared" si="73"/>
        <v>100</v>
      </c>
      <c r="P297" s="69">
        <f t="shared" si="67"/>
        <v>0</v>
      </c>
      <c r="Q297" s="69">
        <f t="shared" si="67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B297" s="66"/>
      <c r="AC297" s="66"/>
    </row>
    <row r="298" spans="1:29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73"/>
        <v>1205.7</v>
      </c>
      <c r="O298" s="66">
        <f t="shared" si="73"/>
        <v>0</v>
      </c>
      <c r="P298" s="69">
        <f t="shared" si="67"/>
        <v>401.90000000000003</v>
      </c>
      <c r="Q298" s="69">
        <f t="shared" si="67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B298" s="66"/>
      <c r="AC298" s="66"/>
    </row>
    <row r="299" spans="1:29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73"/>
        <v>0</v>
      </c>
      <c r="O299" s="66">
        <f t="shared" si="73"/>
        <v>0</v>
      </c>
      <c r="P299" s="69">
        <f t="shared" si="67"/>
        <v>0</v>
      </c>
      <c r="Q299" s="69">
        <f t="shared" si="67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B299" s="66"/>
      <c r="AC299" s="66"/>
    </row>
    <row r="300" spans="1:29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73"/>
        <v>0</v>
      </c>
      <c r="O300" s="73">
        <f t="shared" si="73"/>
        <v>0</v>
      </c>
      <c r="P300" s="74">
        <f t="shared" si="67"/>
        <v>0</v>
      </c>
      <c r="Q300" s="74">
        <f t="shared" si="67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B300" s="73"/>
      <c r="AC300" s="73"/>
    </row>
    <row r="301" spans="1:29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74">ROUND(SUM(H289:H300),5)</f>
        <v>3691.61</v>
      </c>
      <c r="I301" s="63">
        <f t="shared" si="74"/>
        <v>0</v>
      </c>
      <c r="J301" s="64">
        <f t="shared" si="74"/>
        <v>4249.07</v>
      </c>
      <c r="K301" s="64">
        <f t="shared" si="74"/>
        <v>6718.32</v>
      </c>
      <c r="L301" s="65">
        <f t="shared" si="74"/>
        <v>3965</v>
      </c>
      <c r="M301" s="65">
        <f t="shared" si="74"/>
        <v>2500</v>
      </c>
      <c r="N301" s="66">
        <f t="shared" si="73"/>
        <v>11905.68</v>
      </c>
      <c r="O301" s="66">
        <f t="shared" si="73"/>
        <v>9218.32</v>
      </c>
      <c r="P301" s="69">
        <f t="shared" si="67"/>
        <v>3968.56</v>
      </c>
      <c r="Q301" s="69">
        <f t="shared" si="67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B301" s="66">
        <f>ROUND(SUM(AB289:AB300),5)</f>
        <v>0</v>
      </c>
      <c r="AC301" s="66">
        <f>ROUND(SUM(AC289:AC300),5)</f>
        <v>0</v>
      </c>
    </row>
    <row r="302" spans="1:29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B302" s="66"/>
      <c r="AC302" s="66"/>
    </row>
    <row r="303" spans="1:29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75">ROUND(H303+J303+L303,5)</f>
        <v>4407.63</v>
      </c>
      <c r="O303" s="66">
        <f t="shared" si="75"/>
        <v>7218.32</v>
      </c>
      <c r="P303" s="69">
        <f t="shared" si="67"/>
        <v>1469.21</v>
      </c>
      <c r="Q303" s="69">
        <f t="shared" si="67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B303" s="66"/>
      <c r="AC303" s="66"/>
    </row>
    <row r="304" spans="1:29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75"/>
        <v>62.18</v>
      </c>
      <c r="O304" s="66">
        <f t="shared" si="75"/>
        <v>659.86</v>
      </c>
      <c r="P304" s="69">
        <f t="shared" si="67"/>
        <v>20.726666666666667</v>
      </c>
      <c r="Q304" s="69">
        <f t="shared" si="67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B304" s="66"/>
      <c r="AC304" s="66"/>
    </row>
    <row r="305" spans="1:29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75"/>
        <v>1422.94</v>
      </c>
      <c r="O305" s="66">
        <f t="shared" si="75"/>
        <v>5438.74</v>
      </c>
      <c r="P305" s="69">
        <f t="shared" si="67"/>
        <v>474.31333333333333</v>
      </c>
      <c r="Q305" s="69">
        <f t="shared" si="67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B305" s="66"/>
      <c r="AC305" s="66"/>
    </row>
    <row r="306" spans="1:29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75"/>
        <v>602.46</v>
      </c>
      <c r="O306" s="73">
        <f t="shared" si="75"/>
        <v>756.04</v>
      </c>
      <c r="P306" s="74">
        <f t="shared" si="67"/>
        <v>200.82000000000002</v>
      </c>
      <c r="Q306" s="74">
        <f t="shared" si="67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B306" s="73"/>
      <c r="AC306" s="73"/>
    </row>
    <row r="307" spans="1:29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76">ROUND(SUM(H302:H306),5)</f>
        <v>358.49</v>
      </c>
      <c r="I307" s="63">
        <f t="shared" si="76"/>
        <v>0</v>
      </c>
      <c r="J307" s="64">
        <f t="shared" si="76"/>
        <v>1711.98</v>
      </c>
      <c r="K307" s="64">
        <f t="shared" si="76"/>
        <v>12672.96</v>
      </c>
      <c r="L307" s="65">
        <f t="shared" si="76"/>
        <v>4424.74</v>
      </c>
      <c r="M307" s="65">
        <f t="shared" si="76"/>
        <v>1400</v>
      </c>
      <c r="N307" s="66">
        <f t="shared" si="75"/>
        <v>6495.21</v>
      </c>
      <c r="O307" s="66">
        <f t="shared" si="75"/>
        <v>14072.96</v>
      </c>
      <c r="P307" s="69">
        <f t="shared" si="67"/>
        <v>2165.0700000000002</v>
      </c>
      <c r="Q307" s="69">
        <f t="shared" si="67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B307" s="66">
        <f>ROUND(SUM(AB302:AB306),5)</f>
        <v>0</v>
      </c>
      <c r="AC307" s="66">
        <f>ROUND(SUM(AC302:AC306),5)</f>
        <v>0</v>
      </c>
    </row>
    <row r="308" spans="1:29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B308" s="66"/>
      <c r="AC308" s="66"/>
    </row>
    <row r="309" spans="1:29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77">ROUND(H309+J309+L309,5)</f>
        <v>9703.68</v>
      </c>
      <c r="O309" s="66">
        <f t="shared" si="77"/>
        <v>5278.88</v>
      </c>
      <c r="P309" s="69">
        <f t="shared" si="67"/>
        <v>3234.56</v>
      </c>
      <c r="Q309" s="69">
        <f t="shared" si="67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B309" s="66"/>
      <c r="AC309" s="66"/>
    </row>
    <row r="310" spans="1:29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77"/>
        <v>884.39</v>
      </c>
      <c r="O310" s="66">
        <f t="shared" si="77"/>
        <v>2439.44</v>
      </c>
      <c r="P310" s="69">
        <f t="shared" si="67"/>
        <v>294.79666666666668</v>
      </c>
      <c r="Q310" s="69">
        <f t="shared" si="67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B310" s="66"/>
      <c r="AC310" s="66"/>
    </row>
    <row r="311" spans="1:29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77"/>
        <v>979.97</v>
      </c>
      <c r="O311" s="66">
        <f t="shared" si="77"/>
        <v>6758.46</v>
      </c>
      <c r="P311" s="69">
        <f t="shared" si="67"/>
        <v>326.65666666666669</v>
      </c>
      <c r="Q311" s="69">
        <f t="shared" si="67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B311" s="66"/>
      <c r="AC311" s="66"/>
    </row>
    <row r="312" spans="1:29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77"/>
        <v>404.46</v>
      </c>
      <c r="O312" s="66">
        <f t="shared" si="77"/>
        <v>1679.58</v>
      </c>
      <c r="P312" s="69">
        <f t="shared" si="67"/>
        <v>134.82</v>
      </c>
      <c r="Q312" s="69">
        <f t="shared" si="67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B312" s="66"/>
      <c r="AC312" s="66"/>
    </row>
    <row r="313" spans="1:29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77"/>
        <v>4314.07</v>
      </c>
      <c r="O313" s="66">
        <f t="shared" si="77"/>
        <v>2480.1999999999998</v>
      </c>
      <c r="P313" s="69">
        <f t="shared" si="67"/>
        <v>1438.0233333333333</v>
      </c>
      <c r="Q313" s="69">
        <f t="shared" si="67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B313" s="66"/>
      <c r="AC313" s="66"/>
    </row>
    <row r="314" spans="1:29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77"/>
        <v>487.74</v>
      </c>
      <c r="O314" s="66">
        <f t="shared" si="77"/>
        <v>912.08</v>
      </c>
      <c r="P314" s="69">
        <f t="shared" si="67"/>
        <v>162.58000000000001</v>
      </c>
      <c r="Q314" s="69">
        <f t="shared" si="67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B314" s="66"/>
      <c r="AC314" s="66"/>
    </row>
    <row r="315" spans="1:29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77"/>
        <v>2326.19</v>
      </c>
      <c r="O315" s="66">
        <f t="shared" si="77"/>
        <v>6398.6</v>
      </c>
      <c r="P315" s="69">
        <f t="shared" si="67"/>
        <v>775.39666666666665</v>
      </c>
      <c r="Q315" s="69">
        <f t="shared" si="67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B315" s="66"/>
      <c r="AC315" s="66"/>
    </row>
    <row r="316" spans="1:29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77"/>
        <v>229.23</v>
      </c>
      <c r="O316" s="66">
        <f t="shared" si="77"/>
        <v>2239.44</v>
      </c>
      <c r="P316" s="69">
        <f t="shared" si="67"/>
        <v>76.41</v>
      </c>
      <c r="Q316" s="69">
        <f t="shared" si="67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B316" s="66"/>
      <c r="AC316" s="66"/>
    </row>
    <row r="317" spans="1:29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77"/>
        <v>759.74</v>
      </c>
      <c r="O317" s="66">
        <f t="shared" si="77"/>
        <v>1524.12</v>
      </c>
      <c r="P317" s="69">
        <f t="shared" si="67"/>
        <v>253.24666666666667</v>
      </c>
      <c r="Q317" s="69">
        <f t="shared" si="67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B317" s="66"/>
      <c r="AC317" s="66"/>
    </row>
    <row r="318" spans="1:29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77"/>
        <v>84.4</v>
      </c>
      <c r="O318" s="73">
        <f t="shared" si="77"/>
        <v>0</v>
      </c>
      <c r="P318" s="74">
        <f t="shared" si="67"/>
        <v>28.133333333333336</v>
      </c>
      <c r="Q318" s="74">
        <f t="shared" si="67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B318" s="73"/>
      <c r="AC318" s="73"/>
    </row>
    <row r="319" spans="1:29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78">ROUND(SUM(H308:H318),5)</f>
        <v>5951.81</v>
      </c>
      <c r="I319" s="63">
        <f t="shared" si="78"/>
        <v>0</v>
      </c>
      <c r="J319" s="64">
        <f t="shared" si="78"/>
        <v>9394.2800000000007</v>
      </c>
      <c r="K319" s="64">
        <f t="shared" si="78"/>
        <v>26310.799999999999</v>
      </c>
      <c r="L319" s="65">
        <f t="shared" si="78"/>
        <v>4827.78</v>
      </c>
      <c r="M319" s="65">
        <f t="shared" si="78"/>
        <v>3400</v>
      </c>
      <c r="N319" s="66">
        <f t="shared" si="77"/>
        <v>20173.87</v>
      </c>
      <c r="O319" s="66">
        <f t="shared" si="77"/>
        <v>29710.799999999999</v>
      </c>
      <c r="P319" s="69">
        <f t="shared" si="67"/>
        <v>6724.623333333333</v>
      </c>
      <c r="Q319" s="69">
        <f t="shared" si="67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B319" s="66">
        <f>ROUND(SUM(AB308:AB318),5)</f>
        <v>0</v>
      </c>
      <c r="AC319" s="66">
        <f>ROUND(SUM(AC308:AC318),5)</f>
        <v>0</v>
      </c>
    </row>
    <row r="320" spans="1:29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B320" s="66"/>
      <c r="AC320" s="66"/>
    </row>
    <row r="321" spans="1:30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79">ROUND(H321+J321+L321,5)</f>
        <v>17798.97</v>
      </c>
      <c r="O321" s="66">
        <f t="shared" si="79"/>
        <v>26035.49</v>
      </c>
      <c r="P321" s="69">
        <f t="shared" si="67"/>
        <v>5932.9900000000007</v>
      </c>
      <c r="Q321" s="69">
        <f t="shared" si="67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B321" s="66"/>
      <c r="AC321" s="66"/>
    </row>
    <row r="322" spans="1:30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79"/>
        <v>3570.09</v>
      </c>
      <c r="O322" s="66">
        <f t="shared" si="79"/>
        <v>10078.280000000001</v>
      </c>
      <c r="P322" s="69">
        <f t="shared" si="67"/>
        <v>1190.03</v>
      </c>
      <c r="Q322" s="69">
        <f t="shared" si="67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B322" s="66"/>
      <c r="AC322" s="66"/>
    </row>
    <row r="323" spans="1:30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79"/>
        <v>7211.43</v>
      </c>
      <c r="O323" s="66">
        <f t="shared" si="79"/>
        <v>7893.22</v>
      </c>
      <c r="P323" s="69">
        <f t="shared" si="67"/>
        <v>2403.81</v>
      </c>
      <c r="Q323" s="69">
        <f t="shared" si="67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B323" s="66"/>
      <c r="AC323" s="66"/>
    </row>
    <row r="324" spans="1:30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79"/>
        <v>1219.69</v>
      </c>
      <c r="O324" s="66">
        <f t="shared" si="79"/>
        <v>1271.28</v>
      </c>
      <c r="P324" s="69">
        <f t="shared" ref="P324:Q387" si="80">N324/3</f>
        <v>406.56333333333333</v>
      </c>
      <c r="Q324" s="69">
        <f t="shared" si="80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B324" s="66"/>
      <c r="AC324" s="66"/>
    </row>
    <row r="325" spans="1:30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79"/>
        <v>20508.62</v>
      </c>
      <c r="O325" s="66">
        <f t="shared" si="79"/>
        <v>19153.73</v>
      </c>
      <c r="P325" s="69">
        <f t="shared" si="80"/>
        <v>6836.206666666666</v>
      </c>
      <c r="Q325" s="69">
        <f t="shared" si="80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B325" s="66"/>
      <c r="AC325" s="66"/>
    </row>
    <row r="326" spans="1:30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79"/>
        <v>2276.86</v>
      </c>
      <c r="O326" s="66">
        <f t="shared" si="79"/>
        <v>0</v>
      </c>
      <c r="P326" s="69">
        <f t="shared" si="80"/>
        <v>758.95333333333338</v>
      </c>
      <c r="Q326" s="69">
        <f t="shared" si="80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B326" s="66"/>
      <c r="AC326" s="66"/>
    </row>
    <row r="327" spans="1:30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B327" s="73"/>
      <c r="AC327" s="73"/>
    </row>
    <row r="328" spans="1:30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81">ROUND(SUM(H320:H326),5)</f>
        <v>14703.25</v>
      </c>
      <c r="I328" s="63">
        <f t="shared" si="81"/>
        <v>0</v>
      </c>
      <c r="J328" s="64">
        <f t="shared" si="81"/>
        <v>19844.400000000001</v>
      </c>
      <c r="K328" s="64">
        <f t="shared" si="81"/>
        <v>9669.84</v>
      </c>
      <c r="L328" s="65">
        <f t="shared" si="81"/>
        <v>18038.009999999998</v>
      </c>
      <c r="M328" s="65">
        <f t="shared" si="81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80"/>
        <v>17528.553333333333</v>
      </c>
      <c r="Q328" s="69">
        <f t="shared" si="80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B328" s="66">
        <f>ROUND(SUM(AB320:AB327),5)</f>
        <v>0</v>
      </c>
      <c r="AC328" s="66">
        <f>ROUND(SUM(AC320:AC327),5)</f>
        <v>0</v>
      </c>
    </row>
    <row r="329" spans="1:30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B329" s="66"/>
      <c r="AC329" s="66"/>
    </row>
    <row r="330" spans="1:30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82">ROUND(H330+J330+L330,5)</f>
        <v>291196.26</v>
      </c>
      <c r="O330" s="73">
        <f t="shared" si="82"/>
        <v>74045.47</v>
      </c>
      <c r="P330" s="74">
        <f t="shared" si="80"/>
        <v>97065.42</v>
      </c>
      <c r="Q330" s="74">
        <f t="shared" si="80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B330" s="73"/>
      <c r="AC330" s="73"/>
    </row>
    <row r="331" spans="1:30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83">ROUND(SUM(H329:H330),5)</f>
        <v>70479.55</v>
      </c>
      <c r="I331" s="63">
        <f t="shared" si="83"/>
        <v>74045.47</v>
      </c>
      <c r="J331" s="64">
        <f t="shared" si="83"/>
        <v>78550</v>
      </c>
      <c r="K331" s="64">
        <f t="shared" si="83"/>
        <v>0</v>
      </c>
      <c r="L331" s="65">
        <f t="shared" si="83"/>
        <v>142166.71</v>
      </c>
      <c r="M331" s="65">
        <f t="shared" si="83"/>
        <v>0</v>
      </c>
      <c r="N331" s="66">
        <f t="shared" si="82"/>
        <v>291196.26</v>
      </c>
      <c r="O331" s="66">
        <f t="shared" si="82"/>
        <v>74045.47</v>
      </c>
      <c r="P331" s="69">
        <f t="shared" si="80"/>
        <v>97065.42</v>
      </c>
      <c r="Q331" s="69">
        <f t="shared" si="80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B331" si="84">ROUND(SUM(Z329:Z330),5)</f>
        <v>0</v>
      </c>
      <c r="AB331" s="66">
        <f t="shared" si="84"/>
        <v>0</v>
      </c>
      <c r="AC331" s="66">
        <f t="shared" ref="AC331" si="85">ROUND(SUM(AC329:AC330),5)</f>
        <v>0</v>
      </c>
    </row>
    <row r="332" spans="1:30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82"/>
        <v>0</v>
      </c>
      <c r="O332" s="73">
        <f t="shared" si="82"/>
        <v>61404.95</v>
      </c>
      <c r="P332" s="74">
        <f t="shared" si="80"/>
        <v>0</v>
      </c>
      <c r="Q332" s="74">
        <f t="shared" si="80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B332" s="73">
        <v>0</v>
      </c>
      <c r="AC332" s="73">
        <v>0</v>
      </c>
    </row>
    <row r="333" spans="1:30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86">ROUND(SUM(H227:H228)+H234+H257+H263+H280+H288+H301+H307+H319+H328+SUM(H331:H332),5)</f>
        <v>188585.61</v>
      </c>
      <c r="I333" s="63">
        <f t="shared" si="86"/>
        <v>138009</v>
      </c>
      <c r="J333" s="64">
        <f t="shared" si="86"/>
        <v>203924.74</v>
      </c>
      <c r="K333" s="64">
        <f t="shared" si="86"/>
        <v>194923.04</v>
      </c>
      <c r="L333" s="65">
        <f t="shared" si="86"/>
        <v>249596.1</v>
      </c>
      <c r="M333" s="65">
        <f t="shared" si="86"/>
        <v>148293.14000000001</v>
      </c>
      <c r="N333" s="66">
        <f t="shared" si="82"/>
        <v>642106.44999999995</v>
      </c>
      <c r="O333" s="66">
        <f t="shared" si="82"/>
        <v>481225.18</v>
      </c>
      <c r="P333" s="69">
        <f t="shared" si="80"/>
        <v>214035.48333333331</v>
      </c>
      <c r="Q333" s="69">
        <f t="shared" si="80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B333" s="80">
        <f>ROUND(SUM(AB227:AB228)+AB234+AB257+AB263+AB280+AB288+AB301+AB307+AB319+AB328+SUM(AB331:AB332),5)</f>
        <v>227894.31142000001</v>
      </c>
      <c r="AC333" s="80">
        <f>ROUND(SUM(AC227:AC228)+AC234+AC257+AC263+AC280+AC288+AC301+AC307+AC319+AC328+SUM(AC331:AC332),5)</f>
        <v>227894.31142000001</v>
      </c>
      <c r="AD333" s="46" t="s">
        <v>846</v>
      </c>
    </row>
    <row r="334" spans="1:30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B334" s="66"/>
      <c r="AC334" s="66"/>
    </row>
    <row r="335" spans="1:30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B335" s="66"/>
      <c r="AC335" s="66"/>
    </row>
    <row r="336" spans="1:30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87">ROUND(H336+J336+L336,5)</f>
        <v>21365</v>
      </c>
      <c r="O336" s="66">
        <v>0</v>
      </c>
      <c r="P336" s="69">
        <f t="shared" si="80"/>
        <v>7121.666666666667</v>
      </c>
      <c r="Q336" s="69">
        <f t="shared" si="80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B336" s="66">
        <v>0</v>
      </c>
      <c r="AC336" s="66">
        <v>0</v>
      </c>
    </row>
    <row r="337" spans="1:30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87"/>
        <v>97979.59</v>
      </c>
      <c r="O337" s="66">
        <f>ROUND(I337+K337+M337,5)</f>
        <v>40000</v>
      </c>
      <c r="P337" s="69">
        <f t="shared" si="80"/>
        <v>32659.863333333331</v>
      </c>
      <c r="Q337" s="69">
        <f t="shared" si="80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B337" s="66">
        <v>0</v>
      </c>
      <c r="AC337" s="66">
        <v>0</v>
      </c>
    </row>
    <row r="338" spans="1:30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87"/>
        <v>22480.97</v>
      </c>
      <c r="O338" s="66">
        <v>0</v>
      </c>
      <c r="P338" s="69">
        <f t="shared" si="80"/>
        <v>7493.6566666666668</v>
      </c>
      <c r="Q338" s="69">
        <f t="shared" si="80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B338" s="66">
        <v>0</v>
      </c>
      <c r="AC338" s="66">
        <v>0</v>
      </c>
    </row>
    <row r="339" spans="1:30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87"/>
        <v>680</v>
      </c>
      <c r="O339" s="66">
        <f>ROUND(I339+K339+M339,5)</f>
        <v>0</v>
      </c>
      <c r="P339" s="69">
        <f t="shared" si="80"/>
        <v>226.66666666666666</v>
      </c>
      <c r="Q339" s="69">
        <f t="shared" si="80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B339" s="107">
        <v>50000</v>
      </c>
      <c r="AC339" s="107">
        <v>50000</v>
      </c>
    </row>
    <row r="340" spans="1:30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B340" s="107">
        <v>50000</v>
      </c>
      <c r="AC340" s="107">
        <v>50000</v>
      </c>
    </row>
    <row r="341" spans="1:30" ht="16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87"/>
        <v>6830</v>
      </c>
      <c r="O341" s="73">
        <f>ROUND(I341+K341+M341,5)</f>
        <v>26000</v>
      </c>
      <c r="P341" s="74">
        <f t="shared" si="80"/>
        <v>2276.6666666666665</v>
      </c>
      <c r="Q341" s="74">
        <f t="shared" si="80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B341" s="73">
        <v>0</v>
      </c>
      <c r="AC341" s="73">
        <v>0</v>
      </c>
    </row>
    <row r="342" spans="1:30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88">ROUND(SUM(H335:H341),5)</f>
        <v>19670</v>
      </c>
      <c r="I342" s="63">
        <f t="shared" si="88"/>
        <v>0</v>
      </c>
      <c r="J342" s="64">
        <f t="shared" si="88"/>
        <v>94715.56</v>
      </c>
      <c r="K342" s="64">
        <f t="shared" si="88"/>
        <v>26000</v>
      </c>
      <c r="L342" s="65">
        <f t="shared" si="88"/>
        <v>34950</v>
      </c>
      <c r="M342" s="65">
        <f t="shared" si="88"/>
        <v>40000</v>
      </c>
      <c r="N342" s="66">
        <f t="shared" si="87"/>
        <v>149335.56</v>
      </c>
      <c r="O342" s="66">
        <f>ROUND(I342+K342+M342,5)</f>
        <v>66000</v>
      </c>
      <c r="P342" s="69">
        <f t="shared" si="80"/>
        <v>49778.52</v>
      </c>
      <c r="Q342" s="69">
        <f t="shared" si="80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B342" s="80">
        <f>ROUND(SUM(AB335:AB341),5)</f>
        <v>100000</v>
      </c>
      <c r="AC342" s="80">
        <f>ROUND(SUM(AC335:AC341),5)</f>
        <v>100000</v>
      </c>
    </row>
    <row r="343" spans="1:30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87"/>
        <v>110000</v>
      </c>
      <c r="O343" s="66">
        <f>ROUND(I343+K343+M343,5)</f>
        <v>135000</v>
      </c>
      <c r="P343" s="69">
        <f t="shared" si="80"/>
        <v>36666.666666666664</v>
      </c>
      <c r="Q343" s="69">
        <f t="shared" si="80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B343" s="66">
        <v>35000</v>
      </c>
      <c r="AC343" s="66">
        <v>35000</v>
      </c>
    </row>
    <row r="344" spans="1:30" x14ac:dyDescent="0.35">
      <c r="A344" s="66"/>
      <c r="B344" s="66"/>
      <c r="C344" s="49"/>
      <c r="D344" s="49"/>
      <c r="E344" s="49"/>
      <c r="F344" s="49" t="s">
        <v>341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87"/>
        <v>2807</v>
      </c>
      <c r="O344" s="66">
        <f>ROUND(I344+K344+M344,5)</f>
        <v>71745</v>
      </c>
      <c r="P344" s="69">
        <f t="shared" si="80"/>
        <v>935.66666666666663</v>
      </c>
      <c r="Q344" s="69">
        <f t="shared" si="80"/>
        <v>23915</v>
      </c>
      <c r="R344" s="54"/>
      <c r="S344" s="49"/>
      <c r="T344" s="49"/>
      <c r="U344" s="49"/>
      <c r="V344" s="49"/>
      <c r="W344" s="49"/>
      <c r="X344" s="49" t="s">
        <v>341</v>
      </c>
      <c r="Y344" s="49"/>
      <c r="Z344" s="66">
        <v>0</v>
      </c>
      <c r="AB344" s="82"/>
      <c r="AC344" s="82"/>
    </row>
    <row r="345" spans="1:30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87"/>
        <v>600</v>
      </c>
      <c r="O345" s="66">
        <v>0</v>
      </c>
      <c r="P345" s="69">
        <f t="shared" si="80"/>
        <v>200</v>
      </c>
      <c r="Q345" s="69">
        <f t="shared" si="80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B345" s="66">
        <v>0</v>
      </c>
      <c r="AC345" s="66">
        <v>0</v>
      </c>
    </row>
    <row r="346" spans="1:30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87"/>
        <v>4601.16</v>
      </c>
      <c r="O346" s="66">
        <f t="shared" si="87"/>
        <v>5000</v>
      </c>
      <c r="P346" s="69">
        <f t="shared" si="80"/>
        <v>1533.72</v>
      </c>
      <c r="Q346" s="69">
        <f t="shared" si="80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B346" s="66">
        <v>3000</v>
      </c>
      <c r="AC346" s="66">
        <v>3000</v>
      </c>
    </row>
    <row r="347" spans="1:30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87"/>
        <v>0</v>
      </c>
      <c r="O347" s="66">
        <f t="shared" si="87"/>
        <v>0</v>
      </c>
      <c r="P347" s="69">
        <f t="shared" si="80"/>
        <v>0</v>
      </c>
      <c r="Q347" s="69">
        <f t="shared" si="80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B347" s="66">
        <v>0</v>
      </c>
      <c r="AC347" s="66">
        <v>0</v>
      </c>
    </row>
    <row r="348" spans="1:30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87"/>
        <v>55866.65</v>
      </c>
      <c r="O348" s="66">
        <f t="shared" si="87"/>
        <v>39369.230000000003</v>
      </c>
      <c r="P348" s="69">
        <f t="shared" si="80"/>
        <v>18622.216666666667</v>
      </c>
      <c r="Q348" s="69">
        <f t="shared" si="80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B348" s="66">
        <v>19164</v>
      </c>
      <c r="AC348" s="66">
        <v>19164</v>
      </c>
    </row>
    <row r="349" spans="1:30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87"/>
        <v>12578.7</v>
      </c>
      <c r="O349" s="66">
        <f t="shared" si="87"/>
        <v>11353.85</v>
      </c>
      <c r="P349" s="69">
        <f t="shared" si="80"/>
        <v>4192.9000000000005</v>
      </c>
      <c r="Q349" s="69">
        <f t="shared" si="80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66"/>
      <c r="AB349" s="66">
        <v>735.7</v>
      </c>
      <c r="AC349" s="66">
        <v>735.7</v>
      </c>
    </row>
    <row r="350" spans="1:30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87"/>
        <v>43549.17</v>
      </c>
      <c r="O350" s="66">
        <f t="shared" si="87"/>
        <v>35000</v>
      </c>
      <c r="P350" s="69">
        <f t="shared" si="80"/>
        <v>14516.39</v>
      </c>
      <c r="Q350" s="69">
        <f t="shared" si="80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B350" s="66">
        <v>12117.4</v>
      </c>
      <c r="AC350" s="66">
        <v>12117.4</v>
      </c>
      <c r="AD350" s="46" t="s">
        <v>895</v>
      </c>
    </row>
    <row r="351" spans="1:30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87"/>
        <v>7760.69</v>
      </c>
      <c r="O351" s="66">
        <f t="shared" si="87"/>
        <v>20000</v>
      </c>
      <c r="P351" s="69">
        <f t="shared" si="80"/>
        <v>2586.8966666666665</v>
      </c>
      <c r="Q351" s="69">
        <f t="shared" si="80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B351" s="66">
        <v>0</v>
      </c>
      <c r="AC351" s="66">
        <v>0</v>
      </c>
    </row>
    <row r="352" spans="1:30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87"/>
        <v>44149.02</v>
      </c>
      <c r="O352" s="66">
        <f t="shared" si="87"/>
        <v>34250.04</v>
      </c>
      <c r="P352" s="69">
        <f t="shared" si="80"/>
        <v>14716.339999999998</v>
      </c>
      <c r="Q352" s="69">
        <f t="shared" si="80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B352" s="66">
        <v>20000</v>
      </c>
      <c r="AC352" s="66">
        <v>20000</v>
      </c>
    </row>
    <row r="353" spans="1:29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87"/>
        <v>1956.11</v>
      </c>
      <c r="O353" s="66">
        <f t="shared" si="87"/>
        <v>22500</v>
      </c>
      <c r="P353" s="69">
        <f t="shared" si="80"/>
        <v>652.03666666666663</v>
      </c>
      <c r="Q353" s="69">
        <f t="shared" si="80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B353" s="66">
        <v>0</v>
      </c>
      <c r="AC353" s="66">
        <v>0</v>
      </c>
    </row>
    <row r="354" spans="1:29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87"/>
        <v>34446</v>
      </c>
      <c r="O354" s="66">
        <f t="shared" si="87"/>
        <v>20748</v>
      </c>
      <c r="P354" s="69">
        <f t="shared" si="80"/>
        <v>11482</v>
      </c>
      <c r="Q354" s="69">
        <f t="shared" si="80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B354" s="66">
        <v>0</v>
      </c>
      <c r="AC354" s="66">
        <v>0</v>
      </c>
    </row>
    <row r="355" spans="1:29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87"/>
        <v>2154.44</v>
      </c>
      <c r="O355" s="66">
        <f t="shared" si="87"/>
        <v>3605</v>
      </c>
      <c r="P355" s="69">
        <f t="shared" si="80"/>
        <v>718.14666666666665</v>
      </c>
      <c r="Q355" s="69">
        <f t="shared" si="80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B355" s="66">
        <v>0</v>
      </c>
      <c r="AC355" s="66">
        <v>0</v>
      </c>
    </row>
    <row r="356" spans="1:29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87"/>
        <v>20339.71</v>
      </c>
      <c r="O356" s="66">
        <f t="shared" si="87"/>
        <v>13000</v>
      </c>
      <c r="P356" s="69">
        <f t="shared" si="80"/>
        <v>6779.9033333333327</v>
      </c>
      <c r="Q356" s="69">
        <f t="shared" si="80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B356" s="66">
        <v>9000</v>
      </c>
      <c r="AC356" s="66">
        <v>9000</v>
      </c>
    </row>
    <row r="357" spans="1:29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87"/>
        <v>500</v>
      </c>
      <c r="O357" s="66">
        <f t="shared" si="87"/>
        <v>0</v>
      </c>
      <c r="P357" s="69">
        <f t="shared" si="80"/>
        <v>166.66666666666666</v>
      </c>
      <c r="Q357" s="69">
        <f t="shared" si="80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B357" s="66">
        <v>0</v>
      </c>
      <c r="AC357" s="66">
        <v>0</v>
      </c>
    </row>
    <row r="358" spans="1:29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B358" s="66"/>
      <c r="AC358" s="66"/>
    </row>
    <row r="359" spans="1:29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89">ROUND(H359+J359+L359,5)</f>
        <v>84190</v>
      </c>
      <c r="O359" s="66">
        <f t="shared" si="89"/>
        <v>49784.88</v>
      </c>
      <c r="P359" s="69">
        <f t="shared" si="80"/>
        <v>28063.333333333332</v>
      </c>
      <c r="Q359" s="69">
        <f t="shared" si="80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B359" s="66">
        <v>0</v>
      </c>
      <c r="AC359" s="66">
        <v>0</v>
      </c>
    </row>
    <row r="360" spans="1:29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89"/>
        <v>0</v>
      </c>
      <c r="O360" s="73">
        <f t="shared" si="89"/>
        <v>15000</v>
      </c>
      <c r="P360" s="74">
        <f t="shared" si="80"/>
        <v>0</v>
      </c>
      <c r="Q360" s="74">
        <f t="shared" si="80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B360" s="73">
        <v>0</v>
      </c>
      <c r="AC360" s="73">
        <v>0</v>
      </c>
    </row>
    <row r="361" spans="1:29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90">ROUND(SUM(H358:H360),5)</f>
        <v>31425</v>
      </c>
      <c r="I361" s="63">
        <f t="shared" si="90"/>
        <v>15000</v>
      </c>
      <c r="J361" s="64">
        <f t="shared" si="90"/>
        <v>27367.5</v>
      </c>
      <c r="K361" s="64">
        <f t="shared" si="90"/>
        <v>28917.38</v>
      </c>
      <c r="L361" s="65">
        <f t="shared" si="90"/>
        <v>25397.5</v>
      </c>
      <c r="M361" s="65">
        <f t="shared" si="90"/>
        <v>20867.5</v>
      </c>
      <c r="N361" s="66">
        <f t="shared" si="89"/>
        <v>84190</v>
      </c>
      <c r="O361" s="66">
        <f t="shared" si="89"/>
        <v>64784.88</v>
      </c>
      <c r="P361" s="69">
        <f t="shared" si="80"/>
        <v>28063.333333333332</v>
      </c>
      <c r="Q361" s="69">
        <f t="shared" si="80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B361" s="80">
        <f>ROUND(SUM(AB358:AB360),5)</f>
        <v>0</v>
      </c>
      <c r="AC361" s="80">
        <f>ROUND(SUM(AC358:AC360),5)</f>
        <v>0</v>
      </c>
    </row>
    <row r="362" spans="1:29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89"/>
        <v>0</v>
      </c>
      <c r="O362" s="66">
        <f t="shared" si="89"/>
        <v>0</v>
      </c>
      <c r="P362" s="69">
        <f t="shared" si="80"/>
        <v>0</v>
      </c>
      <c r="Q362" s="69">
        <f t="shared" si="80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B362" s="66"/>
      <c r="AC362" s="66"/>
    </row>
    <row r="363" spans="1:29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91">ROUND(H334+SUM(H342:H357)+SUM(H361:H362),5)</f>
        <v>166149.76999999999</v>
      </c>
      <c r="I363" s="83">
        <f t="shared" si="91"/>
        <v>161924.6</v>
      </c>
      <c r="J363" s="84">
        <f t="shared" si="91"/>
        <v>213318.06</v>
      </c>
      <c r="K363" s="84">
        <f t="shared" si="91"/>
        <v>155784.65</v>
      </c>
      <c r="L363" s="85">
        <f t="shared" si="91"/>
        <v>195366.38</v>
      </c>
      <c r="M363" s="85">
        <f t="shared" si="91"/>
        <v>224646.75</v>
      </c>
      <c r="N363" s="86">
        <f t="shared" si="89"/>
        <v>574834.21</v>
      </c>
      <c r="O363" s="86">
        <f t="shared" si="89"/>
        <v>542356</v>
      </c>
      <c r="P363" s="87">
        <f t="shared" si="80"/>
        <v>191611.40333333332</v>
      </c>
      <c r="Q363" s="87">
        <f t="shared" si="80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B363" s="88">
        <f>ROUND(AB334+SUM(AB342:AB357)+SUM(AB361:AB362),5)</f>
        <v>199017.1</v>
      </c>
      <c r="AC363" s="88">
        <f>ROUND(AC334+SUM(AC342:AC357)+SUM(AC361:AC362),5)</f>
        <v>199017.1</v>
      </c>
    </row>
    <row r="364" spans="1:29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92">ROUND(H226+H333+H363,5)</f>
        <v>354735.38</v>
      </c>
      <c r="I364" s="63">
        <f t="shared" si="92"/>
        <v>299933.59999999998</v>
      </c>
      <c r="J364" s="64">
        <f t="shared" si="92"/>
        <v>417242.8</v>
      </c>
      <c r="K364" s="64">
        <f t="shared" si="92"/>
        <v>350707.69</v>
      </c>
      <c r="L364" s="65">
        <f t="shared" si="92"/>
        <v>444962.48</v>
      </c>
      <c r="M364" s="65">
        <f t="shared" si="92"/>
        <v>372939.89</v>
      </c>
      <c r="N364" s="66">
        <f t="shared" si="89"/>
        <v>1216940.6599999999</v>
      </c>
      <c r="O364" s="66">
        <f t="shared" si="89"/>
        <v>1023581.18</v>
      </c>
      <c r="P364" s="69">
        <f t="shared" si="80"/>
        <v>405646.88666666666</v>
      </c>
      <c r="Q364" s="69">
        <f t="shared" si="80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B364" s="66">
        <f>ROUND(AB226+AB333+AB363,5)</f>
        <v>426911.41142000002</v>
      </c>
      <c r="AC364" s="66">
        <f>ROUND(AC226+AC333+AC363,5)</f>
        <v>426911.41142000002</v>
      </c>
    </row>
    <row r="365" spans="1:29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B365" s="66"/>
      <c r="AC365" s="66"/>
    </row>
    <row r="366" spans="1:29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93">ROUND(H366+J366+L366,5)</f>
        <v>65072</v>
      </c>
      <c r="O366" s="66">
        <f t="shared" si="93"/>
        <v>51375.6</v>
      </c>
      <c r="P366" s="69">
        <f t="shared" si="80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B366" s="66">
        <v>25200</v>
      </c>
      <c r="AC366" s="66">
        <v>25200</v>
      </c>
    </row>
    <row r="367" spans="1:29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93"/>
        <v>111140.02</v>
      </c>
      <c r="O367" s="66">
        <f t="shared" si="93"/>
        <v>112544.8</v>
      </c>
      <c r="P367" s="69">
        <f t="shared" si="80"/>
        <v>37046.673333333332</v>
      </c>
      <c r="Q367" s="69">
        <f t="shared" si="80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B367" s="66">
        <f>ROUND(37896.24, 0)</f>
        <v>37896</v>
      </c>
      <c r="AC367" s="66">
        <f>ROUND(37896.24, 0)</f>
        <v>37896</v>
      </c>
    </row>
    <row r="368" spans="1:29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93"/>
        <v>73064.12</v>
      </c>
      <c r="O368" s="66">
        <f t="shared" si="93"/>
        <v>69064.929999999993</v>
      </c>
      <c r="P368" s="69">
        <f t="shared" si="80"/>
        <v>24354.706666666665</v>
      </c>
      <c r="Q368" s="69">
        <f t="shared" si="80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B368" s="66">
        <v>26587</v>
      </c>
      <c r="AC368" s="66">
        <v>26587</v>
      </c>
    </row>
    <row r="369" spans="1:30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93"/>
        <v>83751.37</v>
      </c>
      <c r="O369" s="66">
        <f t="shared" si="93"/>
        <v>83288.960000000006</v>
      </c>
      <c r="P369" s="69">
        <f t="shared" si="80"/>
        <v>27917.123333333333</v>
      </c>
      <c r="Q369" s="69">
        <f t="shared" si="80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B369" s="66">
        <v>29904</v>
      </c>
      <c r="AC369" s="66">
        <v>29904</v>
      </c>
    </row>
    <row r="370" spans="1:30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93"/>
        <v>28135.19</v>
      </c>
      <c r="O370" s="66">
        <f t="shared" si="93"/>
        <v>34600</v>
      </c>
      <c r="P370" s="69">
        <f t="shared" si="80"/>
        <v>9378.3966666666656</v>
      </c>
      <c r="Q370" s="69">
        <f t="shared" si="80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B370" s="66">
        <v>9500</v>
      </c>
      <c r="AC370" s="66">
        <v>9500</v>
      </c>
    </row>
    <row r="371" spans="1:30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94">ROUND(SUM(H365:H370),5)</f>
        <v>114632.84</v>
      </c>
      <c r="I371" s="75">
        <f t="shared" si="94"/>
        <v>107960.9</v>
      </c>
      <c r="J371" s="76">
        <f t="shared" si="94"/>
        <v>123159.01</v>
      </c>
      <c r="K371" s="76">
        <f t="shared" si="94"/>
        <v>112474.39</v>
      </c>
      <c r="L371" s="77">
        <f t="shared" si="94"/>
        <v>123370.85</v>
      </c>
      <c r="M371" s="77">
        <f t="shared" si="94"/>
        <v>130439</v>
      </c>
      <c r="N371" s="78">
        <f t="shared" si="93"/>
        <v>361162.7</v>
      </c>
      <c r="O371" s="78">
        <f t="shared" si="93"/>
        <v>350874.29</v>
      </c>
      <c r="P371" s="79">
        <f t="shared" si="80"/>
        <v>120387.56666666667</v>
      </c>
      <c r="Q371" s="79">
        <f t="shared" si="80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B371" s="80">
        <f>ROUND(SUM(AB365:AB370),5)</f>
        <v>129087</v>
      </c>
      <c r="AC371" s="80">
        <f>ROUND(SUM(AC365:AC370),5)</f>
        <v>129087</v>
      </c>
    </row>
    <row r="372" spans="1:30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80"/>
        <v>0</v>
      </c>
      <c r="Q372" s="69">
        <f t="shared" si="80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B372" s="66"/>
      <c r="AC372" s="66"/>
    </row>
    <row r="373" spans="1:30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95">ROUND(H373+J373+L373,5)</f>
        <v>4736691.54</v>
      </c>
      <c r="O373" s="66">
        <f t="shared" si="95"/>
        <v>4809206.6399999997</v>
      </c>
      <c r="P373" s="69">
        <f t="shared" si="80"/>
        <v>1578897.18</v>
      </c>
      <c r="Q373" s="69">
        <f t="shared" si="80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B373" s="66">
        <f>ROUND(1735021.77, 0)</f>
        <v>1735022</v>
      </c>
      <c r="AC373" s="66">
        <f>ROUND(1705318.11, 0)</f>
        <v>1705318</v>
      </c>
      <c r="AD373" s="46" t="s">
        <v>889</v>
      </c>
    </row>
    <row r="374" spans="1:30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95"/>
        <v>186600.3</v>
      </c>
      <c r="O374" s="66">
        <f t="shared" si="95"/>
        <v>192368.27</v>
      </c>
      <c r="P374" s="69">
        <f t="shared" si="80"/>
        <v>62200.1</v>
      </c>
      <c r="Q374" s="69">
        <f t="shared" si="80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B374" s="66">
        <f>ROUND(69400.87, 0)</f>
        <v>69401</v>
      </c>
      <c r="AC374" s="66">
        <f>ROUND(68213.72, 0)</f>
        <v>68214</v>
      </c>
      <c r="AD374" s="46" t="s">
        <v>891</v>
      </c>
    </row>
    <row r="375" spans="1:30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95"/>
        <v>1242428.6000000001</v>
      </c>
      <c r="O375" s="66">
        <f t="shared" si="95"/>
        <v>1421274.67</v>
      </c>
      <c r="P375" s="69">
        <f t="shared" si="80"/>
        <v>414142.8666666667</v>
      </c>
      <c r="Q375" s="69">
        <f t="shared" si="80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B375" s="66">
        <f>ROUND(487194.11, 0)</f>
        <v>487194</v>
      </c>
      <c r="AC375" s="66">
        <f>ROUND(478853.32, 0)</f>
        <v>478853</v>
      </c>
      <c r="AD375" s="46" t="s">
        <v>890</v>
      </c>
    </row>
    <row r="376" spans="1:30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96">ROUND(SUM(H372:H375),5)</f>
        <v>1912297.24</v>
      </c>
      <c r="I376" s="75">
        <f t="shared" si="96"/>
        <v>2105179.7200000002</v>
      </c>
      <c r="J376" s="76">
        <f t="shared" si="96"/>
        <v>2104075.4500000002</v>
      </c>
      <c r="K376" s="76">
        <f t="shared" si="96"/>
        <v>2112580.67</v>
      </c>
      <c r="L376" s="77">
        <f t="shared" si="96"/>
        <v>2149347.75</v>
      </c>
      <c r="M376" s="77">
        <f t="shared" si="96"/>
        <v>2205089.19</v>
      </c>
      <c r="N376" s="78">
        <f t="shared" si="95"/>
        <v>6165720.4400000004</v>
      </c>
      <c r="O376" s="78">
        <f t="shared" si="95"/>
        <v>6422849.5800000001</v>
      </c>
      <c r="P376" s="79">
        <f t="shared" si="80"/>
        <v>2055240.1466666667</v>
      </c>
      <c r="Q376" s="79">
        <f t="shared" si="80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B376" s="80">
        <f>ROUND(SUM(AB372:AB375),5)</f>
        <v>2291617</v>
      </c>
      <c r="AC376" s="80">
        <f>ROUND(SUM(AC372:AC375),5)</f>
        <v>2252385</v>
      </c>
    </row>
    <row r="377" spans="1:30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B377" s="66"/>
      <c r="AC377" s="66"/>
    </row>
    <row r="378" spans="1:30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B378" s="66"/>
      <c r="AC378" s="66"/>
    </row>
    <row r="379" spans="1:30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97">ROUND(H379+J379+L379,5)</f>
        <v>4046.28</v>
      </c>
      <c r="O379" s="66">
        <f t="shared" si="97"/>
        <v>3800</v>
      </c>
      <c r="P379" s="69">
        <f t="shared" si="80"/>
        <v>1348.76</v>
      </c>
      <c r="Q379" s="69">
        <f t="shared" si="80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B379" s="66">
        <v>1200</v>
      </c>
      <c r="AC379" s="66">
        <v>1200</v>
      </c>
      <c r="AD379" s="81"/>
    </row>
    <row r="380" spans="1:30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97"/>
        <v>614951.03</v>
      </c>
      <c r="O380" s="66">
        <f t="shared" si="97"/>
        <v>486000</v>
      </c>
      <c r="P380" s="69">
        <f t="shared" si="80"/>
        <v>204983.67666666667</v>
      </c>
      <c r="Q380" s="69">
        <f t="shared" si="80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B380" s="66">
        <v>190000</v>
      </c>
      <c r="AC380" s="66">
        <v>190000</v>
      </c>
      <c r="AD380" s="81"/>
    </row>
    <row r="381" spans="1:30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97"/>
        <v>8559.83</v>
      </c>
      <c r="O381" s="66">
        <f t="shared" si="97"/>
        <v>12510</v>
      </c>
      <c r="P381" s="69">
        <f t="shared" si="80"/>
        <v>2853.2766666666666</v>
      </c>
      <c r="Q381" s="69">
        <f t="shared" si="80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B381" s="66">
        <v>4760</v>
      </c>
      <c r="AC381" s="66">
        <v>4760</v>
      </c>
      <c r="AD381" s="81"/>
    </row>
    <row r="382" spans="1:30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97"/>
        <v>309582.38</v>
      </c>
      <c r="O382" s="66">
        <f t="shared" si="97"/>
        <v>255250</v>
      </c>
      <c r="P382" s="69">
        <f t="shared" si="80"/>
        <v>103194.12666666666</v>
      </c>
      <c r="Q382" s="69">
        <f t="shared" si="80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B382" s="66">
        <v>84000</v>
      </c>
      <c r="AC382" s="66">
        <v>84000</v>
      </c>
      <c r="AD382" s="81"/>
    </row>
    <row r="383" spans="1:30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97"/>
        <v>0</v>
      </c>
      <c r="O383" s="66">
        <v>0</v>
      </c>
      <c r="P383" s="69">
        <f t="shared" si="80"/>
        <v>0</v>
      </c>
      <c r="Q383" s="69">
        <f t="shared" si="80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B383" s="66">
        <v>0</v>
      </c>
      <c r="AC383" s="66">
        <v>0</v>
      </c>
      <c r="AD383" s="81"/>
    </row>
    <row r="384" spans="1:30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97"/>
        <v>563757.04</v>
      </c>
      <c r="O384" s="66">
        <f t="shared" si="97"/>
        <v>385395</v>
      </c>
      <c r="P384" s="69">
        <f t="shared" si="80"/>
        <v>187919.01333333334</v>
      </c>
      <c r="Q384" s="69">
        <f t="shared" si="80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B384" s="66">
        <v>133280</v>
      </c>
      <c r="AC384" s="66">
        <v>133280</v>
      </c>
      <c r="AD384" s="81"/>
    </row>
    <row r="385" spans="1:30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97"/>
        <v>1218</v>
      </c>
      <c r="O385" s="66">
        <f t="shared" si="97"/>
        <v>18000</v>
      </c>
      <c r="P385" s="69">
        <f t="shared" si="80"/>
        <v>406</v>
      </c>
      <c r="Q385" s="69">
        <f t="shared" si="80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B385" s="66">
        <v>1000</v>
      </c>
      <c r="AC385" s="66">
        <v>1000</v>
      </c>
      <c r="AD385" s="81"/>
    </row>
    <row r="386" spans="1:30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/>
      <c r="AB386" s="82"/>
      <c r="AC386" s="82"/>
      <c r="AD386" s="81"/>
    </row>
    <row r="387" spans="1:30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97"/>
        <v>3483</v>
      </c>
      <c r="O387" s="66">
        <f t="shared" si="97"/>
        <v>13000</v>
      </c>
      <c r="P387" s="69">
        <f t="shared" si="80"/>
        <v>1161</v>
      </c>
      <c r="Q387" s="69">
        <f t="shared" si="80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B387" s="66">
        <v>16000</v>
      </c>
      <c r="AC387" s="66">
        <v>16000</v>
      </c>
      <c r="AD387" s="81"/>
    </row>
    <row r="388" spans="1:30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97"/>
        <v>2892.1</v>
      </c>
      <c r="O388" s="66">
        <f t="shared" si="97"/>
        <v>18250</v>
      </c>
      <c r="P388" s="69">
        <f t="shared" ref="P388:Q450" si="98">N388/3</f>
        <v>964.0333333333333</v>
      </c>
      <c r="Q388" s="69">
        <f t="shared" si="98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B388" s="66">
        <v>12000</v>
      </c>
      <c r="AC388" s="66">
        <v>12000</v>
      </c>
      <c r="AD388" s="81"/>
    </row>
    <row r="389" spans="1:30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97"/>
        <v>59350</v>
      </c>
      <c r="O389" s="66">
        <f t="shared" si="97"/>
        <v>38500</v>
      </c>
      <c r="P389" s="69">
        <f t="shared" si="98"/>
        <v>19783.333333333332</v>
      </c>
      <c r="Q389" s="69">
        <f t="shared" si="98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B389" s="66">
        <v>13500</v>
      </c>
      <c r="AC389" s="66">
        <v>13500</v>
      </c>
      <c r="AD389" s="81"/>
    </row>
    <row r="390" spans="1:30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97"/>
        <v>123607.99</v>
      </c>
      <c r="O390" s="66">
        <f t="shared" si="97"/>
        <v>94000</v>
      </c>
      <c r="P390" s="69">
        <f t="shared" si="98"/>
        <v>41202.663333333338</v>
      </c>
      <c r="Q390" s="69">
        <f t="shared" si="98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B390" s="66">
        <v>32000</v>
      </c>
      <c r="AC390" s="66">
        <v>32000</v>
      </c>
      <c r="AD390" s="81"/>
    </row>
    <row r="391" spans="1:30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97"/>
        <v>1886.2</v>
      </c>
      <c r="O391" s="66">
        <f t="shared" si="97"/>
        <v>3000</v>
      </c>
      <c r="P391" s="69">
        <f t="shared" si="98"/>
        <v>628.73333333333335</v>
      </c>
      <c r="Q391" s="69">
        <f t="shared" si="98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B391" s="66">
        <v>0</v>
      </c>
      <c r="AC391" s="66">
        <v>0</v>
      </c>
      <c r="AD391" s="81"/>
    </row>
    <row r="392" spans="1:30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97"/>
        <v>103295.59</v>
      </c>
      <c r="O392" s="66">
        <f t="shared" si="97"/>
        <v>55000</v>
      </c>
      <c r="P392" s="69">
        <f t="shared" si="98"/>
        <v>34431.863333333335</v>
      </c>
      <c r="Q392" s="69">
        <f t="shared" si="98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B392" s="66">
        <v>25000</v>
      </c>
      <c r="AC392" s="66">
        <v>25000</v>
      </c>
      <c r="AD392" s="81"/>
    </row>
    <row r="393" spans="1:30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97"/>
        <v>35000</v>
      </c>
      <c r="O393" s="66">
        <f t="shared" si="97"/>
        <v>35000</v>
      </c>
      <c r="P393" s="69">
        <f t="shared" si="98"/>
        <v>11666.666666666666</v>
      </c>
      <c r="Q393" s="69">
        <f t="shared" si="98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B393" s="66">
        <v>15000</v>
      </c>
      <c r="AC393" s="66">
        <v>15000</v>
      </c>
      <c r="AD393" s="81"/>
    </row>
    <row r="394" spans="1:30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97"/>
        <v>37071.82</v>
      </c>
      <c r="O394" s="66">
        <f t="shared" si="97"/>
        <v>21012</v>
      </c>
      <c r="P394" s="69">
        <f t="shared" si="98"/>
        <v>12357.273333333333</v>
      </c>
      <c r="Q394" s="69">
        <f t="shared" si="98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B394" s="66">
        <v>7616</v>
      </c>
      <c r="AC394" s="66">
        <v>7616</v>
      </c>
      <c r="AD394" s="81"/>
    </row>
    <row r="395" spans="1:30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99">ROUND(H395+J395+L395,5)</f>
        <v>8975</v>
      </c>
      <c r="O395" s="66">
        <f t="shared" si="99"/>
        <v>9000</v>
      </c>
      <c r="P395" s="69">
        <f t="shared" si="98"/>
        <v>2991.6666666666665</v>
      </c>
      <c r="Q395" s="69">
        <f t="shared" si="98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B395" s="66">
        <v>3000</v>
      </c>
      <c r="AC395" s="66">
        <v>3000</v>
      </c>
      <c r="AD395" s="81"/>
    </row>
    <row r="396" spans="1:30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99"/>
        <v>52589.599999999999</v>
      </c>
      <c r="O396" s="66">
        <f t="shared" si="99"/>
        <v>30000</v>
      </c>
      <c r="P396" s="69">
        <f t="shared" si="98"/>
        <v>17529.866666666665</v>
      </c>
      <c r="Q396" s="69">
        <f t="shared" si="98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B396" s="66">
        <v>10000</v>
      </c>
      <c r="AC396" s="66">
        <v>10000</v>
      </c>
      <c r="AD396" s="81"/>
    </row>
    <row r="397" spans="1:30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99"/>
        <v>7521.01</v>
      </c>
      <c r="O397" s="66">
        <f t="shared" si="99"/>
        <v>33000</v>
      </c>
      <c r="P397" s="69">
        <f t="shared" si="98"/>
        <v>2507.0033333333336</v>
      </c>
      <c r="Q397" s="69">
        <f t="shared" si="98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B397" s="66">
        <v>10000</v>
      </c>
      <c r="AC397" s="66">
        <v>10000</v>
      </c>
      <c r="AD397" s="81"/>
    </row>
    <row r="398" spans="1:30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99"/>
        <v>0</v>
      </c>
      <c r="O398" s="66">
        <f t="shared" si="99"/>
        <v>600</v>
      </c>
      <c r="P398" s="69">
        <f t="shared" si="98"/>
        <v>0</v>
      </c>
      <c r="Q398" s="69">
        <f t="shared" si="98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B398" s="66">
        <v>0</v>
      </c>
      <c r="AC398" s="66">
        <v>0</v>
      </c>
      <c r="AD398" s="81"/>
    </row>
    <row r="399" spans="1:30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99"/>
        <v>0</v>
      </c>
      <c r="O399" s="66">
        <f t="shared" si="99"/>
        <v>2000</v>
      </c>
      <c r="P399" s="69">
        <f t="shared" si="98"/>
        <v>0</v>
      </c>
      <c r="Q399" s="69">
        <f t="shared" si="98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B399" s="66">
        <v>0</v>
      </c>
      <c r="AC399" s="66">
        <v>0</v>
      </c>
      <c r="AD399" s="81"/>
    </row>
    <row r="400" spans="1:30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99"/>
        <v>17586.919999999998</v>
      </c>
      <c r="O400" s="66">
        <f t="shared" si="99"/>
        <v>14000</v>
      </c>
      <c r="P400" s="69">
        <f t="shared" si="98"/>
        <v>5862.3066666666664</v>
      </c>
      <c r="Q400" s="69">
        <f t="shared" si="98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B400" s="66">
        <v>5000</v>
      </c>
      <c r="AC400" s="66">
        <v>5000</v>
      </c>
      <c r="AD400" s="81"/>
    </row>
    <row r="401" spans="1:30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99"/>
        <v>263874.56</v>
      </c>
      <c r="O401" s="66">
        <f t="shared" si="99"/>
        <v>238680</v>
      </c>
      <c r="P401" s="69">
        <f t="shared" si="98"/>
        <v>87958.186666666661</v>
      </c>
      <c r="Q401" s="69">
        <f t="shared" si="98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B401" s="66">
        <f>16000+38080</f>
        <v>54080</v>
      </c>
      <c r="AC401" s="66">
        <f>16000+38080</f>
        <v>54080</v>
      </c>
      <c r="AD401" s="81"/>
    </row>
    <row r="402" spans="1:30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99"/>
        <v>40633.14</v>
      </c>
      <c r="O402" s="66">
        <f t="shared" si="99"/>
        <v>30000</v>
      </c>
      <c r="P402" s="69">
        <f t="shared" si="98"/>
        <v>13544.38</v>
      </c>
      <c r="Q402" s="69">
        <f t="shared" si="98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B402" s="66">
        <v>10000</v>
      </c>
      <c r="AC402" s="66">
        <v>10000</v>
      </c>
      <c r="AD402" s="81"/>
    </row>
    <row r="403" spans="1:30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B403" s="66">
        <v>7000</v>
      </c>
      <c r="AC403" s="66">
        <v>7000</v>
      </c>
      <c r="AD403" s="81"/>
    </row>
    <row r="404" spans="1:30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98"/>
        <v>6954.9000000000005</v>
      </c>
      <c r="Q404" s="74">
        <f t="shared" si="98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B404" s="66">
        <v>0</v>
      </c>
      <c r="AC404" s="66">
        <v>0</v>
      </c>
      <c r="AD404" s="81"/>
    </row>
    <row r="405" spans="1:30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100">ROUND(SUM(H403:H404),5)</f>
        <v>4300</v>
      </c>
      <c r="I405" s="63">
        <f t="shared" si="100"/>
        <v>5000</v>
      </c>
      <c r="J405" s="64">
        <f t="shared" si="100"/>
        <v>13564.7</v>
      </c>
      <c r="K405" s="64">
        <f t="shared" si="100"/>
        <v>5000</v>
      </c>
      <c r="L405" s="65">
        <f t="shared" si="100"/>
        <v>3000</v>
      </c>
      <c r="M405" s="65">
        <f t="shared" si="100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98"/>
        <v>6954.9000000000005</v>
      </c>
      <c r="Q405" s="69">
        <f t="shared" si="98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B405" s="66"/>
      <c r="AC405" s="66"/>
      <c r="AD405" s="81"/>
    </row>
    <row r="406" spans="1:30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101">ROUND(H406+J406+L406,5)</f>
        <v>105788.02</v>
      </c>
      <c r="O406" s="66"/>
      <c r="P406" s="69">
        <f t="shared" si="98"/>
        <v>35262.673333333332</v>
      </c>
      <c r="Q406" s="69">
        <f t="shared" si="98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B406" s="66"/>
      <c r="AC406" s="66"/>
      <c r="AD406" s="81"/>
    </row>
    <row r="407" spans="1:30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101"/>
        <v>27888.79</v>
      </c>
      <c r="O407" s="66">
        <f t="shared" si="101"/>
        <v>14500</v>
      </c>
      <c r="P407" s="69">
        <f t="shared" si="98"/>
        <v>9296.2633333333342</v>
      </c>
      <c r="Q407" s="69">
        <f t="shared" si="98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B407" s="66">
        <v>6000</v>
      </c>
      <c r="AC407" s="66">
        <v>6000</v>
      </c>
      <c r="AD407" s="81"/>
    </row>
    <row r="408" spans="1:30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101"/>
        <v>1953.33</v>
      </c>
      <c r="O408" s="66">
        <f t="shared" si="101"/>
        <v>6000</v>
      </c>
      <c r="P408" s="69">
        <f t="shared" si="98"/>
        <v>651.11</v>
      </c>
      <c r="Q408" s="69">
        <f t="shared" si="98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B408" s="66">
        <v>2000</v>
      </c>
      <c r="AC408" s="66">
        <v>2000</v>
      </c>
      <c r="AD408" s="81"/>
    </row>
    <row r="409" spans="1:30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101"/>
        <v>30325</v>
      </c>
      <c r="O409" s="66">
        <f t="shared" si="101"/>
        <v>48125</v>
      </c>
      <c r="P409" s="69">
        <f t="shared" si="98"/>
        <v>10108.333333333334</v>
      </c>
      <c r="Q409" s="69">
        <f t="shared" si="98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B409" s="66">
        <v>16875</v>
      </c>
      <c r="AC409" s="66">
        <v>16875</v>
      </c>
      <c r="AD409" s="81"/>
    </row>
    <row r="410" spans="1:30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101"/>
        <v>27786.38</v>
      </c>
      <c r="O410" s="66">
        <f t="shared" si="101"/>
        <v>28000</v>
      </c>
      <c r="P410" s="69">
        <f t="shared" si="98"/>
        <v>9262.126666666667</v>
      </c>
      <c r="Q410" s="69">
        <f t="shared" si="98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B410" s="66">
        <v>10000</v>
      </c>
      <c r="AC410" s="66">
        <v>10000</v>
      </c>
      <c r="AD410" s="81"/>
    </row>
    <row r="411" spans="1:30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101"/>
        <v>26434.84</v>
      </c>
      <c r="O411" s="66">
        <f t="shared" si="101"/>
        <v>22000</v>
      </c>
      <c r="P411" s="69">
        <f t="shared" si="98"/>
        <v>8811.6133333333328</v>
      </c>
      <c r="Q411" s="69">
        <f t="shared" si="98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B411" s="66">
        <v>8000</v>
      </c>
      <c r="AC411" s="66">
        <v>8000</v>
      </c>
      <c r="AD411" s="81"/>
    </row>
    <row r="412" spans="1:30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101"/>
        <v>345.05</v>
      </c>
      <c r="O412" s="66">
        <f t="shared" si="101"/>
        <v>5000</v>
      </c>
      <c r="P412" s="69">
        <f t="shared" si="98"/>
        <v>115.01666666666667</v>
      </c>
      <c r="Q412" s="69">
        <f t="shared" si="98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B412" s="66">
        <v>2000</v>
      </c>
      <c r="AC412" s="66">
        <v>2000</v>
      </c>
      <c r="AD412" s="81"/>
    </row>
    <row r="413" spans="1:30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101"/>
        <v>3188.14</v>
      </c>
      <c r="O413" s="66">
        <v>0</v>
      </c>
      <c r="P413" s="69">
        <f t="shared" si="98"/>
        <v>1062.7133333333334</v>
      </c>
      <c r="Q413" s="69">
        <f t="shared" si="98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B413" s="66">
        <v>0</v>
      </c>
      <c r="AC413" s="66">
        <v>0</v>
      </c>
      <c r="AD413" s="81"/>
    </row>
    <row r="414" spans="1:30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101"/>
        <v>15583.87</v>
      </c>
      <c r="O414" s="66">
        <f t="shared" si="101"/>
        <v>20000</v>
      </c>
      <c r="P414" s="69">
        <f t="shared" si="98"/>
        <v>5194.6233333333339</v>
      </c>
      <c r="Q414" s="69">
        <f t="shared" si="98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B414" s="66">
        <v>5000</v>
      </c>
      <c r="AC414" s="66">
        <v>5000</v>
      </c>
      <c r="AD414" s="81"/>
    </row>
    <row r="415" spans="1:30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101"/>
        <v>4107.4799999999996</v>
      </c>
      <c r="O415" s="66">
        <f t="shared" si="101"/>
        <v>8000</v>
      </c>
      <c r="P415" s="69">
        <f t="shared" si="98"/>
        <v>1369.1599999999999</v>
      </c>
      <c r="Q415" s="69">
        <f t="shared" si="98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B415" s="66">
        <v>2000</v>
      </c>
      <c r="AC415" s="66">
        <v>2000</v>
      </c>
      <c r="AD415" s="81"/>
    </row>
    <row r="416" spans="1:30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101"/>
        <v>10387.33</v>
      </c>
      <c r="O416" s="66">
        <f t="shared" si="101"/>
        <v>11000</v>
      </c>
      <c r="P416" s="69">
        <f t="shared" si="98"/>
        <v>3462.4433333333332</v>
      </c>
      <c r="Q416" s="69">
        <f t="shared" si="98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B416" s="66">
        <v>4000</v>
      </c>
      <c r="AC416" s="66">
        <v>4000</v>
      </c>
      <c r="AD416" s="81"/>
    </row>
    <row r="417" spans="1:35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101"/>
        <v>123299.08</v>
      </c>
      <c r="O417" s="66">
        <f t="shared" si="101"/>
        <v>180000</v>
      </c>
      <c r="P417" s="69">
        <f t="shared" si="98"/>
        <v>41099.693333333336</v>
      </c>
      <c r="Q417" s="69">
        <f t="shared" si="98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B417" s="66">
        <v>60000</v>
      </c>
      <c r="AC417" s="66">
        <v>60000</v>
      </c>
      <c r="AD417" s="81"/>
    </row>
    <row r="418" spans="1:35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101"/>
        <v>53539.32</v>
      </c>
      <c r="O418" s="66">
        <f t="shared" si="101"/>
        <v>120000</v>
      </c>
      <c r="P418" s="69">
        <f t="shared" si="98"/>
        <v>17846.439999999999</v>
      </c>
      <c r="Q418" s="69">
        <f t="shared" si="98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B418" s="66">
        <v>50000</v>
      </c>
      <c r="AC418" s="66">
        <v>50000</v>
      </c>
      <c r="AD418" s="81"/>
    </row>
    <row r="419" spans="1:35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101"/>
        <v>81778</v>
      </c>
      <c r="O419" s="66">
        <f t="shared" si="101"/>
        <v>99652</v>
      </c>
      <c r="P419" s="69">
        <f t="shared" si="98"/>
        <v>27259.333333333332</v>
      </c>
      <c r="Q419" s="69">
        <f t="shared" si="98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B419" s="66">
        <v>33735</v>
      </c>
      <c r="AC419" s="66">
        <v>33735</v>
      </c>
      <c r="AD419" s="81"/>
    </row>
    <row r="420" spans="1:35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101"/>
        <v>148630.20000000001</v>
      </c>
      <c r="O420" s="66">
        <f t="shared" si="101"/>
        <v>100000</v>
      </c>
      <c r="P420" s="69">
        <f t="shared" si="98"/>
        <v>49543.4</v>
      </c>
      <c r="Q420" s="69">
        <f t="shared" si="98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B420" s="66">
        <v>40000</v>
      </c>
      <c r="AC420" s="66">
        <v>40000</v>
      </c>
      <c r="AD420" s="81"/>
    </row>
    <row r="421" spans="1:35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101"/>
        <v>1435.5</v>
      </c>
      <c r="O421" s="66">
        <f t="shared" si="101"/>
        <v>10500</v>
      </c>
      <c r="P421" s="69">
        <f t="shared" si="98"/>
        <v>478.5</v>
      </c>
      <c r="Q421" s="69">
        <f t="shared" si="98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B421" s="66">
        <v>0</v>
      </c>
      <c r="AC421" s="66">
        <v>0</v>
      </c>
      <c r="AD421" s="81"/>
    </row>
    <row r="422" spans="1:35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101"/>
        <v>32871.629999999997</v>
      </c>
      <c r="O422" s="66">
        <f t="shared" si="101"/>
        <v>58400</v>
      </c>
      <c r="P422" s="69">
        <f t="shared" si="98"/>
        <v>10957.21</v>
      </c>
      <c r="Q422" s="69">
        <f t="shared" si="98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B422" s="66">
        <v>30000</v>
      </c>
      <c r="AC422" s="66">
        <v>30000</v>
      </c>
      <c r="AD422" s="81"/>
    </row>
    <row r="423" spans="1:35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102">ROUND(SUM(H378:H402)+SUM(H405:H422),5)</f>
        <v>971394.67</v>
      </c>
      <c r="I423" s="75">
        <f t="shared" si="102"/>
        <v>759280</v>
      </c>
      <c r="J423" s="76">
        <f t="shared" si="102"/>
        <v>1081537.1200000001</v>
      </c>
      <c r="K423" s="76">
        <f t="shared" si="102"/>
        <v>896198</v>
      </c>
      <c r="L423" s="77">
        <f t="shared" si="102"/>
        <v>923156.36</v>
      </c>
      <c r="M423" s="77">
        <f t="shared" si="102"/>
        <v>887696</v>
      </c>
      <c r="N423" s="78">
        <f t="shared" si="101"/>
        <v>2976088.15</v>
      </c>
      <c r="O423" s="78">
        <f t="shared" si="101"/>
        <v>2543174</v>
      </c>
      <c r="P423" s="79">
        <f t="shared" si="98"/>
        <v>992029.3833333333</v>
      </c>
      <c r="Q423" s="79">
        <f t="shared" si="98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B423" s="80">
        <f>ROUND(SUM(AB378:AB422),5)</f>
        <v>904046</v>
      </c>
      <c r="AC423" s="80">
        <f>ROUND(SUM(AC378:AC422),5)</f>
        <v>904046</v>
      </c>
      <c r="AD423" s="127">
        <f>AB215-AB423</f>
        <v>-28046</v>
      </c>
    </row>
    <row r="424" spans="1:35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B424" s="66"/>
      <c r="AC424" s="66"/>
      <c r="AD424" s="128" t="s">
        <v>892</v>
      </c>
    </row>
    <row r="425" spans="1:35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98"/>
        <v>3054.66</v>
      </c>
      <c r="Q425" s="69">
        <f t="shared" si="98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B425" s="66">
        <v>0</v>
      </c>
      <c r="AC425" s="66">
        <v>0</v>
      </c>
    </row>
    <row r="426" spans="1:35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98"/>
        <v>1456.0866666666668</v>
      </c>
      <c r="Q426" s="69">
        <f t="shared" si="98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B426" s="66">
        <v>0</v>
      </c>
      <c r="AC426" s="66">
        <v>0</v>
      </c>
    </row>
    <row r="427" spans="1:35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98"/>
        <v>4510.7466666666669</v>
      </c>
      <c r="Q427" s="87">
        <f t="shared" si="98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B427" s="88">
        <f>ROUND(SUM(AB424:AB426),5)</f>
        <v>0</v>
      </c>
      <c r="AC427" s="88">
        <f>ROUND(SUM(AC424:AC426),5)</f>
        <v>0</v>
      </c>
    </row>
    <row r="428" spans="1:35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103">ROUND(H377+H423+H427,5)</f>
        <v>971394.67</v>
      </c>
      <c r="I428" s="63">
        <f t="shared" si="103"/>
        <v>759280</v>
      </c>
      <c r="J428" s="64">
        <f t="shared" si="103"/>
        <v>1094481.01</v>
      </c>
      <c r="K428" s="64">
        <f t="shared" si="103"/>
        <v>896198</v>
      </c>
      <c r="L428" s="65">
        <f t="shared" si="103"/>
        <v>923744.71</v>
      </c>
      <c r="M428" s="65">
        <f t="shared" si="103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98"/>
        <v>996540.13</v>
      </c>
      <c r="Q428" s="69">
        <f t="shared" si="98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B428" s="66">
        <f>ROUND(AB377+AB423+AB427,5)</f>
        <v>904046</v>
      </c>
      <c r="AC428" s="66">
        <f>ROUND(AC377+AC423+AC427,5)</f>
        <v>904046</v>
      </c>
    </row>
    <row r="429" spans="1:35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98"/>
        <v>0</v>
      </c>
      <c r="Q429" s="69">
        <f t="shared" si="98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B429" s="66"/>
      <c r="AC429" s="66"/>
    </row>
    <row r="430" spans="1:35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98"/>
        <v>0</v>
      </c>
      <c r="Q430" s="69">
        <f t="shared" si="98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B430" s="66"/>
      <c r="AC430" s="66"/>
      <c r="AD430" s="111">
        <v>20000</v>
      </c>
    </row>
    <row r="431" spans="1:35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104">ROUND(H431+J431+L431,5)</f>
        <v>22454.45</v>
      </c>
      <c r="O431" s="66">
        <f t="shared" si="104"/>
        <v>22500</v>
      </c>
      <c r="P431" s="69">
        <f t="shared" si="98"/>
        <v>7484.8166666666666</v>
      </c>
      <c r="Q431" s="69">
        <f t="shared" si="98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B431" s="66">
        <v>9000</v>
      </c>
      <c r="AC431" s="66">
        <f>AD431</f>
        <v>8862.5</v>
      </c>
      <c r="AD431" s="112">
        <f>4800+AI431</f>
        <v>8862.5</v>
      </c>
      <c r="AE431" s="81">
        <f>AB431-Z431</f>
        <v>0</v>
      </c>
      <c r="AF431" s="81">
        <f>AC431-AB431</f>
        <v>-137.5</v>
      </c>
      <c r="AG431" s="46">
        <v>13</v>
      </c>
      <c r="AH431" s="131">
        <f>AG431/$AG$441</f>
        <v>0.203125</v>
      </c>
      <c r="AI431" s="111">
        <f>$AD$430*AH431</f>
        <v>4062.5</v>
      </c>
    </row>
    <row r="432" spans="1:35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104"/>
        <v>13414.87</v>
      </c>
      <c r="O432" s="66">
        <f t="shared" si="104"/>
        <v>22500</v>
      </c>
      <c r="P432" s="69">
        <f t="shared" si="98"/>
        <v>4471.6233333333339</v>
      </c>
      <c r="Q432" s="69">
        <f t="shared" si="98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B432" s="66">
        <v>9000</v>
      </c>
      <c r="AC432" s="66">
        <f t="shared" ref="AC432:AC440" si="105">AD432</f>
        <v>6987.5</v>
      </c>
      <c r="AD432" s="112">
        <f t="shared" ref="AD432:AD440" si="106">4800+AI432</f>
        <v>6987.5</v>
      </c>
      <c r="AE432" s="81">
        <f t="shared" ref="AE432:AE489" si="107">AB432-Z432</f>
        <v>0</v>
      </c>
      <c r="AF432" s="81">
        <f t="shared" ref="AF432:AF495" si="108">AC432-AB432</f>
        <v>-2012.5</v>
      </c>
      <c r="AG432" s="46">
        <v>7</v>
      </c>
      <c r="AH432" s="131">
        <f t="shared" ref="AH432:AH440" si="109">AG432/$AG$441</f>
        <v>0.109375</v>
      </c>
      <c r="AI432" s="111">
        <f t="shared" ref="AI432:AI440" si="110">$AD$430*AH432</f>
        <v>2187.5</v>
      </c>
    </row>
    <row r="433" spans="1:35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104"/>
        <v>14590.26</v>
      </c>
      <c r="O433" s="66">
        <f t="shared" si="104"/>
        <v>22500</v>
      </c>
      <c r="P433" s="69">
        <f t="shared" si="98"/>
        <v>4863.42</v>
      </c>
      <c r="Q433" s="69">
        <f t="shared" si="98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B433" s="66">
        <v>9000</v>
      </c>
      <c r="AC433" s="66">
        <f t="shared" si="105"/>
        <v>6675</v>
      </c>
      <c r="AD433" s="112">
        <f t="shared" si="106"/>
        <v>6675</v>
      </c>
      <c r="AE433" s="81">
        <f t="shared" si="107"/>
        <v>0</v>
      </c>
      <c r="AF433" s="81">
        <f t="shared" si="108"/>
        <v>-2325</v>
      </c>
      <c r="AG433" s="46">
        <v>6</v>
      </c>
      <c r="AH433" s="131">
        <f t="shared" si="109"/>
        <v>9.375E-2</v>
      </c>
      <c r="AI433" s="111">
        <f t="shared" si="110"/>
        <v>1875</v>
      </c>
    </row>
    <row r="434" spans="1:35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104"/>
        <v>11509.98</v>
      </c>
      <c r="O434" s="66">
        <f t="shared" si="104"/>
        <v>22500</v>
      </c>
      <c r="P434" s="69">
        <f t="shared" si="98"/>
        <v>3836.66</v>
      </c>
      <c r="Q434" s="69">
        <f t="shared" si="98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B434" s="66">
        <v>9000</v>
      </c>
      <c r="AC434" s="66">
        <f t="shared" si="105"/>
        <v>6987.5</v>
      </c>
      <c r="AD434" s="112">
        <f t="shared" si="106"/>
        <v>6987.5</v>
      </c>
      <c r="AE434" s="81">
        <f t="shared" si="107"/>
        <v>0</v>
      </c>
      <c r="AF434" s="81">
        <f t="shared" si="108"/>
        <v>-2012.5</v>
      </c>
      <c r="AG434" s="46">
        <v>7</v>
      </c>
      <c r="AH434" s="131">
        <f t="shared" si="109"/>
        <v>0.109375</v>
      </c>
      <c r="AI434" s="111">
        <f t="shared" si="110"/>
        <v>2187.5</v>
      </c>
    </row>
    <row r="435" spans="1:35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104"/>
        <v>19031.37</v>
      </c>
      <c r="O435" s="66">
        <f t="shared" si="104"/>
        <v>22500</v>
      </c>
      <c r="P435" s="69">
        <f t="shared" si="98"/>
        <v>6343.79</v>
      </c>
      <c r="Q435" s="69">
        <f t="shared" si="98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B435" s="66">
        <v>9000</v>
      </c>
      <c r="AC435" s="66">
        <f t="shared" si="105"/>
        <v>7300</v>
      </c>
      <c r="AD435" s="112">
        <f t="shared" si="106"/>
        <v>7300</v>
      </c>
      <c r="AE435" s="81">
        <f t="shared" si="107"/>
        <v>0</v>
      </c>
      <c r="AF435" s="81">
        <f t="shared" si="108"/>
        <v>-1700</v>
      </c>
      <c r="AG435" s="46">
        <v>8</v>
      </c>
      <c r="AH435" s="131">
        <f t="shared" si="109"/>
        <v>0.125</v>
      </c>
      <c r="AI435" s="111">
        <f t="shared" si="110"/>
        <v>2500</v>
      </c>
    </row>
    <row r="436" spans="1:35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104"/>
        <v>19829.439999999999</v>
      </c>
      <c r="O436" s="66">
        <f t="shared" si="104"/>
        <v>22500</v>
      </c>
      <c r="P436" s="69">
        <f t="shared" si="98"/>
        <v>6609.8133333333326</v>
      </c>
      <c r="Q436" s="69">
        <f t="shared" si="98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B436" s="66">
        <v>9000</v>
      </c>
      <c r="AC436" s="66">
        <f t="shared" si="105"/>
        <v>6987.5</v>
      </c>
      <c r="AD436" s="112">
        <f t="shared" si="106"/>
        <v>6987.5</v>
      </c>
      <c r="AE436" s="81">
        <f t="shared" si="107"/>
        <v>0</v>
      </c>
      <c r="AF436" s="81">
        <f t="shared" si="108"/>
        <v>-2012.5</v>
      </c>
      <c r="AG436" s="46">
        <v>7</v>
      </c>
      <c r="AH436" s="131">
        <f t="shared" si="109"/>
        <v>0.109375</v>
      </c>
      <c r="AI436" s="111">
        <f t="shared" si="110"/>
        <v>2187.5</v>
      </c>
    </row>
    <row r="437" spans="1:35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104"/>
        <v>6373.1</v>
      </c>
      <c r="O437" s="66">
        <f t="shared" si="104"/>
        <v>22500</v>
      </c>
      <c r="P437" s="69">
        <f t="shared" si="98"/>
        <v>2124.3666666666668</v>
      </c>
      <c r="Q437" s="69">
        <f t="shared" si="98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B437" s="66">
        <v>9000</v>
      </c>
      <c r="AC437" s="66">
        <f t="shared" si="105"/>
        <v>6675</v>
      </c>
      <c r="AD437" s="112">
        <f t="shared" si="106"/>
        <v>6675</v>
      </c>
      <c r="AE437" s="81">
        <f t="shared" si="107"/>
        <v>0</v>
      </c>
      <c r="AF437" s="81">
        <f t="shared" si="108"/>
        <v>-2325</v>
      </c>
      <c r="AG437" s="46">
        <v>6</v>
      </c>
      <c r="AH437" s="131">
        <f t="shared" si="109"/>
        <v>9.375E-2</v>
      </c>
      <c r="AI437" s="111">
        <f t="shared" si="110"/>
        <v>1875</v>
      </c>
    </row>
    <row r="438" spans="1:35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104"/>
        <v>18080.3</v>
      </c>
      <c r="O438" s="66">
        <f t="shared" si="104"/>
        <v>22500</v>
      </c>
      <c r="P438" s="69">
        <f t="shared" si="98"/>
        <v>6026.7666666666664</v>
      </c>
      <c r="Q438" s="69">
        <f t="shared" si="98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B438" s="66">
        <v>9000</v>
      </c>
      <c r="AC438" s="66">
        <f t="shared" si="105"/>
        <v>5737.5</v>
      </c>
      <c r="AD438" s="112">
        <f t="shared" si="106"/>
        <v>5737.5</v>
      </c>
      <c r="AE438" s="81">
        <f t="shared" si="107"/>
        <v>0</v>
      </c>
      <c r="AF438" s="81">
        <f t="shared" si="108"/>
        <v>-3262.5</v>
      </c>
      <c r="AG438" s="46">
        <v>3</v>
      </c>
      <c r="AH438" s="131">
        <f t="shared" si="109"/>
        <v>4.6875E-2</v>
      </c>
      <c r="AI438" s="111">
        <f t="shared" si="110"/>
        <v>937.5</v>
      </c>
    </row>
    <row r="439" spans="1:35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104"/>
        <v>7603.5</v>
      </c>
      <c r="O439" s="66">
        <f t="shared" si="104"/>
        <v>22500</v>
      </c>
      <c r="P439" s="69">
        <f t="shared" si="98"/>
        <v>2534.5</v>
      </c>
      <c r="Q439" s="69">
        <f t="shared" si="98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B439" s="66">
        <v>9000</v>
      </c>
      <c r="AC439" s="66">
        <f t="shared" si="105"/>
        <v>5737.5</v>
      </c>
      <c r="AD439" s="112">
        <f t="shared" si="106"/>
        <v>5737.5</v>
      </c>
      <c r="AE439" s="81">
        <f t="shared" si="107"/>
        <v>0</v>
      </c>
      <c r="AF439" s="81">
        <f t="shared" si="108"/>
        <v>-3262.5</v>
      </c>
      <c r="AG439" s="46">
        <v>3</v>
      </c>
      <c r="AH439" s="131">
        <f t="shared" si="109"/>
        <v>4.6875E-2</v>
      </c>
      <c r="AI439" s="111">
        <f t="shared" si="110"/>
        <v>937.5</v>
      </c>
    </row>
    <row r="440" spans="1:35" ht="16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104"/>
        <v>10711.38</v>
      </c>
      <c r="O440" s="73">
        <f t="shared" si="104"/>
        <v>22500</v>
      </c>
      <c r="P440" s="74">
        <f t="shared" si="98"/>
        <v>3570.4599999999996</v>
      </c>
      <c r="Q440" s="74">
        <f t="shared" si="98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B440" s="73">
        <v>9000</v>
      </c>
      <c r="AC440" s="66">
        <f t="shared" si="105"/>
        <v>6050</v>
      </c>
      <c r="AD440" s="112">
        <f t="shared" si="106"/>
        <v>6050</v>
      </c>
      <c r="AE440" s="81">
        <f t="shared" si="107"/>
        <v>0</v>
      </c>
      <c r="AF440" s="81">
        <f t="shared" si="108"/>
        <v>-2950</v>
      </c>
      <c r="AG440" s="46">
        <v>4</v>
      </c>
      <c r="AH440" s="131">
        <f t="shared" si="109"/>
        <v>6.25E-2</v>
      </c>
      <c r="AI440" s="111">
        <f t="shared" si="110"/>
        <v>1250</v>
      </c>
    </row>
    <row r="441" spans="1:35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111">ROUND(SUM(H430:H440),5)</f>
        <v>39609.57</v>
      </c>
      <c r="I441" s="63">
        <f t="shared" si="111"/>
        <v>75000</v>
      </c>
      <c r="J441" s="64">
        <f t="shared" si="111"/>
        <v>50436.92</v>
      </c>
      <c r="K441" s="64">
        <f t="shared" si="111"/>
        <v>75000</v>
      </c>
      <c r="L441" s="65">
        <f t="shared" si="111"/>
        <v>53552.160000000003</v>
      </c>
      <c r="M441" s="65">
        <f t="shared" si="111"/>
        <v>75000</v>
      </c>
      <c r="N441" s="66">
        <f t="shared" si="104"/>
        <v>143598.65</v>
      </c>
      <c r="O441" s="66">
        <f t="shared" si="104"/>
        <v>225000</v>
      </c>
      <c r="P441" s="69">
        <f t="shared" si="98"/>
        <v>47866.216666666667</v>
      </c>
      <c r="Q441" s="69">
        <f t="shared" si="98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B441" s="80">
        <f>ROUND(SUM(AB430:AB440),5)</f>
        <v>90000</v>
      </c>
      <c r="AC441" s="80">
        <f>ROUND(SUM(AC430:AC440),5)</f>
        <v>68000</v>
      </c>
      <c r="AD441" s="112">
        <f>SUM(AD431:AD440)</f>
        <v>68000</v>
      </c>
      <c r="AE441" s="81">
        <f t="shared" si="107"/>
        <v>0</v>
      </c>
      <c r="AF441" s="81">
        <f t="shared" si="108"/>
        <v>-22000</v>
      </c>
      <c r="AG441" s="46">
        <f>SUM(AG431:AG440)</f>
        <v>64</v>
      </c>
      <c r="AI441" s="111">
        <f>SUM(AI431:AI440)</f>
        <v>20000</v>
      </c>
    </row>
    <row r="442" spans="1:35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B442" s="66"/>
      <c r="AC442" s="66"/>
      <c r="AE442" s="81"/>
      <c r="AF442" s="81">
        <f t="shared" si="108"/>
        <v>0</v>
      </c>
    </row>
    <row r="443" spans="1:35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B443" s="66"/>
      <c r="AC443" s="66"/>
      <c r="AE443" s="81"/>
      <c r="AF443" s="81">
        <f t="shared" si="108"/>
        <v>0</v>
      </c>
    </row>
    <row r="444" spans="1:35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112">ROUND(H444+J444+L444,5)</f>
        <v>3082.32</v>
      </c>
      <c r="O444" s="66">
        <f t="shared" si="112"/>
        <v>6500</v>
      </c>
      <c r="P444" s="69">
        <f t="shared" si="98"/>
        <v>1027.44</v>
      </c>
      <c r="Q444" s="69">
        <f t="shared" si="98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B444" s="66">
        <f>Travel!$T$139</f>
        <v>3700</v>
      </c>
      <c r="AC444" s="66">
        <f>Travel!$T$139</f>
        <v>3700</v>
      </c>
      <c r="AE444" s="81">
        <f t="shared" si="107"/>
        <v>200</v>
      </c>
      <c r="AF444" s="81">
        <f t="shared" si="108"/>
        <v>0</v>
      </c>
    </row>
    <row r="445" spans="1:35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112"/>
        <v>4346.18</v>
      </c>
      <c r="O445" s="66">
        <f t="shared" si="112"/>
        <v>6500</v>
      </c>
      <c r="P445" s="69">
        <f t="shared" si="98"/>
        <v>1448.7266666666667</v>
      </c>
      <c r="Q445" s="69">
        <f t="shared" si="98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B445" s="66">
        <f>Travel!$T$141</f>
        <v>3700</v>
      </c>
      <c r="AC445" s="66">
        <f>Travel!$T$141</f>
        <v>3700</v>
      </c>
      <c r="AE445" s="81">
        <f t="shared" si="107"/>
        <v>200</v>
      </c>
      <c r="AF445" s="81">
        <f t="shared" si="108"/>
        <v>0</v>
      </c>
    </row>
    <row r="446" spans="1:35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112"/>
        <v>1181.1600000000001</v>
      </c>
      <c r="O446" s="66">
        <f t="shared" si="112"/>
        <v>6500</v>
      </c>
      <c r="P446" s="69">
        <f t="shared" si="98"/>
        <v>393.72</v>
      </c>
      <c r="Q446" s="69">
        <f t="shared" si="98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B446" s="66">
        <f>Travel!$T$145</f>
        <v>3700</v>
      </c>
      <c r="AC446" s="66">
        <f>Travel!$T$145</f>
        <v>3700</v>
      </c>
      <c r="AD446" s="89"/>
      <c r="AE446" s="81">
        <f t="shared" si="107"/>
        <v>200</v>
      </c>
      <c r="AF446" s="81">
        <f t="shared" si="108"/>
        <v>0</v>
      </c>
    </row>
    <row r="447" spans="1:35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112"/>
        <v>1117.28</v>
      </c>
      <c r="O447" s="66">
        <f t="shared" si="112"/>
        <v>3500</v>
      </c>
      <c r="P447" s="69">
        <f t="shared" si="98"/>
        <v>372.42666666666668</v>
      </c>
      <c r="Q447" s="69">
        <f t="shared" si="98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B447" s="66">
        <f>Travel!$T$149</f>
        <v>3700</v>
      </c>
      <c r="AC447" s="66">
        <f>Travel!$T$149</f>
        <v>3700</v>
      </c>
      <c r="AD447" s="89"/>
      <c r="AE447" s="81">
        <f t="shared" si="107"/>
        <v>200</v>
      </c>
      <c r="AF447" s="81">
        <f t="shared" si="108"/>
        <v>0</v>
      </c>
    </row>
    <row r="448" spans="1:35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112"/>
        <v>5060.6499999999996</v>
      </c>
      <c r="O448" s="66">
        <f t="shared" si="112"/>
        <v>6500</v>
      </c>
      <c r="P448" s="69">
        <f t="shared" si="98"/>
        <v>1686.8833333333332</v>
      </c>
      <c r="Q448" s="69">
        <f t="shared" si="98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B448" s="66">
        <f>Travel!$T$151</f>
        <v>3700</v>
      </c>
      <c r="AC448" s="66">
        <f>Travel!$T$151</f>
        <v>3700</v>
      </c>
      <c r="AD448" s="89"/>
      <c r="AE448" s="81">
        <f t="shared" si="107"/>
        <v>200</v>
      </c>
      <c r="AF448" s="81">
        <f t="shared" si="108"/>
        <v>0</v>
      </c>
    </row>
    <row r="449" spans="1:32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112"/>
        <v>2560.85</v>
      </c>
      <c r="O449" s="66">
        <f t="shared" si="112"/>
        <v>3500</v>
      </c>
      <c r="P449" s="69">
        <f t="shared" si="98"/>
        <v>853.61666666666667</v>
      </c>
      <c r="Q449" s="69">
        <f t="shared" si="98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B449" s="65">
        <f>Travel!$T$153</f>
        <v>3700</v>
      </c>
      <c r="AC449" s="65">
        <f>Travel!$T$153</f>
        <v>3700</v>
      </c>
      <c r="AD449" s="116" t="s">
        <v>862</v>
      </c>
      <c r="AE449" s="81">
        <f t="shared" si="107"/>
        <v>200</v>
      </c>
      <c r="AF449" s="81">
        <f t="shared" si="108"/>
        <v>0</v>
      </c>
    </row>
    <row r="450" spans="1:32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112"/>
        <v>4712.95</v>
      </c>
      <c r="O450" s="66">
        <f t="shared" si="112"/>
        <v>6500</v>
      </c>
      <c r="P450" s="69">
        <f t="shared" si="98"/>
        <v>1570.9833333333333</v>
      </c>
      <c r="Q450" s="69">
        <f t="shared" si="98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B450" s="66">
        <f>Travel!$T$155</f>
        <v>3700</v>
      </c>
      <c r="AC450" s="66">
        <f>Travel!$T$155</f>
        <v>3700</v>
      </c>
      <c r="AD450" s="89"/>
      <c r="AE450" s="81">
        <f t="shared" si="107"/>
        <v>200</v>
      </c>
      <c r="AF450" s="81">
        <f t="shared" si="108"/>
        <v>0</v>
      </c>
    </row>
    <row r="451" spans="1:32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112"/>
        <v>10623.42</v>
      </c>
      <c r="O451" s="66">
        <f t="shared" si="112"/>
        <v>6500</v>
      </c>
      <c r="P451" s="69">
        <f t="shared" ref="P451:Q508" si="113">N451/3</f>
        <v>3541.14</v>
      </c>
      <c r="Q451" s="69">
        <f t="shared" si="113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B451" s="65">
        <f>Travel!$T$157</f>
        <v>3700</v>
      </c>
      <c r="AC451" s="65">
        <f>Travel!$T$157</f>
        <v>3700</v>
      </c>
      <c r="AD451" s="116" t="s">
        <v>863</v>
      </c>
      <c r="AE451" s="81">
        <f t="shared" si="107"/>
        <v>200</v>
      </c>
      <c r="AF451" s="81">
        <f t="shared" si="108"/>
        <v>0</v>
      </c>
    </row>
    <row r="452" spans="1:32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112"/>
        <v>4606.37</v>
      </c>
      <c r="O452" s="66">
        <f t="shared" si="112"/>
        <v>6500</v>
      </c>
      <c r="P452" s="69">
        <f t="shared" si="113"/>
        <v>1535.4566666666667</v>
      </c>
      <c r="Q452" s="69">
        <f t="shared" si="113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B452" s="66">
        <f>Travel!$T$159</f>
        <v>3700</v>
      </c>
      <c r="AC452" s="66">
        <f>Travel!$T$159</f>
        <v>3700</v>
      </c>
      <c r="AD452" s="89"/>
      <c r="AE452" s="81">
        <f t="shared" si="107"/>
        <v>200</v>
      </c>
      <c r="AF452" s="81">
        <f t="shared" si="108"/>
        <v>0</v>
      </c>
    </row>
    <row r="453" spans="1:32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112"/>
        <v>0</v>
      </c>
      <c r="O453" s="66">
        <f t="shared" si="112"/>
        <v>79500</v>
      </c>
      <c r="P453" s="69">
        <f t="shared" si="113"/>
        <v>0</v>
      </c>
      <c r="Q453" s="69">
        <f t="shared" si="113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B453" s="65">
        <f>Travel!$R$160</f>
        <v>10000</v>
      </c>
      <c r="AC453" s="65">
        <v>10000</v>
      </c>
      <c r="AD453" s="116" t="s">
        <v>865</v>
      </c>
      <c r="AE453" s="81">
        <f t="shared" si="107"/>
        <v>-12000</v>
      </c>
      <c r="AF453" s="81">
        <f t="shared" si="108"/>
        <v>0</v>
      </c>
    </row>
    <row r="454" spans="1:32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114">ROUND(SUM(H443:H453),5)</f>
        <v>8532.3799999999992</v>
      </c>
      <c r="I454" s="75">
        <f t="shared" si="114"/>
        <v>49500</v>
      </c>
      <c r="J454" s="76">
        <f t="shared" si="114"/>
        <v>10517.83</v>
      </c>
      <c r="K454" s="76">
        <f t="shared" si="114"/>
        <v>31000</v>
      </c>
      <c r="L454" s="77">
        <f t="shared" si="114"/>
        <v>18240.97</v>
      </c>
      <c r="M454" s="77">
        <f t="shared" si="114"/>
        <v>51500</v>
      </c>
      <c r="N454" s="78">
        <f t="shared" si="112"/>
        <v>37291.18</v>
      </c>
      <c r="O454" s="78">
        <f t="shared" si="112"/>
        <v>132000</v>
      </c>
      <c r="P454" s="79">
        <f t="shared" si="113"/>
        <v>12430.393333333333</v>
      </c>
      <c r="Q454" s="79">
        <f t="shared" si="113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B454" s="88">
        <f>ROUND(SUM(AB443:AB453),5)</f>
        <v>43300</v>
      </c>
      <c r="AC454" s="88">
        <f>ROUND(SUM(AC443:AC453),5)</f>
        <v>43300</v>
      </c>
      <c r="AD454" s="89"/>
      <c r="AE454" s="81">
        <f t="shared" si="107"/>
        <v>-10200</v>
      </c>
      <c r="AF454" s="81">
        <f t="shared" si="108"/>
        <v>0</v>
      </c>
    </row>
    <row r="455" spans="1:32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115">ROUND(H442+SUM(H454:H454),5)</f>
        <v>8532.3799999999992</v>
      </c>
      <c r="I455" s="75">
        <f t="shared" si="115"/>
        <v>49500</v>
      </c>
      <c r="J455" s="76">
        <f t="shared" si="115"/>
        <v>10517.83</v>
      </c>
      <c r="K455" s="76">
        <f t="shared" si="115"/>
        <v>31000</v>
      </c>
      <c r="L455" s="77">
        <f t="shared" si="115"/>
        <v>18240.97</v>
      </c>
      <c r="M455" s="77">
        <f t="shared" si="115"/>
        <v>51500</v>
      </c>
      <c r="N455" s="78">
        <f t="shared" si="112"/>
        <v>37291.18</v>
      </c>
      <c r="O455" s="78">
        <f t="shared" si="112"/>
        <v>132000</v>
      </c>
      <c r="P455" s="79">
        <f t="shared" si="113"/>
        <v>12430.393333333333</v>
      </c>
      <c r="Q455" s="79">
        <f t="shared" si="113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B455" s="78">
        <f>ROUND(AB442+SUM(AB454:AB454),5)</f>
        <v>43300</v>
      </c>
      <c r="AC455" s="78">
        <f>ROUND(AC442+SUM(AC454:AC454),5)</f>
        <v>43300</v>
      </c>
      <c r="AD455" s="89"/>
      <c r="AE455" s="81">
        <f t="shared" si="107"/>
        <v>-10200</v>
      </c>
      <c r="AF455" s="81">
        <f t="shared" si="108"/>
        <v>0</v>
      </c>
    </row>
    <row r="456" spans="1:32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B456" s="66"/>
      <c r="AC456" s="66"/>
      <c r="AD456" s="89"/>
      <c r="AE456" s="81"/>
      <c r="AF456" s="81">
        <f t="shared" si="108"/>
        <v>0</v>
      </c>
    </row>
    <row r="457" spans="1:32" ht="16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116">ROUND(H457+J457+L457,5)</f>
        <v>9342.6299999999992</v>
      </c>
      <c r="O457" s="66">
        <f t="shared" si="116"/>
        <v>11500</v>
      </c>
      <c r="P457" s="69">
        <f t="shared" si="113"/>
        <v>3114.2099999999996</v>
      </c>
      <c r="Q457" s="69">
        <f t="shared" si="113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B457" s="65">
        <f>Travel!T170</f>
        <v>9250</v>
      </c>
      <c r="AC457" s="65">
        <v>5000</v>
      </c>
      <c r="AD457" s="117" t="s">
        <v>852</v>
      </c>
      <c r="AE457" s="81">
        <f t="shared" si="107"/>
        <v>5750</v>
      </c>
      <c r="AF457" s="81">
        <f t="shared" si="108"/>
        <v>-4250</v>
      </c>
    </row>
    <row r="458" spans="1:32" ht="16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116"/>
        <v>17829.34</v>
      </c>
      <c r="O458" s="66">
        <f t="shared" si="116"/>
        <v>38500</v>
      </c>
      <c r="P458" s="69">
        <f t="shared" si="113"/>
        <v>5943.1133333333337</v>
      </c>
      <c r="Q458" s="69">
        <f t="shared" si="113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B458" s="66">
        <f>Travel!$T$172</f>
        <v>14500</v>
      </c>
      <c r="AC458" s="66">
        <v>15000</v>
      </c>
      <c r="AD458" s="89"/>
      <c r="AE458" s="81">
        <f t="shared" si="107"/>
        <v>-6000</v>
      </c>
      <c r="AF458" s="81">
        <f t="shared" si="108"/>
        <v>500</v>
      </c>
    </row>
    <row r="459" spans="1:32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116"/>
        <v>27125.43</v>
      </c>
      <c r="O459" s="66">
        <f t="shared" si="116"/>
        <v>30000</v>
      </c>
      <c r="P459" s="69">
        <f t="shared" si="113"/>
        <v>9041.81</v>
      </c>
      <c r="Q459" s="69">
        <f t="shared" si="113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B459" s="66">
        <f>Travel!$T$180</f>
        <v>12000</v>
      </c>
      <c r="AC459" s="66">
        <v>12000</v>
      </c>
      <c r="AD459" s="114"/>
      <c r="AE459" s="81">
        <f t="shared" si="107"/>
        <v>-3000</v>
      </c>
      <c r="AF459" s="81">
        <f t="shared" si="108"/>
        <v>0</v>
      </c>
    </row>
    <row r="460" spans="1:32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116"/>
        <v>82292.61</v>
      </c>
      <c r="O460" s="66">
        <f t="shared" si="116"/>
        <v>96550</v>
      </c>
      <c r="P460" s="69">
        <f t="shared" si="113"/>
        <v>27430.87</v>
      </c>
      <c r="Q460" s="69">
        <f t="shared" si="113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B460" s="66">
        <f>Travel!$T$200</f>
        <v>46550</v>
      </c>
      <c r="AC460" s="66">
        <v>35000</v>
      </c>
      <c r="AD460" s="89"/>
      <c r="AE460" s="81">
        <f t="shared" si="107"/>
        <v>0</v>
      </c>
      <c r="AF460" s="81">
        <f t="shared" si="108"/>
        <v>-11550</v>
      </c>
    </row>
    <row r="461" spans="1:32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116"/>
        <v>77589.72</v>
      </c>
      <c r="O461" s="66">
        <f t="shared" si="116"/>
        <v>107235</v>
      </c>
      <c r="P461" s="69">
        <f t="shared" si="113"/>
        <v>25863.24</v>
      </c>
      <c r="Q461" s="69">
        <f t="shared" si="113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B461" s="66">
        <f>Travel!$T$224</f>
        <v>30000</v>
      </c>
      <c r="AC461" s="66">
        <v>30000</v>
      </c>
      <c r="AD461" s="89"/>
      <c r="AE461" s="81">
        <f t="shared" si="107"/>
        <v>-10620</v>
      </c>
      <c r="AF461" s="81">
        <f t="shared" si="108"/>
        <v>0</v>
      </c>
    </row>
    <row r="462" spans="1:32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116"/>
        <v>8410.5499999999993</v>
      </c>
      <c r="O462" s="66">
        <f t="shared" si="116"/>
        <v>9500</v>
      </c>
      <c r="P462" s="69">
        <f t="shared" si="113"/>
        <v>2803.5166666666664</v>
      </c>
      <c r="Q462" s="69">
        <f t="shared" si="113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B462" s="66">
        <f>Travel!$T$226</f>
        <v>3700</v>
      </c>
      <c r="AC462" s="66">
        <f>Travel!$T$226</f>
        <v>3700</v>
      </c>
      <c r="AD462" s="89"/>
      <c r="AE462" s="81">
        <f t="shared" si="107"/>
        <v>200</v>
      </c>
      <c r="AF462" s="81">
        <f t="shared" si="108"/>
        <v>0</v>
      </c>
    </row>
    <row r="463" spans="1:32" ht="32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116"/>
        <v>1939.64</v>
      </c>
      <c r="O463" s="66">
        <f t="shared" si="116"/>
        <v>16500</v>
      </c>
      <c r="P463" s="69">
        <f t="shared" si="113"/>
        <v>646.54666666666674</v>
      </c>
      <c r="Q463" s="69">
        <f t="shared" si="113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B463" s="65">
        <v>9000</v>
      </c>
      <c r="AC463" s="65">
        <v>5000</v>
      </c>
      <c r="AD463" s="116" t="s">
        <v>864</v>
      </c>
      <c r="AE463" s="81">
        <f t="shared" si="107"/>
        <v>500</v>
      </c>
      <c r="AF463" s="81">
        <f t="shared" si="108"/>
        <v>-4000</v>
      </c>
    </row>
    <row r="464" spans="1:32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117">ROUND(SUM(H456:H463),5)</f>
        <v>68157.66</v>
      </c>
      <c r="I464" s="75">
        <f t="shared" si="117"/>
        <v>97000</v>
      </c>
      <c r="J464" s="76">
        <f t="shared" si="117"/>
        <v>75651.53</v>
      </c>
      <c r="K464" s="76">
        <f t="shared" si="117"/>
        <v>88000</v>
      </c>
      <c r="L464" s="77">
        <f t="shared" si="117"/>
        <v>80720.73</v>
      </c>
      <c r="M464" s="77">
        <f t="shared" si="117"/>
        <v>124785</v>
      </c>
      <c r="N464" s="78">
        <f t="shared" si="116"/>
        <v>224529.92000000001</v>
      </c>
      <c r="O464" s="78">
        <f t="shared" si="116"/>
        <v>309785</v>
      </c>
      <c r="P464" s="79">
        <f t="shared" si="113"/>
        <v>74843.306666666671</v>
      </c>
      <c r="Q464" s="79">
        <f t="shared" si="113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B464" s="91">
        <f>ROUND(SUM(AB456:AB463),5)</f>
        <v>125000</v>
      </c>
      <c r="AC464" s="91">
        <f>ROUND(SUM(AC456:AC463),5)</f>
        <v>105700</v>
      </c>
      <c r="AD464" s="89"/>
      <c r="AE464" s="81">
        <f t="shared" si="107"/>
        <v>-13170</v>
      </c>
      <c r="AF464" s="81">
        <f t="shared" si="108"/>
        <v>-19300</v>
      </c>
    </row>
    <row r="465" spans="1:32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113"/>
        <v>0</v>
      </c>
      <c r="Q465" s="69">
        <f t="shared" si="113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B465" s="66"/>
      <c r="AC465" s="66"/>
      <c r="AD465" s="89"/>
      <c r="AE465" s="81"/>
      <c r="AF465" s="81">
        <f t="shared" si="108"/>
        <v>0</v>
      </c>
    </row>
    <row r="466" spans="1:32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118">ROUND(H466+J466+L466,5)</f>
        <v>0</v>
      </c>
      <c r="O466" s="66">
        <f t="shared" si="118"/>
        <v>4350</v>
      </c>
      <c r="P466" s="69">
        <f t="shared" si="113"/>
        <v>0</v>
      </c>
      <c r="Q466" s="69">
        <f t="shared" si="113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B466" s="69">
        <f>Travel!$T$228</f>
        <v>1300</v>
      </c>
      <c r="AC466" s="69">
        <f>Travel!$T$228</f>
        <v>1300</v>
      </c>
      <c r="AD466" s="90" t="s">
        <v>845</v>
      </c>
      <c r="AE466" s="81">
        <f t="shared" si="107"/>
        <v>0</v>
      </c>
      <c r="AF466" s="81">
        <f t="shared" si="108"/>
        <v>0</v>
      </c>
    </row>
    <row r="467" spans="1:32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118"/>
        <v>6468.36</v>
      </c>
      <c r="O467" s="66">
        <f t="shared" si="118"/>
        <v>27000</v>
      </c>
      <c r="P467" s="69">
        <f t="shared" si="113"/>
        <v>2156.12</v>
      </c>
      <c r="Q467" s="69">
        <f t="shared" si="113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B467" s="69">
        <f>Travel!$T$233</f>
        <v>18000</v>
      </c>
      <c r="AC467" s="69">
        <v>5000</v>
      </c>
      <c r="AD467" s="90" t="s">
        <v>845</v>
      </c>
      <c r="AE467" s="81">
        <f t="shared" si="107"/>
        <v>11000</v>
      </c>
      <c r="AF467" s="81">
        <f t="shared" si="108"/>
        <v>-13000</v>
      </c>
    </row>
    <row r="468" spans="1:32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118"/>
        <v>1454.32</v>
      </c>
      <c r="O468" s="73">
        <f t="shared" si="118"/>
        <v>7100</v>
      </c>
      <c r="P468" s="74">
        <f t="shared" si="113"/>
        <v>484.77333333333331</v>
      </c>
      <c r="Q468" s="74">
        <f t="shared" si="113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B468" s="69">
        <f>Travel!$T$237</f>
        <v>0</v>
      </c>
      <c r="AC468" s="69">
        <f>Travel!$T$237</f>
        <v>0</v>
      </c>
      <c r="AD468" s="90" t="s">
        <v>845</v>
      </c>
      <c r="AE468" s="81">
        <f t="shared" si="107"/>
        <v>-2600</v>
      </c>
      <c r="AF468" s="81">
        <f t="shared" si="108"/>
        <v>0</v>
      </c>
    </row>
    <row r="469" spans="1:32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119">ROUND(SUM(H465:H468),5)</f>
        <v>2517.89</v>
      </c>
      <c r="I469" s="63">
        <f t="shared" si="119"/>
        <v>15000</v>
      </c>
      <c r="J469" s="64">
        <f t="shared" si="119"/>
        <v>3142.66</v>
      </c>
      <c r="K469" s="64">
        <f t="shared" si="119"/>
        <v>12550</v>
      </c>
      <c r="L469" s="65">
        <f t="shared" si="119"/>
        <v>2262.13</v>
      </c>
      <c r="M469" s="65">
        <f t="shared" si="119"/>
        <v>10900</v>
      </c>
      <c r="N469" s="66">
        <f t="shared" si="118"/>
        <v>7922.68</v>
      </c>
      <c r="O469" s="66">
        <f t="shared" si="118"/>
        <v>38450</v>
      </c>
      <c r="P469" s="69">
        <f t="shared" si="113"/>
        <v>2640.8933333333334</v>
      </c>
      <c r="Q469" s="69">
        <f t="shared" si="113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B469" s="91">
        <f>ROUND(SUM(AB465:AB468),5)</f>
        <v>19300</v>
      </c>
      <c r="AC469" s="91">
        <f>ROUND(SUM(AC465:AC468),5)</f>
        <v>6300</v>
      </c>
      <c r="AD469" s="89"/>
      <c r="AE469" s="81">
        <f t="shared" si="107"/>
        <v>8400</v>
      </c>
      <c r="AF469" s="81">
        <f t="shared" si="108"/>
        <v>-13000</v>
      </c>
    </row>
    <row r="470" spans="1:32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B470" s="66"/>
      <c r="AC470" s="66"/>
      <c r="AD470" s="89"/>
      <c r="AE470" s="81"/>
      <c r="AF470" s="81">
        <f t="shared" si="108"/>
        <v>0</v>
      </c>
    </row>
    <row r="471" spans="1:32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120">ROUND(H471+J471+L471,5)</f>
        <v>40121.949999999997</v>
      </c>
      <c r="O471" s="66">
        <f t="shared" si="120"/>
        <v>50000</v>
      </c>
      <c r="P471" s="69">
        <f t="shared" si="113"/>
        <v>13373.983333333332</v>
      </c>
      <c r="Q471" s="69">
        <f t="shared" si="113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B471" s="69">
        <f>Travel!$T$248</f>
        <v>18000</v>
      </c>
      <c r="AC471" s="69">
        <v>20000</v>
      </c>
      <c r="AD471" s="90" t="s">
        <v>845</v>
      </c>
      <c r="AE471" s="81">
        <f t="shared" si="107"/>
        <v>-3850</v>
      </c>
      <c r="AF471" s="81">
        <f t="shared" si="108"/>
        <v>2000</v>
      </c>
    </row>
    <row r="472" spans="1:32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120"/>
        <v>298044.73</v>
      </c>
      <c r="O472" s="66">
        <f t="shared" si="120"/>
        <v>298300</v>
      </c>
      <c r="P472" s="69">
        <f t="shared" si="113"/>
        <v>99348.243333333332</v>
      </c>
      <c r="Q472" s="69">
        <f t="shared" si="113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B472" s="69">
        <f>Travel!T262</f>
        <v>92000</v>
      </c>
      <c r="AC472" s="69">
        <v>85000</v>
      </c>
      <c r="AD472" s="90" t="s">
        <v>845</v>
      </c>
      <c r="AE472" s="81">
        <f t="shared" si="107"/>
        <v>300</v>
      </c>
      <c r="AF472" s="81">
        <f t="shared" si="108"/>
        <v>-7000</v>
      </c>
    </row>
    <row r="473" spans="1:32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120"/>
        <v>91427.03</v>
      </c>
      <c r="O473" s="66">
        <f t="shared" si="120"/>
        <v>71500</v>
      </c>
      <c r="P473" s="69">
        <f t="shared" si="113"/>
        <v>30475.676666666666</v>
      </c>
      <c r="Q473" s="69">
        <f t="shared" si="113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B473" s="69">
        <f>Travel!$T$289</f>
        <v>29500</v>
      </c>
      <c r="AC473" s="69">
        <v>27000</v>
      </c>
      <c r="AD473" s="90" t="s">
        <v>845</v>
      </c>
      <c r="AE473" s="81">
        <f t="shared" si="107"/>
        <v>2000</v>
      </c>
      <c r="AF473" s="81">
        <f t="shared" si="108"/>
        <v>-2500</v>
      </c>
    </row>
    <row r="474" spans="1:32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120"/>
        <v>3636.89</v>
      </c>
      <c r="O474" s="66">
        <f t="shared" si="120"/>
        <v>16000</v>
      </c>
      <c r="P474" s="69">
        <f t="shared" si="113"/>
        <v>1212.2966666666666</v>
      </c>
      <c r="Q474" s="69">
        <f t="shared" si="113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B474" s="69">
        <f>Travel!$T$290</f>
        <v>3000</v>
      </c>
      <c r="AC474" s="69">
        <f>Travel!$T$290</f>
        <v>3000</v>
      </c>
      <c r="AD474" s="90" t="s">
        <v>845</v>
      </c>
      <c r="AE474" s="81">
        <f t="shared" si="107"/>
        <v>0</v>
      </c>
      <c r="AF474" s="81">
        <f t="shared" si="108"/>
        <v>0</v>
      </c>
    </row>
    <row r="475" spans="1:32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120"/>
        <v>1704.48</v>
      </c>
      <c r="O475" s="66">
        <f t="shared" si="120"/>
        <v>13000</v>
      </c>
      <c r="P475" s="69">
        <f t="shared" si="113"/>
        <v>568.16</v>
      </c>
      <c r="Q475" s="69">
        <f t="shared" si="113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B475" s="69">
        <f>Travel!$T$291</f>
        <v>9000</v>
      </c>
      <c r="AC475" s="69">
        <f>Travel!$T$291</f>
        <v>9000</v>
      </c>
      <c r="AD475" s="90" t="s">
        <v>845</v>
      </c>
      <c r="AE475" s="81">
        <f t="shared" si="107"/>
        <v>6000</v>
      </c>
      <c r="AF475" s="81">
        <f t="shared" si="108"/>
        <v>0</v>
      </c>
    </row>
    <row r="476" spans="1:32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120"/>
        <v>323010.53999999998</v>
      </c>
      <c r="O476" s="66">
        <f t="shared" si="120"/>
        <v>333639</v>
      </c>
      <c r="P476" s="69">
        <f t="shared" si="113"/>
        <v>107670.18</v>
      </c>
      <c r="Q476" s="69">
        <f t="shared" si="113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B476" s="69">
        <f>Travel!$AE$34</f>
        <v>138650</v>
      </c>
      <c r="AC476" s="69">
        <v>110000</v>
      </c>
      <c r="AD476" s="90" t="s">
        <v>845</v>
      </c>
      <c r="AE476" s="81">
        <f t="shared" si="107"/>
        <v>29755</v>
      </c>
      <c r="AF476" s="81">
        <f t="shared" si="108"/>
        <v>-28650</v>
      </c>
    </row>
    <row r="477" spans="1:32" ht="16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120"/>
        <v>38757.58</v>
      </c>
      <c r="O477" s="66">
        <f t="shared" si="120"/>
        <v>20000</v>
      </c>
      <c r="P477" s="69">
        <f t="shared" si="113"/>
        <v>12919.193333333335</v>
      </c>
      <c r="Q477" s="69">
        <f t="shared" si="113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B477" s="69">
        <f>Travel!$T$292</f>
        <v>17500</v>
      </c>
      <c r="AC477" s="69">
        <f>Travel!$T$292</f>
        <v>17500</v>
      </c>
      <c r="AD477" s="90" t="s">
        <v>845</v>
      </c>
      <c r="AE477" s="81">
        <f t="shared" si="107"/>
        <v>7500</v>
      </c>
      <c r="AF477" s="81">
        <f t="shared" si="108"/>
        <v>0</v>
      </c>
    </row>
    <row r="478" spans="1:32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120"/>
        <v>9458.01</v>
      </c>
      <c r="O478" s="66">
        <f t="shared" si="120"/>
        <v>15000</v>
      </c>
      <c r="P478" s="69">
        <f t="shared" si="113"/>
        <v>3152.67</v>
      </c>
      <c r="Q478" s="69">
        <f t="shared" si="113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B478" s="69">
        <f>Travel!$T$293</f>
        <v>5000</v>
      </c>
      <c r="AC478" s="69">
        <f>Travel!$T$293</f>
        <v>5000</v>
      </c>
      <c r="AD478" s="90" t="s">
        <v>845</v>
      </c>
      <c r="AE478" s="81">
        <f t="shared" si="107"/>
        <v>0</v>
      </c>
      <c r="AF478" s="81">
        <f t="shared" si="108"/>
        <v>0</v>
      </c>
    </row>
    <row r="479" spans="1:32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121">ROUND(SUM(H470:H478),5)</f>
        <v>239537.82</v>
      </c>
      <c r="I479" s="75">
        <f t="shared" si="121"/>
        <v>266000</v>
      </c>
      <c r="J479" s="76">
        <f t="shared" si="121"/>
        <v>275471.45</v>
      </c>
      <c r="K479" s="76">
        <f t="shared" si="121"/>
        <v>278000</v>
      </c>
      <c r="L479" s="77">
        <f t="shared" si="121"/>
        <v>291151.94</v>
      </c>
      <c r="M479" s="77">
        <f t="shared" si="121"/>
        <v>273439</v>
      </c>
      <c r="N479" s="78">
        <f t="shared" si="120"/>
        <v>806161.21</v>
      </c>
      <c r="O479" s="78">
        <f t="shared" si="120"/>
        <v>817439</v>
      </c>
      <c r="P479" s="79">
        <f t="shared" si="113"/>
        <v>268720.40333333332</v>
      </c>
      <c r="Q479" s="79">
        <f t="shared" si="113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B479" s="91">
        <f>ROUND(SUM(AB470:AB478),5)</f>
        <v>312650</v>
      </c>
      <c r="AC479" s="91">
        <f>ROUND(SUM(AC470:AC478),5)</f>
        <v>276500</v>
      </c>
      <c r="AD479" s="89"/>
      <c r="AE479" s="81">
        <f t="shared" si="107"/>
        <v>41705</v>
      </c>
      <c r="AF479" s="81">
        <f t="shared" si="108"/>
        <v>-36150</v>
      </c>
    </row>
    <row r="480" spans="1:32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B480" s="66"/>
      <c r="AC480" s="66"/>
      <c r="AD480" s="89"/>
      <c r="AE480" s="81"/>
      <c r="AF480" s="81">
        <f t="shared" si="108"/>
        <v>0</v>
      </c>
    </row>
    <row r="481" spans="1:32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122">ROUND(H481+J481+L481,5)</f>
        <v>20687.05</v>
      </c>
      <c r="O481" s="66">
        <f t="shared" si="122"/>
        <v>17200</v>
      </c>
      <c r="P481" s="69">
        <f t="shared" si="113"/>
        <v>6895.6833333333334</v>
      </c>
      <c r="Q481" s="69">
        <f t="shared" si="113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B481" s="69">
        <f>Travel!$T$300</f>
        <v>10500</v>
      </c>
      <c r="AC481" s="69">
        <f>Travel!$T$300</f>
        <v>10500</v>
      </c>
      <c r="AD481" s="90" t="s">
        <v>845</v>
      </c>
      <c r="AE481" s="81">
        <f t="shared" si="107"/>
        <v>0</v>
      </c>
      <c r="AF481" s="81">
        <f t="shared" si="108"/>
        <v>0</v>
      </c>
    </row>
    <row r="482" spans="1:32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122"/>
        <v>57727.78</v>
      </c>
      <c r="O482" s="66">
        <f t="shared" si="122"/>
        <v>41100</v>
      </c>
      <c r="P482" s="69">
        <f t="shared" si="113"/>
        <v>19242.593333333334</v>
      </c>
      <c r="Q482" s="69">
        <f t="shared" si="113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B482" s="69">
        <f>Travel!$T$312</f>
        <v>18300</v>
      </c>
      <c r="AC482" s="69">
        <v>15000</v>
      </c>
      <c r="AD482" s="90" t="s">
        <v>845</v>
      </c>
      <c r="AE482" s="81">
        <f t="shared" si="107"/>
        <v>0</v>
      </c>
      <c r="AF482" s="81">
        <f t="shared" si="108"/>
        <v>-3300</v>
      </c>
    </row>
    <row r="483" spans="1:32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122"/>
        <v>70814.95</v>
      </c>
      <c r="O483" s="66">
        <f t="shared" si="122"/>
        <v>78000</v>
      </c>
      <c r="P483" s="69">
        <f t="shared" si="113"/>
        <v>23604.983333333334</v>
      </c>
      <c r="Q483" s="69">
        <f t="shared" si="113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B483" s="69">
        <f>Travel!$T$332</f>
        <v>30500</v>
      </c>
      <c r="AC483" s="69">
        <v>25000</v>
      </c>
      <c r="AD483" s="90" t="s">
        <v>845</v>
      </c>
      <c r="AE483" s="81">
        <f t="shared" si="107"/>
        <v>2000</v>
      </c>
      <c r="AF483" s="81">
        <f t="shared" si="108"/>
        <v>-5500</v>
      </c>
    </row>
    <row r="484" spans="1:32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122"/>
        <v>4458.2</v>
      </c>
      <c r="O484" s="66">
        <f t="shared" si="122"/>
        <v>14615</v>
      </c>
      <c r="P484" s="69">
        <f t="shared" si="113"/>
        <v>1486.0666666666666</v>
      </c>
      <c r="Q484" s="69">
        <f t="shared" si="113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B484" s="69">
        <f>Travel!$T$336</f>
        <v>5000</v>
      </c>
      <c r="AC484" s="69">
        <f>Travel!$T$336</f>
        <v>5000</v>
      </c>
      <c r="AD484" s="90" t="s">
        <v>845</v>
      </c>
      <c r="AE484" s="81">
        <f t="shared" si="107"/>
        <v>385</v>
      </c>
      <c r="AF484" s="81">
        <f t="shared" si="108"/>
        <v>0</v>
      </c>
    </row>
    <row r="485" spans="1:32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122"/>
        <v>10610.4</v>
      </c>
      <c r="O485" s="66">
        <f t="shared" si="122"/>
        <v>61200</v>
      </c>
      <c r="P485" s="69">
        <f t="shared" si="113"/>
        <v>3536.7999999999997</v>
      </c>
      <c r="Q485" s="69">
        <f t="shared" si="113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B485" s="69">
        <f>Travel!$T$352</f>
        <v>21000</v>
      </c>
      <c r="AC485" s="69">
        <v>15000</v>
      </c>
      <c r="AD485" s="90" t="s">
        <v>845</v>
      </c>
      <c r="AE485" s="81">
        <f t="shared" si="107"/>
        <v>1800</v>
      </c>
      <c r="AF485" s="81">
        <f t="shared" si="108"/>
        <v>-6000</v>
      </c>
    </row>
    <row r="486" spans="1:32" ht="16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122"/>
        <v>81544.240000000005</v>
      </c>
      <c r="O486" s="66">
        <f t="shared" si="122"/>
        <v>84000</v>
      </c>
      <c r="P486" s="69">
        <f t="shared" si="113"/>
        <v>27181.413333333334</v>
      </c>
      <c r="Q486" s="69">
        <f t="shared" si="113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B486" s="69">
        <f>Travel!$T$361</f>
        <v>39999.994999999995</v>
      </c>
      <c r="AC486" s="69">
        <v>30000</v>
      </c>
      <c r="AD486" s="90" t="s">
        <v>845</v>
      </c>
      <c r="AE486" s="81">
        <f t="shared" si="107"/>
        <v>3499.9949999999953</v>
      </c>
      <c r="AF486" s="81">
        <f t="shared" si="108"/>
        <v>-9999.9949999999953</v>
      </c>
    </row>
    <row r="487" spans="1:32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122"/>
        <v>2890.95</v>
      </c>
      <c r="O487" s="66">
        <f t="shared" si="122"/>
        <v>5000</v>
      </c>
      <c r="P487" s="69">
        <f t="shared" si="113"/>
        <v>963.65</v>
      </c>
      <c r="Q487" s="69">
        <f t="shared" si="113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B487" s="69">
        <f>Travel!$T$362</f>
        <v>5000</v>
      </c>
      <c r="AC487" s="69">
        <f>Travel!$T$362</f>
        <v>5000</v>
      </c>
      <c r="AD487" s="90" t="s">
        <v>845</v>
      </c>
      <c r="AE487" s="81">
        <f t="shared" si="107"/>
        <v>0</v>
      </c>
      <c r="AF487" s="81">
        <f t="shared" si="108"/>
        <v>0</v>
      </c>
    </row>
    <row r="488" spans="1:32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123">ROUND(SUM(H480:H487),5)</f>
        <v>59874.94</v>
      </c>
      <c r="I488" s="75">
        <f t="shared" si="123"/>
        <v>92500</v>
      </c>
      <c r="J488" s="76">
        <f t="shared" si="123"/>
        <v>75252.66</v>
      </c>
      <c r="K488" s="76">
        <f t="shared" si="123"/>
        <v>95000</v>
      </c>
      <c r="L488" s="77">
        <f t="shared" si="123"/>
        <v>113605.97</v>
      </c>
      <c r="M488" s="77">
        <f t="shared" si="123"/>
        <v>113615</v>
      </c>
      <c r="N488" s="78">
        <f t="shared" si="122"/>
        <v>248733.57</v>
      </c>
      <c r="O488" s="78">
        <f t="shared" si="122"/>
        <v>301115</v>
      </c>
      <c r="P488" s="79">
        <f t="shared" si="113"/>
        <v>82911.19</v>
      </c>
      <c r="Q488" s="79">
        <f t="shared" si="113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B488" s="91">
        <f>ROUND(SUM(AB480:AB487),5)</f>
        <v>130299.995</v>
      </c>
      <c r="AC488" s="91">
        <f>ROUND(SUM(AC480:AC487),5)</f>
        <v>105500</v>
      </c>
      <c r="AD488" s="89"/>
      <c r="AE488" s="81">
        <f t="shared" si="107"/>
        <v>7684.9949999999953</v>
      </c>
      <c r="AF488" s="81">
        <f t="shared" si="108"/>
        <v>-24799.994999999995</v>
      </c>
    </row>
    <row r="489" spans="1:32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124">ROUND(H429+H441+H455+H464+H469+H479+SUM(H488:H488),5)</f>
        <v>418230.26</v>
      </c>
      <c r="I489" s="75">
        <f t="shared" si="124"/>
        <v>595000</v>
      </c>
      <c r="J489" s="76">
        <f t="shared" si="124"/>
        <v>490473.05</v>
      </c>
      <c r="K489" s="76">
        <f t="shared" si="124"/>
        <v>579550</v>
      </c>
      <c r="L489" s="77">
        <f t="shared" si="124"/>
        <v>559533.9</v>
      </c>
      <c r="M489" s="77">
        <f t="shared" si="124"/>
        <v>649239</v>
      </c>
      <c r="N489" s="78">
        <f t="shared" si="122"/>
        <v>1468237.21</v>
      </c>
      <c r="O489" s="78">
        <f t="shared" si="122"/>
        <v>1823789</v>
      </c>
      <c r="P489" s="79">
        <f t="shared" si="113"/>
        <v>489412.40333333332</v>
      </c>
      <c r="Q489" s="79">
        <f t="shared" si="113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B489" s="78">
        <f>ROUND(AB429+AB441+AB455+AB464+AB469+AB479+SUM(AB488:AB488),5)</f>
        <v>720549.995</v>
      </c>
      <c r="AC489" s="78">
        <f>ROUND(AC429+AC441+AC455+AC464+AC469+AC479+SUM(AC488:AC488),5)</f>
        <v>605300</v>
      </c>
      <c r="AD489"/>
      <c r="AE489" s="81">
        <f t="shared" si="107"/>
        <v>34419.994999999995</v>
      </c>
      <c r="AF489" s="81">
        <f t="shared" si="108"/>
        <v>-115249.995</v>
      </c>
    </row>
    <row r="490" spans="1:32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113"/>
        <v>0</v>
      </c>
      <c r="Q490" s="69">
        <f t="shared" si="113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B490" s="66"/>
      <c r="AC490" s="66"/>
      <c r="AD490" s="89"/>
      <c r="AF490" s="81">
        <f t="shared" si="108"/>
        <v>0</v>
      </c>
    </row>
    <row r="491" spans="1:32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3" si="125">ROUND(H491+J491+L491,5)</f>
        <v>10042.5</v>
      </c>
      <c r="O491" s="66">
        <f t="shared" si="125"/>
        <v>30000</v>
      </c>
      <c r="P491" s="69">
        <f t="shared" si="113"/>
        <v>3347.5</v>
      </c>
      <c r="Q491" s="69">
        <f t="shared" si="113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B491" s="69">
        <v>0</v>
      </c>
      <c r="AC491" s="69">
        <v>0</v>
      </c>
      <c r="AD491" s="90" t="s">
        <v>845</v>
      </c>
      <c r="AE491" s="81">
        <f>AB491-Z491</f>
        <v>0</v>
      </c>
      <c r="AF491" s="81">
        <f t="shared" si="108"/>
        <v>0</v>
      </c>
    </row>
    <row r="492" spans="1:32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125"/>
        <v>7205.43</v>
      </c>
      <c r="O492" s="66">
        <f t="shared" si="125"/>
        <v>8000</v>
      </c>
      <c r="P492" s="69">
        <f t="shared" si="113"/>
        <v>2401.81</v>
      </c>
      <c r="Q492" s="69">
        <f t="shared" si="113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B492" s="66">
        <v>2500</v>
      </c>
      <c r="AC492" s="66">
        <v>2500</v>
      </c>
      <c r="AD492" s="89"/>
      <c r="AE492" s="81">
        <f t="shared" ref="AE492:AE548" si="126">AB492-Z492</f>
        <v>500</v>
      </c>
      <c r="AF492" s="81">
        <f t="shared" si="108"/>
        <v>0</v>
      </c>
    </row>
    <row r="493" spans="1:32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125"/>
        <v>15127.94</v>
      </c>
      <c r="O493" s="66">
        <f t="shared" si="125"/>
        <v>16500</v>
      </c>
      <c r="P493" s="69">
        <f t="shared" si="113"/>
        <v>5042.6466666666665</v>
      </c>
      <c r="Q493" s="69">
        <f t="shared" si="113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B493" s="69">
        <v>6000</v>
      </c>
      <c r="AC493" s="69">
        <v>6000</v>
      </c>
      <c r="AD493" s="90" t="s">
        <v>845</v>
      </c>
      <c r="AE493" s="81">
        <f t="shared" si="126"/>
        <v>0</v>
      </c>
      <c r="AF493" s="81">
        <f t="shared" si="108"/>
        <v>0</v>
      </c>
    </row>
    <row r="494" spans="1:32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125"/>
        <v>13298.77</v>
      </c>
      <c r="O494" s="66">
        <f t="shared" si="125"/>
        <v>7000</v>
      </c>
      <c r="P494" s="69">
        <f t="shared" si="113"/>
        <v>4432.9233333333332</v>
      </c>
      <c r="Q494" s="69">
        <f t="shared" si="113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B494" s="66">
        <v>3000</v>
      </c>
      <c r="AC494" s="66">
        <v>3000</v>
      </c>
      <c r="AD494" s="89"/>
      <c r="AE494" s="81">
        <f t="shared" si="126"/>
        <v>0</v>
      </c>
      <c r="AF494" s="81">
        <f t="shared" si="108"/>
        <v>0</v>
      </c>
    </row>
    <row r="495" spans="1:32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125"/>
        <v>510268.35</v>
      </c>
      <c r="O495" s="66">
        <f t="shared" si="125"/>
        <v>437243.12</v>
      </c>
      <c r="P495" s="69">
        <f t="shared" si="113"/>
        <v>170089.44999999998</v>
      </c>
      <c r="Q495" s="69">
        <f t="shared" si="113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B495" s="66">
        <f>ROUND(AB220*0.0386, 0)</f>
        <v>205031</v>
      </c>
      <c r="AC495" s="66">
        <f>ROUND(AC220*0.0386, 0)</f>
        <v>205031</v>
      </c>
      <c r="AD495" s="93" t="s">
        <v>844</v>
      </c>
      <c r="AE495" s="81">
        <f t="shared" si="126"/>
        <v>25635</v>
      </c>
      <c r="AF495" s="81">
        <f t="shared" si="108"/>
        <v>0</v>
      </c>
    </row>
    <row r="496" spans="1:32" ht="16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125"/>
        <v>0</v>
      </c>
      <c r="O496" s="66">
        <f>ROUND(I496+K496+M496,5)</f>
        <v>1000</v>
      </c>
      <c r="P496" s="69">
        <f t="shared" si="113"/>
        <v>0</v>
      </c>
      <c r="Q496" s="69">
        <f t="shared" si="113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B496" s="66">
        <v>0</v>
      </c>
      <c r="AC496" s="66">
        <v>0</v>
      </c>
      <c r="AD496" s="89"/>
      <c r="AE496" s="81">
        <f t="shared" si="126"/>
        <v>0</v>
      </c>
      <c r="AF496" s="81">
        <f t="shared" ref="AF496:AF548" si="127">AC496-AB496</f>
        <v>0</v>
      </c>
    </row>
    <row r="497" spans="1:32" ht="16" x14ac:dyDescent="0.35">
      <c r="A497" s="66"/>
      <c r="B497" s="66"/>
      <c r="C497" s="49"/>
      <c r="D497" s="49"/>
      <c r="E497" s="49" t="s">
        <v>493</v>
      </c>
      <c r="F497" s="49"/>
      <c r="G497" s="49"/>
      <c r="H497" s="63">
        <v>3322.5</v>
      </c>
      <c r="I497" s="63">
        <v>6000</v>
      </c>
      <c r="J497" s="64">
        <v>5750.2</v>
      </c>
      <c r="K497" s="64">
        <v>4000</v>
      </c>
      <c r="L497" s="65">
        <v>26568.75</v>
      </c>
      <c r="M497" s="65">
        <v>4000</v>
      </c>
      <c r="N497" s="66">
        <f t="shared" si="125"/>
        <v>35641.449999999997</v>
      </c>
      <c r="O497" s="66">
        <f t="shared" si="125"/>
        <v>14000</v>
      </c>
      <c r="P497" s="69">
        <f t="shared" si="113"/>
        <v>11880.483333333332</v>
      </c>
      <c r="Q497" s="69">
        <f t="shared" si="113"/>
        <v>4666.666666666667</v>
      </c>
      <c r="R497" s="54"/>
      <c r="S497" s="49"/>
      <c r="T497" s="49"/>
      <c r="U497" s="49"/>
      <c r="V497" s="49"/>
      <c r="W497" s="49" t="s">
        <v>493</v>
      </c>
      <c r="X497" s="49"/>
      <c r="Y497" s="49"/>
      <c r="Z497" s="66">
        <v>37500</v>
      </c>
      <c r="AB497" s="66">
        <v>24000</v>
      </c>
      <c r="AC497" s="66">
        <v>24000</v>
      </c>
      <c r="AD497" s="89"/>
      <c r="AE497" s="81">
        <f t="shared" si="126"/>
        <v>-13500</v>
      </c>
      <c r="AF497" s="81">
        <f t="shared" si="127"/>
        <v>0</v>
      </c>
    </row>
    <row r="498" spans="1:32" ht="16" x14ac:dyDescent="0.35">
      <c r="A498" s="66"/>
      <c r="B498" s="66"/>
      <c r="C498" s="49"/>
      <c r="D498" s="49"/>
      <c r="E498" s="49" t="s">
        <v>494</v>
      </c>
      <c r="F498" s="49"/>
      <c r="G498" s="49"/>
      <c r="H498" s="63">
        <v>2934</v>
      </c>
      <c r="I498" s="63">
        <v>5607</v>
      </c>
      <c r="J498" s="64">
        <v>0</v>
      </c>
      <c r="K498" s="64">
        <v>0</v>
      </c>
      <c r="L498" s="65">
        <v>0</v>
      </c>
      <c r="M498" s="65">
        <v>0</v>
      </c>
      <c r="N498" s="66">
        <f t="shared" si="125"/>
        <v>2934</v>
      </c>
      <c r="O498" s="66">
        <f t="shared" si="125"/>
        <v>5607</v>
      </c>
      <c r="P498" s="69">
        <f t="shared" si="113"/>
        <v>978</v>
      </c>
      <c r="Q498" s="69">
        <f t="shared" si="113"/>
        <v>1869</v>
      </c>
      <c r="R498" s="54"/>
      <c r="S498" s="49"/>
      <c r="T498" s="49"/>
      <c r="U498" s="49"/>
      <c r="V498" s="49"/>
      <c r="W498" s="49" t="s">
        <v>494</v>
      </c>
      <c r="X498" s="49"/>
      <c r="Y498" s="49"/>
      <c r="Z498" s="66">
        <v>0</v>
      </c>
      <c r="AB498" s="66">
        <v>0</v>
      </c>
      <c r="AC498" s="66">
        <v>0</v>
      </c>
      <c r="AD498" s="89"/>
      <c r="AE498" s="81">
        <f t="shared" si="126"/>
        <v>0</v>
      </c>
      <c r="AF498" s="81">
        <f t="shared" si="127"/>
        <v>0</v>
      </c>
    </row>
    <row r="499" spans="1:32" ht="16" x14ac:dyDescent="0.35">
      <c r="A499" s="66"/>
      <c r="B499" s="66"/>
      <c r="C499" s="49"/>
      <c r="D499" s="49"/>
      <c r="E499" s="49" t="s">
        <v>495</v>
      </c>
      <c r="F499" s="49"/>
      <c r="G499" s="49"/>
      <c r="H499" s="63">
        <v>74809.66</v>
      </c>
      <c r="I499" s="63">
        <v>105600</v>
      </c>
      <c r="J499" s="64">
        <v>52243.49</v>
      </c>
      <c r="K499" s="64">
        <v>53000</v>
      </c>
      <c r="L499" s="65">
        <v>51678.79</v>
      </c>
      <c r="M499" s="65">
        <v>70507</v>
      </c>
      <c r="N499" s="66">
        <f t="shared" si="125"/>
        <v>178731.94</v>
      </c>
      <c r="O499" s="66">
        <f t="shared" si="125"/>
        <v>229107</v>
      </c>
      <c r="P499" s="69">
        <f t="shared" si="113"/>
        <v>59577.313333333332</v>
      </c>
      <c r="Q499" s="69">
        <f t="shared" si="113"/>
        <v>76369</v>
      </c>
      <c r="R499" s="54"/>
      <c r="S499" s="49"/>
      <c r="T499" s="49"/>
      <c r="U499" s="49"/>
      <c r="V499" s="49"/>
      <c r="W499" s="49" t="s">
        <v>495</v>
      </c>
      <c r="X499" s="49"/>
      <c r="Y499" s="49"/>
      <c r="Z499" s="66">
        <v>74122.820000000007</v>
      </c>
      <c r="AB499" s="66">
        <v>109482.14</v>
      </c>
      <c r="AC499" s="66">
        <v>109482.14</v>
      </c>
      <c r="AD499" s="89"/>
      <c r="AE499" s="81">
        <f t="shared" si="126"/>
        <v>35359.319999999992</v>
      </c>
      <c r="AF499" s="81">
        <f t="shared" si="127"/>
        <v>0</v>
      </c>
    </row>
    <row r="500" spans="1:32" ht="16" x14ac:dyDescent="0.35">
      <c r="A500" s="66"/>
      <c r="B500" s="66"/>
      <c r="C500" s="49"/>
      <c r="D500" s="49"/>
      <c r="E500" s="49" t="s">
        <v>496</v>
      </c>
      <c r="F500" s="49"/>
      <c r="G500" s="49"/>
      <c r="H500" s="63">
        <v>2727.19</v>
      </c>
      <c r="I500" s="63">
        <v>4500</v>
      </c>
      <c r="J500" s="64">
        <v>4935.63</v>
      </c>
      <c r="K500" s="64">
        <v>4500</v>
      </c>
      <c r="L500" s="65">
        <v>6253.02</v>
      </c>
      <c r="M500" s="65">
        <v>4025</v>
      </c>
      <c r="N500" s="66">
        <f t="shared" si="125"/>
        <v>13915.84</v>
      </c>
      <c r="O500" s="66">
        <f t="shared" si="125"/>
        <v>13025</v>
      </c>
      <c r="P500" s="69">
        <f t="shared" si="113"/>
        <v>4638.6133333333337</v>
      </c>
      <c r="Q500" s="69">
        <f t="shared" si="113"/>
        <v>4341.666666666667</v>
      </c>
      <c r="R500" s="54"/>
      <c r="S500" s="49"/>
      <c r="T500" s="49"/>
      <c r="U500" s="49"/>
      <c r="V500" s="49"/>
      <c r="W500" s="49" t="s">
        <v>496</v>
      </c>
      <c r="X500" s="49"/>
      <c r="Y500" s="49"/>
      <c r="Z500" s="66">
        <v>8352</v>
      </c>
      <c r="AB500" s="66">
        <v>4563</v>
      </c>
      <c r="AC500" s="66">
        <v>4563</v>
      </c>
      <c r="AD500" s="89"/>
      <c r="AE500" s="81">
        <f t="shared" si="126"/>
        <v>-3789</v>
      </c>
      <c r="AF500" s="81">
        <f t="shared" si="127"/>
        <v>0</v>
      </c>
    </row>
    <row r="501" spans="1:32" ht="16" x14ac:dyDescent="0.35">
      <c r="A501" s="66"/>
      <c r="B501" s="66"/>
      <c r="C501" s="49"/>
      <c r="D501" s="49"/>
      <c r="E501" s="49" t="s">
        <v>497</v>
      </c>
      <c r="F501" s="49"/>
      <c r="G501" s="49"/>
      <c r="H501" s="63">
        <v>3590</v>
      </c>
      <c r="I501" s="63">
        <v>4608</v>
      </c>
      <c r="J501" s="64">
        <v>3588</v>
      </c>
      <c r="K501" s="64">
        <v>3700</v>
      </c>
      <c r="L501" s="65">
        <v>689</v>
      </c>
      <c r="M501" s="65">
        <v>3600</v>
      </c>
      <c r="N501" s="66">
        <f t="shared" si="125"/>
        <v>7867</v>
      </c>
      <c r="O501" s="66">
        <f t="shared" si="125"/>
        <v>11908</v>
      </c>
      <c r="P501" s="69">
        <f t="shared" si="113"/>
        <v>2622.3333333333335</v>
      </c>
      <c r="Q501" s="69">
        <f t="shared" si="113"/>
        <v>3969.3333333333335</v>
      </c>
      <c r="R501" s="54"/>
      <c r="S501" s="49"/>
      <c r="T501" s="49"/>
      <c r="U501" s="49"/>
      <c r="V501" s="49"/>
      <c r="W501" s="49" t="s">
        <v>497</v>
      </c>
      <c r="X501" s="49"/>
      <c r="Y501" s="49"/>
      <c r="Z501" s="66">
        <v>2000</v>
      </c>
      <c r="AB501" s="66">
        <v>0</v>
      </c>
      <c r="AC501" s="66">
        <v>0</v>
      </c>
      <c r="AD501" s="89"/>
      <c r="AE501" s="81">
        <f t="shared" si="126"/>
        <v>-2000</v>
      </c>
      <c r="AF501" s="81">
        <f t="shared" si="127"/>
        <v>0</v>
      </c>
    </row>
    <row r="502" spans="1:32" ht="16" x14ac:dyDescent="0.35">
      <c r="A502" s="66"/>
      <c r="B502" s="66"/>
      <c r="C502" s="49"/>
      <c r="D502" s="49"/>
      <c r="E502" s="49" t="s">
        <v>498</v>
      </c>
      <c r="F502" s="49"/>
      <c r="G502" s="49"/>
      <c r="H502" s="63">
        <v>12597.17</v>
      </c>
      <c r="I502" s="63">
        <v>12766</v>
      </c>
      <c r="J502" s="64">
        <v>11637.22</v>
      </c>
      <c r="K502" s="64">
        <v>12771.48</v>
      </c>
      <c r="L502" s="65">
        <v>11300</v>
      </c>
      <c r="M502" s="65">
        <v>11832</v>
      </c>
      <c r="N502" s="66">
        <f t="shared" si="125"/>
        <v>35534.39</v>
      </c>
      <c r="O502" s="66">
        <f t="shared" si="125"/>
        <v>37369.480000000003</v>
      </c>
      <c r="P502" s="69">
        <f t="shared" si="113"/>
        <v>11844.796666666667</v>
      </c>
      <c r="Q502" s="69">
        <f t="shared" si="113"/>
        <v>12456.493333333334</v>
      </c>
      <c r="R502" s="54"/>
      <c r="S502" s="49"/>
      <c r="T502" s="49"/>
      <c r="U502" s="49"/>
      <c r="V502" s="49"/>
      <c r="W502" s="49" t="s">
        <v>498</v>
      </c>
      <c r="X502" s="49"/>
      <c r="Y502" s="49"/>
      <c r="Z502" s="66">
        <v>12424</v>
      </c>
      <c r="AB502" s="66">
        <v>11767.5</v>
      </c>
      <c r="AC502" s="66">
        <v>11767.5</v>
      </c>
      <c r="AD502" s="89"/>
      <c r="AE502" s="81">
        <f t="shared" si="126"/>
        <v>-656.5</v>
      </c>
      <c r="AF502" s="81">
        <f t="shared" si="127"/>
        <v>0</v>
      </c>
    </row>
    <row r="503" spans="1:32" ht="16" x14ac:dyDescent="0.35">
      <c r="A503" s="66"/>
      <c r="B503" s="66"/>
      <c r="C503" s="49"/>
      <c r="D503" s="49"/>
      <c r="E503" s="49" t="s">
        <v>499</v>
      </c>
      <c r="F503" s="49"/>
      <c r="G503" s="49"/>
      <c r="H503" s="63">
        <v>12597.14</v>
      </c>
      <c r="I503" s="63">
        <v>12766</v>
      </c>
      <c r="J503" s="64">
        <v>11637.22</v>
      </c>
      <c r="K503" s="64">
        <v>12771.35</v>
      </c>
      <c r="L503" s="65">
        <v>11300</v>
      </c>
      <c r="M503" s="65">
        <v>11832</v>
      </c>
      <c r="N503" s="66">
        <f t="shared" si="125"/>
        <v>35534.36</v>
      </c>
      <c r="O503" s="66">
        <f t="shared" si="125"/>
        <v>37369.35</v>
      </c>
      <c r="P503" s="69">
        <f t="shared" si="113"/>
        <v>11844.786666666667</v>
      </c>
      <c r="Q503" s="69">
        <f t="shared" si="113"/>
        <v>12456.449999999999</v>
      </c>
      <c r="R503" s="54"/>
      <c r="S503" s="49"/>
      <c r="T503" s="49"/>
      <c r="U503" s="49"/>
      <c r="V503" s="49"/>
      <c r="W503" s="49" t="s">
        <v>499</v>
      </c>
      <c r="X503" s="49"/>
      <c r="Y503" s="49"/>
      <c r="Z503" s="66">
        <v>12424</v>
      </c>
      <c r="AB503" s="66">
        <v>11767.5</v>
      </c>
      <c r="AC503" s="66">
        <v>11767.5</v>
      </c>
      <c r="AD503" s="89"/>
      <c r="AE503" s="81">
        <f t="shared" si="126"/>
        <v>-656.5</v>
      </c>
      <c r="AF503" s="81">
        <f t="shared" si="127"/>
        <v>0</v>
      </c>
    </row>
    <row r="504" spans="1:32" ht="16" x14ac:dyDescent="0.35">
      <c r="A504" s="66"/>
      <c r="B504" s="66"/>
      <c r="C504" s="49"/>
      <c r="D504" s="49"/>
      <c r="E504" s="49" t="s">
        <v>500</v>
      </c>
      <c r="F504" s="49"/>
      <c r="G504" s="49"/>
      <c r="H504" s="63">
        <v>4694</v>
      </c>
      <c r="I504" s="63">
        <v>4807</v>
      </c>
      <c r="J504" s="64">
        <v>5020.5</v>
      </c>
      <c r="K504" s="64">
        <v>4700</v>
      </c>
      <c r="L504" s="65">
        <v>5177.16</v>
      </c>
      <c r="M504" s="65">
        <v>5244</v>
      </c>
      <c r="N504" s="66">
        <f t="shared" si="125"/>
        <v>14891.66</v>
      </c>
      <c r="O504" s="66">
        <f t="shared" si="125"/>
        <v>14751</v>
      </c>
      <c r="P504" s="69">
        <f t="shared" si="113"/>
        <v>4963.8866666666663</v>
      </c>
      <c r="Q504" s="69">
        <f t="shared" si="113"/>
        <v>4917</v>
      </c>
      <c r="R504" s="54"/>
      <c r="S504" s="49"/>
      <c r="T504" s="49"/>
      <c r="U504" s="49"/>
      <c r="V504" s="49"/>
      <c r="W504" s="49" t="s">
        <v>500</v>
      </c>
      <c r="X504" s="49"/>
      <c r="Y504" s="49"/>
      <c r="Z504" s="66">
        <v>5411</v>
      </c>
      <c r="AB504" s="66">
        <f>ROUND(7535.85, 0)</f>
        <v>7536</v>
      </c>
      <c r="AC504" s="66">
        <f>ROUND(7535.85, 0)</f>
        <v>7536</v>
      </c>
      <c r="AD504" s="89" t="s">
        <v>880</v>
      </c>
      <c r="AE504" s="81">
        <f t="shared" si="126"/>
        <v>2125</v>
      </c>
      <c r="AF504" s="81">
        <f t="shared" si="127"/>
        <v>0</v>
      </c>
    </row>
    <row r="505" spans="1:32" ht="16" x14ac:dyDescent="0.35">
      <c r="A505" s="66"/>
      <c r="B505" s="66"/>
      <c r="C505" s="49"/>
      <c r="D505" s="49"/>
      <c r="E505" s="49" t="s">
        <v>501</v>
      </c>
      <c r="F505" s="49"/>
      <c r="G505" s="49"/>
      <c r="H505" s="63">
        <v>0</v>
      </c>
      <c r="I505" s="63">
        <v>0</v>
      </c>
      <c r="J505" s="64">
        <v>14469.34</v>
      </c>
      <c r="K505" s="64">
        <v>2000</v>
      </c>
      <c r="L505" s="65">
        <v>16282.95</v>
      </c>
      <c r="M505" s="65">
        <v>2000</v>
      </c>
      <c r="N505" s="66">
        <f t="shared" si="125"/>
        <v>30752.29</v>
      </c>
      <c r="O505" s="66">
        <f t="shared" si="125"/>
        <v>4000</v>
      </c>
      <c r="P505" s="69">
        <f t="shared" si="113"/>
        <v>10250.763333333334</v>
      </c>
      <c r="Q505" s="69">
        <f t="shared" si="113"/>
        <v>1333.3333333333333</v>
      </c>
      <c r="R505" s="54"/>
      <c r="S505" s="49"/>
      <c r="T505" s="49"/>
      <c r="U505" s="49"/>
      <c r="V505" s="49"/>
      <c r="W505" s="49" t="s">
        <v>501</v>
      </c>
      <c r="X505" s="49"/>
      <c r="Y505" s="49"/>
      <c r="Z505" s="66">
        <v>2000</v>
      </c>
      <c r="AB505" s="66">
        <v>0</v>
      </c>
      <c r="AC505" s="66">
        <v>0</v>
      </c>
      <c r="AD505" s="89"/>
      <c r="AE505" s="81">
        <f t="shared" si="126"/>
        <v>-2000</v>
      </c>
      <c r="AF505" s="81">
        <f t="shared" si="127"/>
        <v>0</v>
      </c>
    </row>
    <row r="506" spans="1:32" ht="16" x14ac:dyDescent="0.35">
      <c r="A506" s="66"/>
      <c r="B506" s="66"/>
      <c r="C506" s="49"/>
      <c r="D506" s="49"/>
      <c r="E506" s="49" t="s">
        <v>502</v>
      </c>
      <c r="F506" s="49"/>
      <c r="G506" s="49"/>
      <c r="H506" s="63">
        <v>15158.69</v>
      </c>
      <c r="I506" s="63">
        <v>50000</v>
      </c>
      <c r="J506" s="64">
        <v>5299.22</v>
      </c>
      <c r="K506" s="64">
        <v>10000</v>
      </c>
      <c r="L506" s="65">
        <v>10963.76</v>
      </c>
      <c r="M506" s="65">
        <v>45000</v>
      </c>
      <c r="N506" s="66">
        <f t="shared" si="125"/>
        <v>31421.67</v>
      </c>
      <c r="O506" s="66">
        <f t="shared" si="125"/>
        <v>105000</v>
      </c>
      <c r="P506" s="69">
        <f t="shared" si="113"/>
        <v>10473.89</v>
      </c>
      <c r="Q506" s="69">
        <f t="shared" si="113"/>
        <v>35000</v>
      </c>
      <c r="R506" s="54"/>
      <c r="S506" s="49"/>
      <c r="T506" s="49"/>
      <c r="U506" s="49"/>
      <c r="V506" s="49"/>
      <c r="W506" s="49" t="s">
        <v>502</v>
      </c>
      <c r="X506" s="49"/>
      <c r="Y506" s="49"/>
      <c r="Z506" s="66">
        <v>20000</v>
      </c>
      <c r="AB506" s="69">
        <v>20000</v>
      </c>
      <c r="AC506" s="69">
        <v>10000</v>
      </c>
      <c r="AD506" s="90" t="s">
        <v>845</v>
      </c>
      <c r="AE506" s="81">
        <f t="shared" si="126"/>
        <v>0</v>
      </c>
      <c r="AF506" s="81">
        <f t="shared" si="127"/>
        <v>-10000</v>
      </c>
    </row>
    <row r="507" spans="1:32" x14ac:dyDescent="0.35">
      <c r="A507" s="66"/>
      <c r="B507" s="66"/>
      <c r="C507" s="49"/>
      <c r="D507" s="49"/>
      <c r="E507" s="49" t="s">
        <v>503</v>
      </c>
      <c r="F507" s="49"/>
      <c r="G507" s="49"/>
      <c r="H507" s="63">
        <v>1942.71</v>
      </c>
      <c r="I507" s="63">
        <v>0</v>
      </c>
      <c r="J507" s="64">
        <v>1701.44</v>
      </c>
      <c r="K507" s="64">
        <v>1500</v>
      </c>
      <c r="L507" s="65">
        <v>1553.27</v>
      </c>
      <c r="M507" s="65">
        <v>1650</v>
      </c>
      <c r="N507" s="66">
        <f t="shared" si="125"/>
        <v>5197.42</v>
      </c>
      <c r="O507" s="66">
        <f t="shared" si="125"/>
        <v>3150</v>
      </c>
      <c r="P507" s="69">
        <f t="shared" si="113"/>
        <v>1732.4733333333334</v>
      </c>
      <c r="Q507" s="69">
        <f t="shared" si="113"/>
        <v>1050</v>
      </c>
      <c r="R507" s="54"/>
      <c r="S507" s="49"/>
      <c r="T507" s="49"/>
      <c r="U507" s="49"/>
      <c r="V507" s="49"/>
      <c r="W507" s="49" t="s">
        <v>503</v>
      </c>
      <c r="X507" s="49"/>
      <c r="Y507" s="49"/>
      <c r="Z507" s="66">
        <v>1650</v>
      </c>
      <c r="AB507" s="66">
        <v>1600</v>
      </c>
      <c r="AC507" s="66">
        <v>1600</v>
      </c>
      <c r="AE507" s="81">
        <f t="shared" si="126"/>
        <v>-50</v>
      </c>
      <c r="AF507" s="81">
        <f t="shared" si="127"/>
        <v>0</v>
      </c>
    </row>
    <row r="508" spans="1:32" x14ac:dyDescent="0.35">
      <c r="A508" s="66"/>
      <c r="B508" s="66"/>
      <c r="C508" s="49"/>
      <c r="D508" s="49"/>
      <c r="E508" s="49" t="s">
        <v>504</v>
      </c>
      <c r="F508" s="49"/>
      <c r="G508" s="49"/>
      <c r="H508" s="63">
        <v>43056.86</v>
      </c>
      <c r="I508" s="63">
        <v>43200</v>
      </c>
      <c r="J508" s="64">
        <v>49577.21</v>
      </c>
      <c r="K508" s="64">
        <v>40000</v>
      </c>
      <c r="L508" s="65">
        <v>49198.66</v>
      </c>
      <c r="M508" s="65">
        <v>43000</v>
      </c>
      <c r="N508" s="66">
        <f t="shared" si="125"/>
        <v>141832.73000000001</v>
      </c>
      <c r="O508" s="66">
        <f t="shared" si="125"/>
        <v>126200</v>
      </c>
      <c r="P508" s="69">
        <f t="shared" si="113"/>
        <v>47277.576666666668</v>
      </c>
      <c r="Q508" s="69">
        <f t="shared" si="113"/>
        <v>42066.666666666664</v>
      </c>
      <c r="R508" s="54"/>
      <c r="S508" s="49"/>
      <c r="T508" s="49"/>
      <c r="U508" s="49"/>
      <c r="V508" s="49"/>
      <c r="W508" s="49" t="s">
        <v>504</v>
      </c>
      <c r="X508" s="49"/>
      <c r="Y508" s="49"/>
      <c r="Z508" s="66">
        <v>53400</v>
      </c>
      <c r="AB508" s="66">
        <v>50400</v>
      </c>
      <c r="AC508" s="66">
        <v>50400</v>
      </c>
      <c r="AD508" s="111"/>
      <c r="AE508" s="81">
        <f t="shared" si="126"/>
        <v>-3000</v>
      </c>
      <c r="AF508" s="81">
        <f t="shared" si="127"/>
        <v>0</v>
      </c>
    </row>
    <row r="509" spans="1:32" x14ac:dyDescent="0.35">
      <c r="A509" s="66"/>
      <c r="B509" s="66"/>
      <c r="C509" s="49"/>
      <c r="D509" s="49"/>
      <c r="E509" s="49" t="s">
        <v>505</v>
      </c>
      <c r="F509" s="49"/>
      <c r="G509" s="49"/>
      <c r="H509" s="63">
        <v>29693.03</v>
      </c>
      <c r="I509" s="63">
        <v>25200</v>
      </c>
      <c r="J509" s="64">
        <v>29633.54</v>
      </c>
      <c r="K509" s="64">
        <v>26000</v>
      </c>
      <c r="L509" s="65">
        <v>30299.87</v>
      </c>
      <c r="M509" s="65">
        <v>30000</v>
      </c>
      <c r="N509" s="66">
        <f t="shared" si="125"/>
        <v>89626.44</v>
      </c>
      <c r="O509" s="66">
        <f t="shared" si="125"/>
        <v>81200</v>
      </c>
      <c r="P509" s="69">
        <f t="shared" ref="P509:Q569" si="128">N509/3</f>
        <v>29875.48</v>
      </c>
      <c r="Q509" s="69">
        <f t="shared" si="128"/>
        <v>27066.666666666668</v>
      </c>
      <c r="R509" s="54"/>
      <c r="S509" s="49"/>
      <c r="T509" s="49"/>
      <c r="U509" s="49"/>
      <c r="V509" s="49"/>
      <c r="W509" s="49" t="s">
        <v>505</v>
      </c>
      <c r="X509" s="49"/>
      <c r="Y509" s="49"/>
      <c r="Z509" s="66">
        <v>32964</v>
      </c>
      <c r="AB509" s="66">
        <v>29886</v>
      </c>
      <c r="AC509" s="66">
        <v>29886</v>
      </c>
      <c r="AD509" s="112"/>
      <c r="AE509" s="81">
        <f t="shared" si="126"/>
        <v>-3078</v>
      </c>
      <c r="AF509" s="81">
        <f t="shared" si="127"/>
        <v>0</v>
      </c>
    </row>
    <row r="510" spans="1:32" x14ac:dyDescent="0.35">
      <c r="A510" s="66"/>
      <c r="B510" s="66"/>
      <c r="C510" s="49"/>
      <c r="D510" s="49"/>
      <c r="E510" s="49" t="s">
        <v>506</v>
      </c>
      <c r="F510" s="49"/>
      <c r="G510" s="49"/>
      <c r="H510" s="63">
        <v>0</v>
      </c>
      <c r="I510" s="63">
        <v>700</v>
      </c>
      <c r="J510" s="64">
        <v>0</v>
      </c>
      <c r="K510" s="64">
        <v>500</v>
      </c>
      <c r="L510" s="65">
        <v>0</v>
      </c>
      <c r="M510" s="65">
        <v>575</v>
      </c>
      <c r="N510" s="66">
        <f t="shared" si="125"/>
        <v>0</v>
      </c>
      <c r="O510" s="66">
        <f t="shared" si="125"/>
        <v>1775</v>
      </c>
      <c r="P510" s="69">
        <f t="shared" si="128"/>
        <v>0</v>
      </c>
      <c r="Q510" s="69">
        <f t="shared" si="128"/>
        <v>591.66666666666663</v>
      </c>
      <c r="R510" s="54"/>
      <c r="S510" s="49"/>
      <c r="T510" s="49"/>
      <c r="U510" s="49"/>
      <c r="V510" s="49"/>
      <c r="W510" s="49" t="s">
        <v>506</v>
      </c>
      <c r="X510" s="49"/>
      <c r="Y510" s="49"/>
      <c r="Z510" s="66">
        <v>700</v>
      </c>
      <c r="AB510" s="66">
        <v>700</v>
      </c>
      <c r="AC510" s="66">
        <v>700</v>
      </c>
      <c r="AE510" s="81">
        <f t="shared" si="126"/>
        <v>0</v>
      </c>
      <c r="AF510" s="81">
        <f t="shared" si="127"/>
        <v>0</v>
      </c>
    </row>
    <row r="511" spans="1:32" x14ac:dyDescent="0.35">
      <c r="A511" s="66"/>
      <c r="B511" s="66"/>
      <c r="C511" s="49"/>
      <c r="D511" s="49"/>
      <c r="E511" s="49" t="s">
        <v>507</v>
      </c>
      <c r="F511" s="49"/>
      <c r="G511" s="49"/>
      <c r="H511" s="63">
        <v>11143.42</v>
      </c>
      <c r="I511" s="63">
        <v>11688</v>
      </c>
      <c r="J511" s="64">
        <v>11624.25</v>
      </c>
      <c r="K511" s="64">
        <v>10368</v>
      </c>
      <c r="L511" s="65">
        <v>11804</v>
      </c>
      <c r="M511" s="65">
        <v>11238</v>
      </c>
      <c r="N511" s="66">
        <f t="shared" si="125"/>
        <v>34571.67</v>
      </c>
      <c r="O511" s="66">
        <f t="shared" si="125"/>
        <v>33294</v>
      </c>
      <c r="P511" s="69">
        <f t="shared" si="128"/>
        <v>11523.89</v>
      </c>
      <c r="Q511" s="69">
        <f t="shared" si="128"/>
        <v>11098</v>
      </c>
      <c r="R511" s="54"/>
      <c r="S511" s="49"/>
      <c r="T511" s="49"/>
      <c r="U511" s="49"/>
      <c r="V511" s="49"/>
      <c r="W511" s="49" t="s">
        <v>507</v>
      </c>
      <c r="X511" s="49"/>
      <c r="Y511" s="49"/>
      <c r="Z511" s="66">
        <v>10173</v>
      </c>
      <c r="AB511" s="66">
        <v>13488</v>
      </c>
      <c r="AC511" s="66">
        <v>13488</v>
      </c>
      <c r="AE511" s="81">
        <f t="shared" si="126"/>
        <v>3315</v>
      </c>
      <c r="AF511" s="81">
        <f t="shared" si="127"/>
        <v>0</v>
      </c>
    </row>
    <row r="512" spans="1:32" x14ac:dyDescent="0.35">
      <c r="A512" s="66"/>
      <c r="B512" s="66"/>
      <c r="C512" s="49"/>
      <c r="D512" s="49"/>
      <c r="E512" s="49" t="s">
        <v>508</v>
      </c>
      <c r="F512" s="49"/>
      <c r="G512" s="49"/>
      <c r="H512" s="63">
        <v>23426.28</v>
      </c>
      <c r="I512" s="63">
        <v>12424</v>
      </c>
      <c r="J512" s="64">
        <v>25016.84</v>
      </c>
      <c r="K512" s="64">
        <v>23200</v>
      </c>
      <c r="L512" s="65">
        <v>28552.11</v>
      </c>
      <c r="M512" s="65">
        <v>26073</v>
      </c>
      <c r="N512" s="66">
        <f t="shared" si="125"/>
        <v>76995.23</v>
      </c>
      <c r="O512" s="66">
        <f t="shared" si="125"/>
        <v>61697</v>
      </c>
      <c r="P512" s="69">
        <f t="shared" si="128"/>
        <v>25665.076666666664</v>
      </c>
      <c r="Q512" s="69">
        <f t="shared" si="128"/>
        <v>20565.666666666668</v>
      </c>
      <c r="R512" s="54"/>
      <c r="S512" s="49"/>
      <c r="T512" s="49"/>
      <c r="U512" s="49"/>
      <c r="V512" s="49"/>
      <c r="W512" s="49" t="s">
        <v>508</v>
      </c>
      <c r="X512" s="49"/>
      <c r="Y512" s="49"/>
      <c r="Z512" s="66">
        <v>29969</v>
      </c>
      <c r="AB512" s="66">
        <v>0</v>
      </c>
      <c r="AC512" s="66">
        <v>0</v>
      </c>
      <c r="AD512" s="46" t="s">
        <v>847</v>
      </c>
      <c r="AE512" s="81">
        <f t="shared" si="126"/>
        <v>-29969</v>
      </c>
      <c r="AF512" s="81">
        <f t="shared" si="127"/>
        <v>0</v>
      </c>
    </row>
    <row r="513" spans="1:32" x14ac:dyDescent="0.35">
      <c r="A513" s="66"/>
      <c r="B513" s="66"/>
      <c r="C513" s="49"/>
      <c r="D513" s="49"/>
      <c r="E513" s="49" t="s">
        <v>509</v>
      </c>
      <c r="F513" s="49"/>
      <c r="G513" s="49"/>
      <c r="H513" s="63">
        <v>32596.51</v>
      </c>
      <c r="I513" s="63">
        <v>32227.24</v>
      </c>
      <c r="J513" s="64">
        <v>35370.050000000003</v>
      </c>
      <c r="K513" s="64">
        <v>32800</v>
      </c>
      <c r="L513" s="65">
        <v>38961.4</v>
      </c>
      <c r="M513" s="65">
        <v>35599</v>
      </c>
      <c r="N513" s="66">
        <f t="shared" si="125"/>
        <v>106927.96</v>
      </c>
      <c r="O513" s="66">
        <f t="shared" si="125"/>
        <v>100626.24000000001</v>
      </c>
      <c r="P513" s="69">
        <f t="shared" si="128"/>
        <v>35642.653333333335</v>
      </c>
      <c r="Q513" s="69">
        <f t="shared" si="128"/>
        <v>33542.080000000002</v>
      </c>
      <c r="R513" s="54"/>
      <c r="S513" s="49"/>
      <c r="T513" s="49"/>
      <c r="U513" s="49"/>
      <c r="V513" s="49"/>
      <c r="W513" s="49" t="s">
        <v>509</v>
      </c>
      <c r="X513" s="49"/>
      <c r="Y513" s="49"/>
      <c r="Z513" s="66">
        <v>50578</v>
      </c>
      <c r="AB513" s="66">
        <v>49805</v>
      </c>
      <c r="AC513" s="66">
        <v>49805</v>
      </c>
      <c r="AE513" s="81">
        <f t="shared" si="126"/>
        <v>-773</v>
      </c>
      <c r="AF513" s="81">
        <f t="shared" si="127"/>
        <v>0</v>
      </c>
    </row>
    <row r="514" spans="1:32" x14ac:dyDescent="0.35">
      <c r="A514" s="66"/>
      <c r="B514" s="66"/>
      <c r="C514" s="49"/>
      <c r="D514" s="49"/>
      <c r="E514" s="49" t="s">
        <v>510</v>
      </c>
      <c r="F514" s="49"/>
      <c r="G514" s="49"/>
      <c r="H514" s="63"/>
      <c r="I514" s="63"/>
      <c r="J514" s="64"/>
      <c r="K514" s="64"/>
      <c r="L514" s="65"/>
      <c r="M514" s="65"/>
      <c r="N514" s="66"/>
      <c r="O514" s="66"/>
      <c r="P514" s="69"/>
      <c r="Q514" s="69"/>
      <c r="R514" s="54"/>
      <c r="S514" s="49"/>
      <c r="T514" s="49"/>
      <c r="U514" s="49"/>
      <c r="V514" s="49"/>
      <c r="W514" s="49" t="s">
        <v>510</v>
      </c>
      <c r="X514" s="49"/>
      <c r="Y514" s="49"/>
      <c r="Z514" s="66"/>
      <c r="AB514" s="66"/>
      <c r="AC514" s="66"/>
      <c r="AE514" s="81">
        <f t="shared" si="126"/>
        <v>0</v>
      </c>
      <c r="AF514" s="81">
        <f t="shared" si="127"/>
        <v>0</v>
      </c>
    </row>
    <row r="515" spans="1:32" x14ac:dyDescent="0.35">
      <c r="A515" s="66"/>
      <c r="B515" s="66"/>
      <c r="C515" s="49"/>
      <c r="D515" s="49"/>
      <c r="E515" s="49"/>
      <c r="F515" s="49" t="s">
        <v>511</v>
      </c>
      <c r="G515" s="49"/>
      <c r="H515" s="63">
        <v>8700</v>
      </c>
      <c r="I515" s="63">
        <v>15000</v>
      </c>
      <c r="J515" s="64">
        <v>24061</v>
      </c>
      <c r="K515" s="64">
        <v>25000</v>
      </c>
      <c r="L515" s="65">
        <v>24976</v>
      </c>
      <c r="M515" s="65">
        <v>25000</v>
      </c>
      <c r="N515" s="66">
        <f t="shared" ref="N515:O530" si="129">ROUND(H515+J515+L515,5)</f>
        <v>57737</v>
      </c>
      <c r="O515" s="66">
        <f t="shared" si="129"/>
        <v>65000</v>
      </c>
      <c r="P515" s="69">
        <f t="shared" si="128"/>
        <v>19245.666666666668</v>
      </c>
      <c r="Q515" s="69">
        <f t="shared" si="128"/>
        <v>21666.666666666668</v>
      </c>
      <c r="R515" s="54"/>
      <c r="S515" s="49"/>
      <c r="T515" s="49"/>
      <c r="U515" s="49"/>
      <c r="V515" s="49"/>
      <c r="W515" s="49"/>
      <c r="X515" s="49" t="s">
        <v>511</v>
      </c>
      <c r="Y515" s="49"/>
      <c r="Z515" s="66">
        <v>25000</v>
      </c>
      <c r="AB515" s="66">
        <v>25000</v>
      </c>
      <c r="AC515" s="66">
        <v>20000</v>
      </c>
      <c r="AE515" s="81">
        <f t="shared" si="126"/>
        <v>0</v>
      </c>
      <c r="AF515" s="81">
        <f t="shared" si="127"/>
        <v>-5000</v>
      </c>
    </row>
    <row r="516" spans="1:32" x14ac:dyDescent="0.35">
      <c r="A516" s="66"/>
      <c r="B516" s="66"/>
      <c r="C516" s="49"/>
      <c r="D516" s="49"/>
      <c r="E516" s="49"/>
      <c r="F516" s="49" t="s">
        <v>512</v>
      </c>
      <c r="G516" s="49"/>
      <c r="H516" s="63">
        <v>968.76</v>
      </c>
      <c r="I516" s="63">
        <v>40000</v>
      </c>
      <c r="J516" s="64">
        <v>11604.98</v>
      </c>
      <c r="K516" s="64">
        <v>18000</v>
      </c>
      <c r="L516" s="65">
        <v>9768.11</v>
      </c>
      <c r="M516" s="65">
        <v>30000</v>
      </c>
      <c r="N516" s="66">
        <f t="shared" si="129"/>
        <v>22341.85</v>
      </c>
      <c r="O516" s="66">
        <f t="shared" si="129"/>
        <v>88000</v>
      </c>
      <c r="P516" s="69">
        <f t="shared" si="128"/>
        <v>7447.2833333333328</v>
      </c>
      <c r="Q516" s="69">
        <f t="shared" si="128"/>
        <v>29333.333333333332</v>
      </c>
      <c r="R516" s="54"/>
      <c r="S516" s="49"/>
      <c r="T516" s="49"/>
      <c r="U516" s="49"/>
      <c r="V516" s="49"/>
      <c r="W516" s="49"/>
      <c r="X516" s="49" t="s">
        <v>512</v>
      </c>
      <c r="Y516" s="49"/>
      <c r="Z516" s="66">
        <v>35000</v>
      </c>
      <c r="AB516" s="66">
        <v>20000</v>
      </c>
      <c r="AC516" s="66">
        <v>15000</v>
      </c>
      <c r="AE516" s="81">
        <f t="shared" si="126"/>
        <v>-15000</v>
      </c>
      <c r="AF516" s="81">
        <f t="shared" si="127"/>
        <v>-5000</v>
      </c>
    </row>
    <row r="517" spans="1:32" ht="16" thickBot="1" x14ac:dyDescent="0.4">
      <c r="A517" s="66"/>
      <c r="B517" s="66"/>
      <c r="C517" s="49"/>
      <c r="D517" s="49"/>
      <c r="E517" s="49"/>
      <c r="F517" s="49" t="s">
        <v>513</v>
      </c>
      <c r="G517" s="49"/>
      <c r="H517" s="70">
        <v>18640.98</v>
      </c>
      <c r="I517" s="70">
        <v>20000</v>
      </c>
      <c r="J517" s="71">
        <v>34056.79</v>
      </c>
      <c r="K517" s="71">
        <v>15000</v>
      </c>
      <c r="L517" s="72">
        <v>41936.720000000001</v>
      </c>
      <c r="M517" s="72">
        <v>20000</v>
      </c>
      <c r="N517" s="73">
        <f t="shared" si="129"/>
        <v>94634.49</v>
      </c>
      <c r="O517" s="73">
        <f t="shared" si="129"/>
        <v>55000</v>
      </c>
      <c r="P517" s="74">
        <f t="shared" si="128"/>
        <v>31544.83</v>
      </c>
      <c r="Q517" s="74">
        <f t="shared" si="128"/>
        <v>18333.333333333332</v>
      </c>
      <c r="R517" s="54"/>
      <c r="S517" s="49"/>
      <c r="T517" s="49"/>
      <c r="U517" s="49"/>
      <c r="V517" s="49"/>
      <c r="W517" s="49"/>
      <c r="X517" s="49" t="s">
        <v>513</v>
      </c>
      <c r="Y517" s="49"/>
      <c r="Z517" s="73">
        <v>30000</v>
      </c>
      <c r="AB517" s="73">
        <v>35000</v>
      </c>
      <c r="AC517" s="73">
        <v>30000</v>
      </c>
      <c r="AE517" s="81">
        <f t="shared" si="126"/>
        <v>5000</v>
      </c>
      <c r="AF517" s="81">
        <f t="shared" si="127"/>
        <v>-5000</v>
      </c>
    </row>
    <row r="518" spans="1:32" x14ac:dyDescent="0.35">
      <c r="A518" s="66"/>
      <c r="B518" s="66"/>
      <c r="C518" s="49"/>
      <c r="D518" s="49"/>
      <c r="E518" s="49" t="s">
        <v>514</v>
      </c>
      <c r="F518" s="49"/>
      <c r="G518" s="49"/>
      <c r="H518" s="63">
        <f t="shared" ref="H518:M518" si="130">ROUND(SUM(H514:H517),5)</f>
        <v>28309.74</v>
      </c>
      <c r="I518" s="63">
        <f t="shared" si="130"/>
        <v>75000</v>
      </c>
      <c r="J518" s="64">
        <f t="shared" si="130"/>
        <v>69722.77</v>
      </c>
      <c r="K518" s="64">
        <f t="shared" si="130"/>
        <v>58000</v>
      </c>
      <c r="L518" s="65">
        <f t="shared" si="130"/>
        <v>76680.83</v>
      </c>
      <c r="M518" s="65">
        <f t="shared" si="130"/>
        <v>75000</v>
      </c>
      <c r="N518" s="66">
        <f t="shared" si="129"/>
        <v>174713.34</v>
      </c>
      <c r="O518" s="66">
        <f t="shared" si="129"/>
        <v>208000</v>
      </c>
      <c r="P518" s="69">
        <f t="shared" si="128"/>
        <v>58237.78</v>
      </c>
      <c r="Q518" s="69">
        <f t="shared" si="128"/>
        <v>69333.333333333328</v>
      </c>
      <c r="R518" s="54"/>
      <c r="S518" s="49"/>
      <c r="T518" s="49"/>
      <c r="U518" s="49"/>
      <c r="V518" s="49"/>
      <c r="W518" s="49" t="s">
        <v>514</v>
      </c>
      <c r="X518" s="49"/>
      <c r="Y518" s="49"/>
      <c r="Z518" s="66">
        <f>ROUND(SUM(Z514:Z517),5)</f>
        <v>90000</v>
      </c>
      <c r="AB518" s="66">
        <f>ROUND(SUM(AB514:AB517),5)</f>
        <v>80000</v>
      </c>
      <c r="AC518" s="66">
        <f>ROUND(SUM(AC514:AC517),5)</f>
        <v>65000</v>
      </c>
      <c r="AE518" s="81">
        <f t="shared" si="126"/>
        <v>-10000</v>
      </c>
      <c r="AF518" s="81">
        <f t="shared" si="127"/>
        <v>-15000</v>
      </c>
    </row>
    <row r="519" spans="1:32" x14ac:dyDescent="0.35">
      <c r="A519" s="66"/>
      <c r="B519" s="66"/>
      <c r="C519" s="49"/>
      <c r="D519" s="49"/>
      <c r="E519" s="49" t="s">
        <v>515</v>
      </c>
      <c r="F519" s="49"/>
      <c r="G519" s="49"/>
      <c r="H519" s="63">
        <v>4964.49</v>
      </c>
      <c r="I519" s="63">
        <v>2000</v>
      </c>
      <c r="J519" s="64">
        <v>2885.14</v>
      </c>
      <c r="K519" s="64">
        <v>2880</v>
      </c>
      <c r="L519" s="65">
        <v>670.2</v>
      </c>
      <c r="M519" s="65">
        <v>3000</v>
      </c>
      <c r="N519" s="66">
        <f t="shared" si="129"/>
        <v>8519.83</v>
      </c>
      <c r="O519" s="66">
        <f t="shared" si="129"/>
        <v>7880</v>
      </c>
      <c r="P519" s="69">
        <f t="shared" si="128"/>
        <v>2839.9433333333332</v>
      </c>
      <c r="Q519" s="69">
        <f t="shared" si="128"/>
        <v>2626.6666666666665</v>
      </c>
      <c r="R519" s="54"/>
      <c r="S519" s="49"/>
      <c r="T519" s="49"/>
      <c r="U519" s="49"/>
      <c r="V519" s="49"/>
      <c r="W519" s="49" t="s">
        <v>515</v>
      </c>
      <c r="X519" s="49"/>
      <c r="Y519" s="49"/>
      <c r="Z519" s="66">
        <v>8000</v>
      </c>
      <c r="AB519" s="66">
        <v>2000</v>
      </c>
      <c r="AC519" s="66">
        <v>2000</v>
      </c>
      <c r="AE519" s="81">
        <f t="shared" si="126"/>
        <v>-6000</v>
      </c>
      <c r="AF519" s="81">
        <f t="shared" si="127"/>
        <v>0</v>
      </c>
    </row>
    <row r="520" spans="1:32" x14ac:dyDescent="0.35">
      <c r="A520" s="66"/>
      <c r="B520" s="66"/>
      <c r="C520" s="49"/>
      <c r="D520" s="49"/>
      <c r="E520" s="49" t="s">
        <v>516</v>
      </c>
      <c r="F520" s="49"/>
      <c r="G520" s="49"/>
      <c r="H520" s="63">
        <v>47274.94</v>
      </c>
      <c r="I520" s="63">
        <v>28524</v>
      </c>
      <c r="J520" s="64">
        <v>40863.71</v>
      </c>
      <c r="K520" s="64">
        <v>43665</v>
      </c>
      <c r="L520" s="65">
        <v>42646.15</v>
      </c>
      <c r="M520" s="65">
        <v>44757</v>
      </c>
      <c r="N520" s="66">
        <f t="shared" si="129"/>
        <v>130784.8</v>
      </c>
      <c r="O520" s="66">
        <f t="shared" si="129"/>
        <v>116946</v>
      </c>
      <c r="P520" s="69">
        <f t="shared" si="128"/>
        <v>43594.933333333334</v>
      </c>
      <c r="Q520" s="69">
        <f t="shared" si="128"/>
        <v>38982</v>
      </c>
      <c r="R520" s="54"/>
      <c r="S520" s="49"/>
      <c r="T520" s="49"/>
      <c r="U520" s="49"/>
      <c r="V520" s="49"/>
      <c r="W520" s="49" t="s">
        <v>516</v>
      </c>
      <c r="X520" s="49"/>
      <c r="Y520" s="49"/>
      <c r="Z520" s="66">
        <v>49516</v>
      </c>
      <c r="AB520" s="66">
        <v>82667.42</v>
      </c>
      <c r="AC520" s="66">
        <v>82667.42</v>
      </c>
      <c r="AE520" s="81">
        <f t="shared" si="126"/>
        <v>33151.42</v>
      </c>
      <c r="AF520" s="81">
        <f t="shared" si="127"/>
        <v>0</v>
      </c>
    </row>
    <row r="521" spans="1:32" x14ac:dyDescent="0.35">
      <c r="A521" s="66"/>
      <c r="B521" s="66"/>
      <c r="C521" s="49"/>
      <c r="D521" s="49"/>
      <c r="E521" s="49" t="s">
        <v>517</v>
      </c>
      <c r="F521" s="49"/>
      <c r="G521" s="49"/>
      <c r="H521" s="63">
        <v>4530.93</v>
      </c>
      <c r="I521" s="63">
        <v>3000</v>
      </c>
      <c r="J521" s="64">
        <v>2569.27</v>
      </c>
      <c r="K521" s="64">
        <v>5000</v>
      </c>
      <c r="L521" s="65">
        <v>3451.72</v>
      </c>
      <c r="M521" s="65">
        <v>0</v>
      </c>
      <c r="N521" s="66">
        <f t="shared" si="129"/>
        <v>10551.92</v>
      </c>
      <c r="O521" s="66">
        <f t="shared" si="129"/>
        <v>8000</v>
      </c>
      <c r="P521" s="69">
        <f t="shared" si="128"/>
        <v>3517.3066666666668</v>
      </c>
      <c r="Q521" s="69">
        <f t="shared" si="128"/>
        <v>2666.6666666666665</v>
      </c>
      <c r="R521" s="54"/>
      <c r="S521" s="49"/>
      <c r="T521" s="49"/>
      <c r="U521" s="49"/>
      <c r="V521" s="49"/>
      <c r="W521" s="49" t="s">
        <v>517</v>
      </c>
      <c r="X521" s="49"/>
      <c r="Y521" s="49"/>
      <c r="Z521" s="66">
        <v>3000</v>
      </c>
      <c r="AB521" s="66">
        <v>2000</v>
      </c>
      <c r="AC521" s="66">
        <v>2000</v>
      </c>
      <c r="AE521" s="81">
        <f t="shared" si="126"/>
        <v>-1000</v>
      </c>
      <c r="AF521" s="81">
        <f t="shared" si="127"/>
        <v>0</v>
      </c>
    </row>
    <row r="522" spans="1:32" x14ac:dyDescent="0.35">
      <c r="A522" s="66"/>
      <c r="B522" s="66"/>
      <c r="C522" s="49"/>
      <c r="D522" s="49"/>
      <c r="E522" s="49" t="s">
        <v>518</v>
      </c>
      <c r="F522" s="49"/>
      <c r="G522" s="49"/>
      <c r="H522" s="63">
        <v>898.07</v>
      </c>
      <c r="I522" s="63">
        <v>2000</v>
      </c>
      <c r="J522" s="64">
        <v>386.15</v>
      </c>
      <c r="K522" s="64">
        <v>1000</v>
      </c>
      <c r="L522" s="65">
        <v>324.02999999999997</v>
      </c>
      <c r="M522" s="65">
        <v>1000</v>
      </c>
      <c r="N522" s="66">
        <f t="shared" si="129"/>
        <v>1608.25</v>
      </c>
      <c r="O522" s="66">
        <f t="shared" si="129"/>
        <v>4000</v>
      </c>
      <c r="P522" s="69">
        <f t="shared" si="128"/>
        <v>536.08333333333337</v>
      </c>
      <c r="Q522" s="69">
        <f t="shared" si="128"/>
        <v>1333.3333333333333</v>
      </c>
      <c r="R522" s="54"/>
      <c r="S522" s="49"/>
      <c r="T522" s="49"/>
      <c r="U522" s="49"/>
      <c r="V522" s="49"/>
      <c r="W522" s="49" t="s">
        <v>518</v>
      </c>
      <c r="X522" s="49"/>
      <c r="Y522" s="49"/>
      <c r="Z522" s="66">
        <v>1000</v>
      </c>
      <c r="AB522" s="66">
        <v>1000</v>
      </c>
      <c r="AC522" s="66">
        <v>1000</v>
      </c>
      <c r="AE522" s="81">
        <f t="shared" si="126"/>
        <v>0</v>
      </c>
      <c r="AF522" s="81">
        <f t="shared" si="127"/>
        <v>0</v>
      </c>
    </row>
    <row r="523" spans="1:32" x14ac:dyDescent="0.35">
      <c r="A523" s="66"/>
      <c r="B523" s="66"/>
      <c r="C523" s="49"/>
      <c r="D523" s="49"/>
      <c r="E523" s="49" t="s">
        <v>519</v>
      </c>
      <c r="F523" s="49"/>
      <c r="G523" s="49"/>
      <c r="H523" s="63">
        <v>0</v>
      </c>
      <c r="I523" s="63"/>
      <c r="J523" s="64">
        <v>0</v>
      </c>
      <c r="K523" s="64"/>
      <c r="L523" s="65">
        <v>86.03</v>
      </c>
      <c r="M523" s="65"/>
      <c r="N523" s="66">
        <f t="shared" si="129"/>
        <v>86.03</v>
      </c>
      <c r="O523" s="66"/>
      <c r="P523" s="69">
        <f t="shared" si="128"/>
        <v>28.676666666666666</v>
      </c>
      <c r="Q523" s="69">
        <f t="shared" si="128"/>
        <v>0</v>
      </c>
      <c r="R523" s="54"/>
      <c r="S523" s="49"/>
      <c r="T523" s="49"/>
      <c r="U523" s="49"/>
      <c r="V523" s="49"/>
      <c r="W523" s="49" t="s">
        <v>519</v>
      </c>
      <c r="X523" s="49"/>
      <c r="Y523" s="49"/>
      <c r="Z523" s="66">
        <v>0</v>
      </c>
      <c r="AB523" s="66">
        <v>0</v>
      </c>
      <c r="AC523" s="66">
        <v>0</v>
      </c>
      <c r="AE523" s="81">
        <f t="shared" si="126"/>
        <v>0</v>
      </c>
      <c r="AF523" s="81">
        <f t="shared" si="127"/>
        <v>0</v>
      </c>
    </row>
    <row r="524" spans="1:32" x14ac:dyDescent="0.35">
      <c r="A524" s="66"/>
      <c r="B524" s="66"/>
      <c r="C524" s="49"/>
      <c r="D524" s="49"/>
      <c r="E524" s="49" t="s">
        <v>520</v>
      </c>
      <c r="F524" s="49"/>
      <c r="G524" s="49"/>
      <c r="H524" s="63">
        <v>22781.57</v>
      </c>
      <c r="I524" s="63">
        <v>20000</v>
      </c>
      <c r="J524" s="64">
        <v>23123.1</v>
      </c>
      <c r="K524" s="64">
        <v>15000</v>
      </c>
      <c r="L524" s="65">
        <v>27051.87</v>
      </c>
      <c r="M524" s="65">
        <v>15000</v>
      </c>
      <c r="N524" s="66">
        <f t="shared" si="129"/>
        <v>72956.539999999994</v>
      </c>
      <c r="O524" s="66">
        <f t="shared" si="129"/>
        <v>50000</v>
      </c>
      <c r="P524" s="69">
        <f t="shared" si="128"/>
        <v>24318.846666666665</v>
      </c>
      <c r="Q524" s="69">
        <f t="shared" si="128"/>
        <v>16666.666666666668</v>
      </c>
      <c r="R524" s="54"/>
      <c r="S524" s="49"/>
      <c r="T524" s="49"/>
      <c r="U524" s="49"/>
      <c r="V524" s="49"/>
      <c r="W524" s="49" t="s">
        <v>520</v>
      </c>
      <c r="X524" s="49"/>
      <c r="Y524" s="49"/>
      <c r="Z524" s="66">
        <v>17000</v>
      </c>
      <c r="AB524" s="66">
        <v>22000</v>
      </c>
      <c r="AC524" s="66">
        <v>22000</v>
      </c>
      <c r="AE524" s="81">
        <f t="shared" si="126"/>
        <v>5000</v>
      </c>
      <c r="AF524" s="81">
        <f t="shared" si="127"/>
        <v>0</v>
      </c>
    </row>
    <row r="525" spans="1:32" x14ac:dyDescent="0.35">
      <c r="A525" s="66"/>
      <c r="B525" s="66"/>
      <c r="C525" s="49"/>
      <c r="D525" s="49"/>
      <c r="E525" s="49" t="s">
        <v>521</v>
      </c>
      <c r="F525" s="49"/>
      <c r="G525" s="49"/>
      <c r="H525" s="63">
        <v>207.16</v>
      </c>
      <c r="I525" s="63">
        <v>1700</v>
      </c>
      <c r="J525" s="64">
        <v>485.58</v>
      </c>
      <c r="K525" s="64">
        <v>1100</v>
      </c>
      <c r="L525" s="65">
        <v>90.48</v>
      </c>
      <c r="M525" s="65">
        <v>1000</v>
      </c>
      <c r="N525" s="66">
        <f t="shared" si="129"/>
        <v>783.22</v>
      </c>
      <c r="O525" s="66">
        <f t="shared" si="129"/>
        <v>3800</v>
      </c>
      <c r="P525" s="69">
        <f t="shared" si="128"/>
        <v>261.07333333333332</v>
      </c>
      <c r="Q525" s="69">
        <f t="shared" si="128"/>
        <v>1266.6666666666667</v>
      </c>
      <c r="R525" s="54"/>
      <c r="S525" s="49"/>
      <c r="T525" s="49"/>
      <c r="U525" s="49"/>
      <c r="V525" s="49"/>
      <c r="W525" s="49" t="s">
        <v>521</v>
      </c>
      <c r="X525" s="49"/>
      <c r="Y525" s="49"/>
      <c r="Z525" s="66">
        <v>1000</v>
      </c>
      <c r="AB525" s="66">
        <v>1000</v>
      </c>
      <c r="AC525" s="66">
        <v>1000</v>
      </c>
      <c r="AE525" s="81">
        <f t="shared" si="126"/>
        <v>0</v>
      </c>
      <c r="AF525" s="81">
        <f t="shared" si="127"/>
        <v>0</v>
      </c>
    </row>
    <row r="526" spans="1:32" x14ac:dyDescent="0.35">
      <c r="A526" s="66"/>
      <c r="B526" s="66"/>
      <c r="C526" s="49"/>
      <c r="D526" s="49"/>
      <c r="E526" s="49" t="s">
        <v>522</v>
      </c>
      <c r="F526" s="49"/>
      <c r="G526" s="49"/>
      <c r="H526" s="63">
        <v>39999.96</v>
      </c>
      <c r="I526" s="63">
        <v>40000</v>
      </c>
      <c r="J526" s="64">
        <v>39999.96</v>
      </c>
      <c r="K526" s="64">
        <v>37800</v>
      </c>
      <c r="L526" s="65">
        <v>39999.96</v>
      </c>
      <c r="M526" s="65">
        <v>41000</v>
      </c>
      <c r="N526" s="66">
        <f t="shared" si="129"/>
        <v>119999.88</v>
      </c>
      <c r="O526" s="66">
        <f t="shared" si="129"/>
        <v>118800</v>
      </c>
      <c r="P526" s="69">
        <f t="shared" si="128"/>
        <v>39999.96</v>
      </c>
      <c r="Q526" s="69">
        <f t="shared" si="128"/>
        <v>39600</v>
      </c>
      <c r="R526" s="54"/>
      <c r="S526" s="49"/>
      <c r="T526" s="49"/>
      <c r="U526" s="49"/>
      <c r="V526" s="49"/>
      <c r="W526" s="49" t="s">
        <v>522</v>
      </c>
      <c r="X526" s="49"/>
      <c r="Y526" s="49"/>
      <c r="Z526" s="66">
        <v>42000</v>
      </c>
      <c r="AB526" s="66">
        <v>42000</v>
      </c>
      <c r="AC526" s="66">
        <v>42000</v>
      </c>
      <c r="AE526" s="81">
        <f t="shared" si="126"/>
        <v>0</v>
      </c>
      <c r="AF526" s="81">
        <f t="shared" si="127"/>
        <v>0</v>
      </c>
    </row>
    <row r="527" spans="1:32" x14ac:dyDescent="0.35">
      <c r="A527" s="66"/>
      <c r="B527" s="66"/>
      <c r="C527" s="49"/>
      <c r="D527" s="49"/>
      <c r="E527" s="49" t="s">
        <v>523</v>
      </c>
      <c r="F527" s="49"/>
      <c r="G527" s="49"/>
      <c r="H527" s="63">
        <v>2400</v>
      </c>
      <c r="I527" s="63">
        <v>2580</v>
      </c>
      <c r="J527" s="64">
        <v>3000</v>
      </c>
      <c r="K527" s="64">
        <v>2200</v>
      </c>
      <c r="L527" s="65">
        <v>2250</v>
      </c>
      <c r="M527" s="65">
        <v>3000</v>
      </c>
      <c r="N527" s="66">
        <f t="shared" si="129"/>
        <v>7650</v>
      </c>
      <c r="O527" s="66">
        <f t="shared" si="129"/>
        <v>7780</v>
      </c>
      <c r="P527" s="69">
        <f t="shared" si="128"/>
        <v>2550</v>
      </c>
      <c r="Q527" s="69">
        <f t="shared" si="128"/>
        <v>2593.3333333333335</v>
      </c>
      <c r="R527" s="54"/>
      <c r="S527" s="49"/>
      <c r="T527" s="49"/>
      <c r="U527" s="49"/>
      <c r="V527" s="49"/>
      <c r="W527" s="49" t="s">
        <v>523</v>
      </c>
      <c r="X527" s="49"/>
      <c r="Y527" s="49"/>
      <c r="Z527" s="66">
        <v>3000</v>
      </c>
      <c r="AB527" s="66">
        <v>2500</v>
      </c>
      <c r="AC527" s="66">
        <v>2500</v>
      </c>
      <c r="AE527" s="81">
        <f t="shared" si="126"/>
        <v>-500</v>
      </c>
      <c r="AF527" s="81">
        <f t="shared" si="127"/>
        <v>0</v>
      </c>
    </row>
    <row r="528" spans="1:32" x14ac:dyDescent="0.35">
      <c r="A528" s="66"/>
      <c r="B528" s="66"/>
      <c r="C528" s="49"/>
      <c r="D528" s="49"/>
      <c r="E528" s="49" t="s">
        <v>524</v>
      </c>
      <c r="F528" s="49"/>
      <c r="G528" s="49"/>
      <c r="H528" s="63">
        <v>1650</v>
      </c>
      <c r="I528" s="63">
        <v>10000</v>
      </c>
      <c r="J528" s="64">
        <v>3475.37</v>
      </c>
      <c r="K528" s="64">
        <v>5000</v>
      </c>
      <c r="L528" s="65">
        <v>2086.8000000000002</v>
      </c>
      <c r="M528" s="65">
        <v>3000</v>
      </c>
      <c r="N528" s="66">
        <f t="shared" si="129"/>
        <v>7212.17</v>
      </c>
      <c r="O528" s="66">
        <f t="shared" si="129"/>
        <v>18000</v>
      </c>
      <c r="P528" s="69">
        <f t="shared" si="128"/>
        <v>2404.0566666666668</v>
      </c>
      <c r="Q528" s="69">
        <f t="shared" si="128"/>
        <v>6000</v>
      </c>
      <c r="R528" s="54"/>
      <c r="S528" s="49"/>
      <c r="T528" s="49"/>
      <c r="U528" s="49"/>
      <c r="V528" s="49"/>
      <c r="W528" s="49" t="s">
        <v>524</v>
      </c>
      <c r="X528" s="49"/>
      <c r="Y528" s="49"/>
      <c r="Z528" s="66">
        <v>3000</v>
      </c>
      <c r="AB528" s="66">
        <v>3000</v>
      </c>
      <c r="AC528" s="66">
        <v>3000</v>
      </c>
      <c r="AD528" s="46" t="s">
        <v>851</v>
      </c>
      <c r="AE528" s="81">
        <f t="shared" si="126"/>
        <v>0</v>
      </c>
      <c r="AF528" s="81">
        <f t="shared" si="127"/>
        <v>0</v>
      </c>
    </row>
    <row r="529" spans="1:32" x14ac:dyDescent="0.35">
      <c r="A529" s="66"/>
      <c r="B529" s="66"/>
      <c r="C529" s="49"/>
      <c r="D529" s="49"/>
      <c r="E529" s="49" t="s">
        <v>525</v>
      </c>
      <c r="F529" s="49"/>
      <c r="G529" s="49"/>
      <c r="H529" s="63">
        <v>5295.35</v>
      </c>
      <c r="I529" s="63">
        <v>17000</v>
      </c>
      <c r="J529" s="64">
        <v>0</v>
      </c>
      <c r="K529" s="64">
        <v>0</v>
      </c>
      <c r="L529" s="65">
        <v>0</v>
      </c>
      <c r="M529" s="65"/>
      <c r="N529" s="66">
        <f t="shared" si="129"/>
        <v>5295.35</v>
      </c>
      <c r="O529" s="66">
        <f t="shared" si="129"/>
        <v>17000</v>
      </c>
      <c r="P529" s="69">
        <f t="shared" si="128"/>
        <v>1765.1166666666668</v>
      </c>
      <c r="Q529" s="69">
        <f t="shared" si="128"/>
        <v>5666.666666666667</v>
      </c>
      <c r="R529" s="54"/>
      <c r="S529" s="49"/>
      <c r="T529" s="49"/>
      <c r="U529" s="49"/>
      <c r="V529" s="49"/>
      <c r="W529" s="49" t="s">
        <v>525</v>
      </c>
      <c r="X529" s="49"/>
      <c r="Y529" s="49"/>
      <c r="Z529" s="66">
        <v>0</v>
      </c>
      <c r="AB529" s="66">
        <v>0</v>
      </c>
      <c r="AC529" s="66">
        <v>0</v>
      </c>
      <c r="AE529" s="81">
        <f t="shared" si="126"/>
        <v>0</v>
      </c>
      <c r="AF529" s="81">
        <f t="shared" si="127"/>
        <v>0</v>
      </c>
    </row>
    <row r="530" spans="1:32" x14ac:dyDescent="0.35">
      <c r="A530" s="66"/>
      <c r="B530" s="66"/>
      <c r="C530" s="49"/>
      <c r="D530" s="49"/>
      <c r="E530" s="49" t="s">
        <v>526</v>
      </c>
      <c r="F530" s="49"/>
      <c r="G530" s="49"/>
      <c r="H530" s="63">
        <v>65498.5</v>
      </c>
      <c r="I530" s="63">
        <v>38325</v>
      </c>
      <c r="J530" s="64">
        <v>65504.98</v>
      </c>
      <c r="K530" s="64">
        <v>55000</v>
      </c>
      <c r="L530" s="65">
        <v>112725.58</v>
      </c>
      <c r="M530" s="65">
        <v>69540</v>
      </c>
      <c r="N530" s="66">
        <f t="shared" si="129"/>
        <v>243729.06</v>
      </c>
      <c r="O530" s="66">
        <f t="shared" si="129"/>
        <v>162865</v>
      </c>
      <c r="P530" s="69">
        <f t="shared" si="128"/>
        <v>81243.02</v>
      </c>
      <c r="Q530" s="69">
        <f t="shared" si="128"/>
        <v>54288.333333333336</v>
      </c>
      <c r="R530" s="54"/>
      <c r="S530" s="49"/>
      <c r="T530" s="49"/>
      <c r="U530" s="49"/>
      <c r="V530" s="49"/>
      <c r="W530" s="49" t="s">
        <v>526</v>
      </c>
      <c r="X530" s="49"/>
      <c r="Y530" s="49"/>
      <c r="Z530" s="66">
        <v>45000</v>
      </c>
      <c r="AB530" s="66">
        <f>ROUND(42665.15, 0)</f>
        <v>42665</v>
      </c>
      <c r="AC530" s="66">
        <f>ROUND(42665.15, 0)</f>
        <v>42665</v>
      </c>
      <c r="AE530" s="81">
        <f t="shared" si="126"/>
        <v>-2335</v>
      </c>
      <c r="AF530" s="81">
        <f t="shared" si="127"/>
        <v>0</v>
      </c>
    </row>
    <row r="531" spans="1:32" x14ac:dyDescent="0.35">
      <c r="A531" s="66"/>
      <c r="B531" s="66"/>
      <c r="C531" s="49"/>
      <c r="D531" s="49"/>
      <c r="E531" s="49" t="s">
        <v>527</v>
      </c>
      <c r="F531" s="49"/>
      <c r="G531" s="49"/>
      <c r="H531" s="63">
        <v>4664.29</v>
      </c>
      <c r="I531" s="63">
        <v>2716.8</v>
      </c>
      <c r="J531" s="64">
        <v>3018.33</v>
      </c>
      <c r="K531" s="64">
        <v>4360</v>
      </c>
      <c r="L531" s="65">
        <v>4947.66</v>
      </c>
      <c r="M531" s="65">
        <v>5328</v>
      </c>
      <c r="N531" s="66">
        <f t="shared" ref="N531:O542" si="131">ROUND(H531+J531+L531,5)</f>
        <v>12630.28</v>
      </c>
      <c r="O531" s="66">
        <f t="shared" si="131"/>
        <v>12404.8</v>
      </c>
      <c r="P531" s="69">
        <f t="shared" si="128"/>
        <v>4210.0933333333332</v>
      </c>
      <c r="Q531" s="69">
        <f t="shared" si="128"/>
        <v>4134.9333333333334</v>
      </c>
      <c r="R531" s="54"/>
      <c r="S531" s="49"/>
      <c r="T531" s="49"/>
      <c r="U531" s="49"/>
      <c r="V531" s="49"/>
      <c r="W531" s="49" t="s">
        <v>527</v>
      </c>
      <c r="X531" s="49"/>
      <c r="Y531" s="49"/>
      <c r="Z531" s="66">
        <v>5027</v>
      </c>
      <c r="AB531" s="66">
        <v>6033.32</v>
      </c>
      <c r="AC531" s="66">
        <v>6033.32</v>
      </c>
      <c r="AE531" s="81">
        <f t="shared" si="126"/>
        <v>1006.3199999999997</v>
      </c>
      <c r="AF531" s="81">
        <f t="shared" si="127"/>
        <v>0</v>
      </c>
    </row>
    <row r="532" spans="1:32" x14ac:dyDescent="0.35">
      <c r="A532" s="66"/>
      <c r="B532" s="66"/>
      <c r="C532" s="49"/>
      <c r="D532" s="49"/>
      <c r="E532" s="49" t="s">
        <v>528</v>
      </c>
      <c r="F532" s="49"/>
      <c r="G532" s="49"/>
      <c r="H532" s="63">
        <v>4727</v>
      </c>
      <c r="I532" s="63">
        <v>4572</v>
      </c>
      <c r="J532" s="64">
        <v>5187</v>
      </c>
      <c r="K532" s="64">
        <v>4900</v>
      </c>
      <c r="L532" s="65">
        <v>3671</v>
      </c>
      <c r="M532" s="65">
        <v>5431</v>
      </c>
      <c r="N532" s="66">
        <f t="shared" si="131"/>
        <v>13585</v>
      </c>
      <c r="O532" s="66">
        <f t="shared" si="131"/>
        <v>14903</v>
      </c>
      <c r="P532" s="69">
        <f t="shared" si="128"/>
        <v>4528.333333333333</v>
      </c>
      <c r="Q532" s="69">
        <f t="shared" si="128"/>
        <v>4967.666666666667</v>
      </c>
      <c r="R532" s="54"/>
      <c r="S532" s="49"/>
      <c r="T532" s="49"/>
      <c r="U532" s="49"/>
      <c r="V532" s="49"/>
      <c r="W532" s="49" t="s">
        <v>528</v>
      </c>
      <c r="X532" s="49"/>
      <c r="Y532" s="49"/>
      <c r="Z532" s="66">
        <v>3132</v>
      </c>
      <c r="AB532" s="66">
        <f>ROUND(3414.6, 0)</f>
        <v>3415</v>
      </c>
      <c r="AC532" s="66">
        <f>ROUND(3414.6, 0)</f>
        <v>3415</v>
      </c>
      <c r="AE532" s="81">
        <f t="shared" si="126"/>
        <v>283</v>
      </c>
      <c r="AF532" s="81">
        <f t="shared" si="127"/>
        <v>0</v>
      </c>
    </row>
    <row r="533" spans="1:32" x14ac:dyDescent="0.35">
      <c r="A533" s="66"/>
      <c r="B533" s="66"/>
      <c r="C533" s="49"/>
      <c r="D533" s="49"/>
      <c r="E533" s="49" t="s">
        <v>529</v>
      </c>
      <c r="F533" s="49"/>
      <c r="G533" s="49"/>
      <c r="H533" s="63">
        <v>89.42</v>
      </c>
      <c r="I533" s="63">
        <v>5000</v>
      </c>
      <c r="J533" s="64">
        <v>12728.53</v>
      </c>
      <c r="K533" s="64">
        <v>0</v>
      </c>
      <c r="L533" s="65">
        <v>0</v>
      </c>
      <c r="M533" s="65">
        <v>0</v>
      </c>
      <c r="N533" s="66">
        <f t="shared" si="131"/>
        <v>12817.95</v>
      </c>
      <c r="O533" s="66">
        <f t="shared" si="131"/>
        <v>5000</v>
      </c>
      <c r="P533" s="69">
        <f t="shared" si="128"/>
        <v>4272.6500000000005</v>
      </c>
      <c r="Q533" s="69">
        <f t="shared" si="128"/>
        <v>1666.6666666666667</v>
      </c>
      <c r="R533" s="54"/>
      <c r="S533" s="49"/>
      <c r="T533" s="49"/>
      <c r="U533" s="49"/>
      <c r="V533" s="49"/>
      <c r="W533" s="49" t="s">
        <v>529</v>
      </c>
      <c r="X533" s="49"/>
      <c r="Y533" s="49"/>
      <c r="Z533" s="66">
        <v>5000</v>
      </c>
      <c r="AB533" s="66">
        <v>0</v>
      </c>
      <c r="AC533" s="66">
        <v>0</v>
      </c>
      <c r="AE533" s="81">
        <f t="shared" si="126"/>
        <v>-5000</v>
      </c>
      <c r="AF533" s="81">
        <f t="shared" si="127"/>
        <v>0</v>
      </c>
    </row>
    <row r="534" spans="1:32" x14ac:dyDescent="0.35">
      <c r="A534" s="66"/>
      <c r="B534" s="66"/>
      <c r="C534" s="49"/>
      <c r="D534" s="49"/>
      <c r="E534" s="49" t="s">
        <v>530</v>
      </c>
      <c r="F534" s="49"/>
      <c r="G534" s="49"/>
      <c r="H534" s="63">
        <v>3574.34</v>
      </c>
      <c r="I534" s="63">
        <v>4992</v>
      </c>
      <c r="J534" s="64">
        <v>3364.92</v>
      </c>
      <c r="K534" s="64">
        <v>5562</v>
      </c>
      <c r="L534" s="65">
        <v>2926.66</v>
      </c>
      <c r="M534" s="65">
        <v>5000</v>
      </c>
      <c r="N534" s="66">
        <f t="shared" si="131"/>
        <v>9865.92</v>
      </c>
      <c r="O534" s="66">
        <f t="shared" si="131"/>
        <v>15554</v>
      </c>
      <c r="P534" s="69">
        <f t="shared" si="128"/>
        <v>3288.64</v>
      </c>
      <c r="Q534" s="69">
        <f t="shared" si="128"/>
        <v>5184.666666666667</v>
      </c>
      <c r="R534" s="54"/>
      <c r="S534" s="49"/>
      <c r="T534" s="49"/>
      <c r="U534" s="49"/>
      <c r="V534" s="49"/>
      <c r="W534" s="49" t="s">
        <v>530</v>
      </c>
      <c r="X534" s="49"/>
      <c r="Y534" s="49"/>
      <c r="Z534" s="66">
        <v>5000</v>
      </c>
      <c r="AB534" s="66">
        <v>4000</v>
      </c>
      <c r="AC534" s="66">
        <v>4000</v>
      </c>
      <c r="AE534" s="81">
        <f t="shared" si="126"/>
        <v>-1000</v>
      </c>
      <c r="AF534" s="81">
        <f t="shared" si="127"/>
        <v>0</v>
      </c>
    </row>
    <row r="535" spans="1:32" x14ac:dyDescent="0.35">
      <c r="A535" s="66"/>
      <c r="B535" s="66"/>
      <c r="C535" s="49"/>
      <c r="D535" s="49"/>
      <c r="E535" s="49" t="s">
        <v>531</v>
      </c>
      <c r="F535" s="49"/>
      <c r="G535" s="49"/>
      <c r="H535" s="63">
        <v>10575.38</v>
      </c>
      <c r="I535" s="63">
        <v>11000</v>
      </c>
      <c r="J535" s="64">
        <v>7582.88</v>
      </c>
      <c r="K535" s="64">
        <v>11700</v>
      </c>
      <c r="L535" s="65">
        <v>8602.8799999999992</v>
      </c>
      <c r="M535" s="65">
        <v>10000</v>
      </c>
      <c r="N535" s="66">
        <f t="shared" si="131"/>
        <v>26761.14</v>
      </c>
      <c r="O535" s="66">
        <f t="shared" si="131"/>
        <v>32700</v>
      </c>
      <c r="P535" s="69">
        <f t="shared" si="128"/>
        <v>8920.3799999999992</v>
      </c>
      <c r="Q535" s="69">
        <f t="shared" si="128"/>
        <v>10900</v>
      </c>
      <c r="R535" s="54"/>
      <c r="S535" s="49"/>
      <c r="T535" s="49"/>
      <c r="U535" s="49"/>
      <c r="V535" s="49"/>
      <c r="W535" s="49" t="s">
        <v>531</v>
      </c>
      <c r="X535" s="49"/>
      <c r="Y535" s="49"/>
      <c r="Z535" s="66">
        <v>10000</v>
      </c>
      <c r="AB535" s="66">
        <v>9000</v>
      </c>
      <c r="AC535" s="66">
        <v>9000</v>
      </c>
      <c r="AE535" s="81">
        <f t="shared" si="126"/>
        <v>-1000</v>
      </c>
      <c r="AF535" s="81">
        <f t="shared" si="127"/>
        <v>0</v>
      </c>
    </row>
    <row r="536" spans="1:32" x14ac:dyDescent="0.35">
      <c r="A536" s="66"/>
      <c r="B536" s="66"/>
      <c r="C536" s="49"/>
      <c r="D536" s="49"/>
      <c r="E536" s="49" t="s">
        <v>532</v>
      </c>
      <c r="F536" s="49"/>
      <c r="G536" s="49"/>
      <c r="H536" s="63">
        <v>3539.31</v>
      </c>
      <c r="I536" s="63">
        <v>3645</v>
      </c>
      <c r="J536" s="64">
        <v>3316.13</v>
      </c>
      <c r="K536" s="64">
        <v>3200</v>
      </c>
      <c r="L536" s="65">
        <v>3381.09</v>
      </c>
      <c r="M536" s="65">
        <v>3250</v>
      </c>
      <c r="N536" s="66">
        <f t="shared" si="131"/>
        <v>10236.530000000001</v>
      </c>
      <c r="O536" s="66">
        <f t="shared" si="131"/>
        <v>10095</v>
      </c>
      <c r="P536" s="69">
        <f t="shared" si="128"/>
        <v>3412.1766666666667</v>
      </c>
      <c r="Q536" s="69">
        <f t="shared" si="128"/>
        <v>3365</v>
      </c>
      <c r="R536" s="54"/>
      <c r="S536" s="49"/>
      <c r="T536" s="49"/>
      <c r="U536" s="49"/>
      <c r="V536" s="49"/>
      <c r="W536" s="49" t="s">
        <v>532</v>
      </c>
      <c r="X536" s="49"/>
      <c r="Y536" s="49"/>
      <c r="Z536" s="66">
        <v>3405</v>
      </c>
      <c r="AB536" s="66">
        <v>3050</v>
      </c>
      <c r="AC536" s="66">
        <v>3050</v>
      </c>
      <c r="AE536" s="81">
        <f t="shared" si="126"/>
        <v>-355</v>
      </c>
      <c r="AF536" s="81">
        <f t="shared" si="127"/>
        <v>0</v>
      </c>
    </row>
    <row r="537" spans="1:32" x14ac:dyDescent="0.35">
      <c r="A537" s="66"/>
      <c r="B537" s="66"/>
      <c r="C537" s="49"/>
      <c r="D537" s="49"/>
      <c r="E537" s="49" t="s">
        <v>533</v>
      </c>
      <c r="F537" s="49"/>
      <c r="G537" s="49"/>
      <c r="H537" s="63">
        <v>8875.7999999999993</v>
      </c>
      <c r="I537" s="63">
        <v>9376</v>
      </c>
      <c r="J537" s="64">
        <v>6026.59</v>
      </c>
      <c r="K537" s="64">
        <v>8800</v>
      </c>
      <c r="L537" s="65">
        <v>0</v>
      </c>
      <c r="M537" s="65">
        <v>0</v>
      </c>
      <c r="N537" s="66">
        <f t="shared" si="131"/>
        <v>14902.39</v>
      </c>
      <c r="O537" s="66">
        <f t="shared" si="131"/>
        <v>18176</v>
      </c>
      <c r="P537" s="69">
        <f t="shared" si="128"/>
        <v>4967.4633333333331</v>
      </c>
      <c r="Q537" s="69">
        <f t="shared" si="128"/>
        <v>6058.666666666667</v>
      </c>
      <c r="R537" s="54"/>
      <c r="S537" s="49"/>
      <c r="T537" s="49"/>
      <c r="U537" s="49"/>
      <c r="V537" s="49"/>
      <c r="W537" s="49" t="s">
        <v>533</v>
      </c>
      <c r="X537" s="49"/>
      <c r="Y537" s="49"/>
      <c r="Z537" s="66">
        <v>0</v>
      </c>
      <c r="AB537" s="66">
        <v>0</v>
      </c>
      <c r="AC537" s="66">
        <v>0</v>
      </c>
      <c r="AE537" s="81">
        <f t="shared" si="126"/>
        <v>0</v>
      </c>
      <c r="AF537" s="81">
        <f t="shared" si="127"/>
        <v>0</v>
      </c>
    </row>
    <row r="538" spans="1:32" x14ac:dyDescent="0.35">
      <c r="A538" s="66"/>
      <c r="B538" s="66"/>
      <c r="C538" s="49"/>
      <c r="D538" s="49"/>
      <c r="E538" s="49" t="s">
        <v>534</v>
      </c>
      <c r="F538" s="49"/>
      <c r="G538" s="49"/>
      <c r="H538" s="63">
        <v>27953.49</v>
      </c>
      <c r="I538" s="63">
        <v>28074</v>
      </c>
      <c r="J538" s="64">
        <v>19873.310000000001</v>
      </c>
      <c r="K538" s="64">
        <v>17150</v>
      </c>
      <c r="L538" s="65">
        <v>19701.16</v>
      </c>
      <c r="M538" s="65">
        <v>19345</v>
      </c>
      <c r="N538" s="66">
        <f t="shared" si="131"/>
        <v>67527.960000000006</v>
      </c>
      <c r="O538" s="66">
        <f t="shared" si="131"/>
        <v>64569</v>
      </c>
      <c r="P538" s="69">
        <f t="shared" si="128"/>
        <v>22509.320000000003</v>
      </c>
      <c r="Q538" s="69">
        <f t="shared" si="128"/>
        <v>21523</v>
      </c>
      <c r="R538" s="54"/>
      <c r="S538" s="49"/>
      <c r="T538" s="49"/>
      <c r="U538" s="49"/>
      <c r="V538" s="49"/>
      <c r="W538" s="49" t="s">
        <v>534</v>
      </c>
      <c r="X538" s="49"/>
      <c r="Y538" s="49"/>
      <c r="Z538" s="66">
        <v>19503</v>
      </c>
      <c r="AB538" s="66">
        <v>20400</v>
      </c>
      <c r="AC538" s="66">
        <v>20400</v>
      </c>
      <c r="AE538" s="81">
        <f t="shared" si="126"/>
        <v>897</v>
      </c>
      <c r="AF538" s="81">
        <f t="shared" si="127"/>
        <v>0</v>
      </c>
    </row>
    <row r="539" spans="1:32" x14ac:dyDescent="0.35">
      <c r="A539" s="66"/>
      <c r="B539" s="66"/>
      <c r="C539" s="49"/>
      <c r="D539" s="49"/>
      <c r="E539" s="49" t="s">
        <v>535</v>
      </c>
      <c r="F539" s="49"/>
      <c r="G539" s="49"/>
      <c r="H539" s="63">
        <v>0</v>
      </c>
      <c r="I539" s="63">
        <v>6000</v>
      </c>
      <c r="J539" s="64">
        <v>21228.95</v>
      </c>
      <c r="K539" s="64">
        <v>0</v>
      </c>
      <c r="L539" s="65">
        <v>47757.3</v>
      </c>
      <c r="M539" s="65">
        <v>3000</v>
      </c>
      <c r="N539" s="66">
        <f t="shared" si="131"/>
        <v>68986.25</v>
      </c>
      <c r="O539" s="66">
        <f t="shared" si="131"/>
        <v>9000</v>
      </c>
      <c r="P539" s="69">
        <f t="shared" si="128"/>
        <v>22995.416666666668</v>
      </c>
      <c r="Q539" s="69">
        <f t="shared" si="128"/>
        <v>3000</v>
      </c>
      <c r="R539" s="54"/>
      <c r="S539" s="49"/>
      <c r="T539" s="49"/>
      <c r="U539" s="49"/>
      <c r="V539" s="49"/>
      <c r="W539" s="49" t="s">
        <v>535</v>
      </c>
      <c r="X539" s="49"/>
      <c r="Y539" s="49"/>
      <c r="Z539" s="66">
        <v>3000</v>
      </c>
      <c r="AB539" s="66">
        <v>3000</v>
      </c>
      <c r="AC539" s="66">
        <v>3000</v>
      </c>
      <c r="AE539" s="81">
        <f t="shared" si="126"/>
        <v>0</v>
      </c>
      <c r="AF539" s="81">
        <f t="shared" si="127"/>
        <v>0</v>
      </c>
    </row>
    <row r="540" spans="1:32" x14ac:dyDescent="0.35">
      <c r="A540" s="66"/>
      <c r="B540" s="66"/>
      <c r="C540" s="49"/>
      <c r="D540" s="49"/>
      <c r="E540" s="49" t="s">
        <v>536</v>
      </c>
      <c r="F540" s="49"/>
      <c r="G540" s="49"/>
      <c r="H540" s="63">
        <v>19982.650000000001</v>
      </c>
      <c r="I540" s="63">
        <v>32500</v>
      </c>
      <c r="J540" s="64">
        <v>16665.71</v>
      </c>
      <c r="K540" s="64">
        <v>34050</v>
      </c>
      <c r="L540" s="65">
        <v>22645.33</v>
      </c>
      <c r="M540" s="65">
        <v>35000</v>
      </c>
      <c r="N540" s="66">
        <f t="shared" si="131"/>
        <v>59293.69</v>
      </c>
      <c r="O540" s="66">
        <f t="shared" si="131"/>
        <v>101550</v>
      </c>
      <c r="P540" s="69">
        <f t="shared" si="128"/>
        <v>19764.563333333335</v>
      </c>
      <c r="Q540" s="69">
        <f t="shared" si="128"/>
        <v>33850</v>
      </c>
      <c r="R540" s="54"/>
      <c r="S540" s="49"/>
      <c r="T540" s="49"/>
      <c r="U540" s="49"/>
      <c r="V540" s="49"/>
      <c r="W540" s="49" t="s">
        <v>536</v>
      </c>
      <c r="X540" s="49"/>
      <c r="Y540" s="49"/>
      <c r="Z540" s="66">
        <v>35000</v>
      </c>
      <c r="AB540" s="66">
        <v>35000</v>
      </c>
      <c r="AC540" s="66">
        <v>30000</v>
      </c>
      <c r="AE540" s="81">
        <f t="shared" si="126"/>
        <v>0</v>
      </c>
      <c r="AF540" s="81">
        <f t="shared" si="127"/>
        <v>-5000</v>
      </c>
    </row>
    <row r="541" spans="1:32" x14ac:dyDescent="0.35">
      <c r="A541" s="66"/>
      <c r="B541" s="66"/>
      <c r="C541" s="49"/>
      <c r="D541" s="49"/>
      <c r="E541" s="49" t="s">
        <v>537</v>
      </c>
      <c r="F541" s="49"/>
      <c r="G541" s="49"/>
      <c r="H541" s="63">
        <v>0</v>
      </c>
      <c r="I541" s="63"/>
      <c r="J541" s="64">
        <v>0</v>
      </c>
      <c r="K541" s="64"/>
      <c r="L541" s="65">
        <v>0</v>
      </c>
      <c r="M541" s="65"/>
      <c r="N541" s="66">
        <f t="shared" si="131"/>
        <v>0</v>
      </c>
      <c r="O541" s="66"/>
      <c r="P541" s="69">
        <f t="shared" si="128"/>
        <v>0</v>
      </c>
      <c r="Q541" s="69">
        <f t="shared" si="128"/>
        <v>0</v>
      </c>
      <c r="R541" s="54"/>
      <c r="S541" s="49"/>
      <c r="T541" s="49"/>
      <c r="U541" s="49"/>
      <c r="V541" s="49"/>
      <c r="W541" s="49" t="s">
        <v>537</v>
      </c>
      <c r="X541" s="49"/>
      <c r="Y541" s="49"/>
      <c r="Z541" s="66">
        <v>0</v>
      </c>
      <c r="AB541" s="66">
        <v>0</v>
      </c>
      <c r="AC541" s="66">
        <v>0</v>
      </c>
      <c r="AE541" s="81">
        <f t="shared" si="126"/>
        <v>0</v>
      </c>
      <c r="AF541" s="81">
        <f t="shared" si="127"/>
        <v>0</v>
      </c>
    </row>
    <row r="542" spans="1:32" x14ac:dyDescent="0.35">
      <c r="A542" s="66"/>
      <c r="B542" s="66"/>
      <c r="C542" s="49"/>
      <c r="D542" s="49"/>
      <c r="E542" s="49" t="s">
        <v>538</v>
      </c>
      <c r="F542" s="49"/>
      <c r="G542" s="49"/>
      <c r="H542" s="63">
        <v>14880.27</v>
      </c>
      <c r="I542" s="63">
        <v>15000</v>
      </c>
      <c r="J542" s="64">
        <v>16092.2</v>
      </c>
      <c r="K542" s="64">
        <v>10000</v>
      </c>
      <c r="L542" s="65">
        <v>-1635.48</v>
      </c>
      <c r="M542" s="65">
        <v>10000</v>
      </c>
      <c r="N542" s="66">
        <f t="shared" si="131"/>
        <v>29336.99</v>
      </c>
      <c r="O542" s="66">
        <f>ROUND(I542+K542+M542,5)</f>
        <v>35000</v>
      </c>
      <c r="P542" s="69">
        <f t="shared" si="128"/>
        <v>9778.9966666666678</v>
      </c>
      <c r="Q542" s="69">
        <f t="shared" si="128"/>
        <v>11666.666666666666</v>
      </c>
      <c r="R542" s="54"/>
      <c r="S542" s="49"/>
      <c r="T542" s="49"/>
      <c r="U542" s="49"/>
      <c r="V542" s="49"/>
      <c r="W542" s="49" t="s">
        <v>538</v>
      </c>
      <c r="X542" s="49"/>
      <c r="Y542" s="49"/>
      <c r="Z542" s="66">
        <v>10000</v>
      </c>
      <c r="AB542" s="66">
        <v>10000</v>
      </c>
      <c r="AC542" s="66">
        <v>10000</v>
      </c>
      <c r="AE542" s="81">
        <f t="shared" si="126"/>
        <v>0</v>
      </c>
      <c r="AF542" s="81">
        <f t="shared" si="127"/>
        <v>0</v>
      </c>
    </row>
    <row r="543" spans="1:32" x14ac:dyDescent="0.35">
      <c r="A543" s="66"/>
      <c r="B543" s="66"/>
      <c r="C543" s="49"/>
      <c r="D543" s="49"/>
      <c r="E543" s="49" t="s">
        <v>539</v>
      </c>
      <c r="F543" s="49"/>
      <c r="G543" s="49"/>
      <c r="H543" s="63"/>
      <c r="I543" s="63"/>
      <c r="J543" s="64"/>
      <c r="K543" s="64"/>
      <c r="L543" s="65"/>
      <c r="M543" s="65"/>
      <c r="N543" s="66"/>
      <c r="O543" s="66"/>
      <c r="P543" s="69"/>
      <c r="Q543" s="69"/>
      <c r="R543" s="54"/>
      <c r="S543" s="49"/>
      <c r="T543" s="49"/>
      <c r="U543" s="49"/>
      <c r="V543" s="49"/>
      <c r="W543" s="49" t="s">
        <v>539</v>
      </c>
      <c r="X543" s="49"/>
      <c r="Y543" s="49"/>
      <c r="Z543" s="66"/>
      <c r="AB543" s="66"/>
      <c r="AC543" s="66"/>
      <c r="AE543" s="81">
        <f t="shared" si="126"/>
        <v>0</v>
      </c>
      <c r="AF543" s="81">
        <f t="shared" si="127"/>
        <v>0</v>
      </c>
    </row>
    <row r="544" spans="1:32" x14ac:dyDescent="0.35">
      <c r="A544" s="66"/>
      <c r="B544" s="66"/>
      <c r="C544" s="49"/>
      <c r="D544" s="49"/>
      <c r="E544" s="49"/>
      <c r="F544" s="49" t="s">
        <v>540</v>
      </c>
      <c r="G544" s="49"/>
      <c r="H544" s="63">
        <v>11400</v>
      </c>
      <c r="I544" s="63">
        <v>11970</v>
      </c>
      <c r="J544" s="64">
        <v>11400</v>
      </c>
      <c r="K544" s="64">
        <v>11400</v>
      </c>
      <c r="L544" s="65">
        <v>11400</v>
      </c>
      <c r="M544" s="65">
        <v>11970</v>
      </c>
      <c r="N544" s="66">
        <f t="shared" ref="N544:O548" si="132">ROUND(H544+J544+L544,5)</f>
        <v>34200</v>
      </c>
      <c r="O544" s="66">
        <f t="shared" si="132"/>
        <v>35340</v>
      </c>
      <c r="P544" s="69">
        <f t="shared" si="128"/>
        <v>11400</v>
      </c>
      <c r="Q544" s="69">
        <f t="shared" si="128"/>
        <v>11780</v>
      </c>
      <c r="R544" s="54"/>
      <c r="S544" s="49"/>
      <c r="T544" s="49"/>
      <c r="U544" s="49"/>
      <c r="V544" s="49"/>
      <c r="W544" s="49"/>
      <c r="X544" s="49" t="s">
        <v>540</v>
      </c>
      <c r="Y544" s="49"/>
      <c r="Z544" s="66">
        <v>11970</v>
      </c>
      <c r="AB544" s="66">
        <v>11970</v>
      </c>
      <c r="AC544" s="66">
        <v>11970</v>
      </c>
      <c r="AE544" s="81">
        <f t="shared" si="126"/>
        <v>0</v>
      </c>
      <c r="AF544" s="81">
        <f t="shared" si="127"/>
        <v>0</v>
      </c>
    </row>
    <row r="545" spans="1:32" x14ac:dyDescent="0.35">
      <c r="A545" s="66"/>
      <c r="B545" s="66"/>
      <c r="C545" s="49"/>
      <c r="D545" s="49"/>
      <c r="E545" s="49"/>
      <c r="F545" s="49" t="s">
        <v>541</v>
      </c>
      <c r="G545" s="49"/>
      <c r="H545" s="63">
        <v>20000</v>
      </c>
      <c r="I545" s="63">
        <v>20000</v>
      </c>
      <c r="J545" s="64">
        <v>20000.04</v>
      </c>
      <c r="K545" s="64">
        <v>20000</v>
      </c>
      <c r="L545" s="65">
        <v>20000.04</v>
      </c>
      <c r="M545" s="65">
        <v>20000</v>
      </c>
      <c r="N545" s="66">
        <f t="shared" si="132"/>
        <v>60000.08</v>
      </c>
      <c r="O545" s="66">
        <f t="shared" si="132"/>
        <v>60000</v>
      </c>
      <c r="P545" s="69">
        <f t="shared" si="128"/>
        <v>20000.026666666668</v>
      </c>
      <c r="Q545" s="69">
        <f t="shared" si="128"/>
        <v>20000</v>
      </c>
      <c r="R545" s="54"/>
      <c r="S545" s="49"/>
      <c r="T545" s="49"/>
      <c r="U545" s="49"/>
      <c r="V545" s="49"/>
      <c r="W545" s="49"/>
      <c r="X545" s="49" t="s">
        <v>541</v>
      </c>
      <c r="Y545" s="49"/>
      <c r="Z545" s="66">
        <v>21000</v>
      </c>
      <c r="AB545" s="66">
        <v>0</v>
      </c>
      <c r="AC545" s="66">
        <v>0</v>
      </c>
      <c r="AD545" s="46" t="s">
        <v>843</v>
      </c>
      <c r="AE545" s="81">
        <f t="shared" si="126"/>
        <v>-21000</v>
      </c>
      <c r="AF545" s="81">
        <f t="shared" si="127"/>
        <v>0</v>
      </c>
    </row>
    <row r="546" spans="1:32" ht="16" thickBot="1" x14ac:dyDescent="0.4">
      <c r="A546" s="66"/>
      <c r="B546" s="66"/>
      <c r="C546" s="49"/>
      <c r="D546" s="49"/>
      <c r="E546" s="49"/>
      <c r="F546" s="49" t="s">
        <v>542</v>
      </c>
      <c r="G546" s="49"/>
      <c r="H546" s="70">
        <v>34792.800000000003</v>
      </c>
      <c r="I546" s="70">
        <v>34464</v>
      </c>
      <c r="J546" s="71">
        <v>36880.32</v>
      </c>
      <c r="K546" s="71">
        <v>32823.360000000001</v>
      </c>
      <c r="L546" s="72">
        <v>39093.120000000003</v>
      </c>
      <c r="M546" s="72">
        <v>38724.339999999997</v>
      </c>
      <c r="N546" s="73">
        <f t="shared" si="132"/>
        <v>110766.24</v>
      </c>
      <c r="O546" s="73">
        <f t="shared" si="132"/>
        <v>106011.7</v>
      </c>
      <c r="P546" s="74">
        <f t="shared" si="128"/>
        <v>36922.080000000002</v>
      </c>
      <c r="Q546" s="74">
        <f t="shared" si="128"/>
        <v>35337.23333333333</v>
      </c>
      <c r="R546" s="54"/>
      <c r="S546" s="49"/>
      <c r="T546" s="49"/>
      <c r="U546" s="49"/>
      <c r="V546" s="49"/>
      <c r="W546" s="49"/>
      <c r="X546" s="49" t="s">
        <v>542</v>
      </c>
      <c r="Y546" s="49"/>
      <c r="Z546" s="73">
        <v>41048</v>
      </c>
      <c r="AB546" s="73">
        <v>75353.289999999994</v>
      </c>
      <c r="AC546" s="73">
        <v>75353.289999999994</v>
      </c>
      <c r="AE546" s="81">
        <f t="shared" si="126"/>
        <v>34305.289999999994</v>
      </c>
      <c r="AF546" s="81">
        <f t="shared" si="127"/>
        <v>0</v>
      </c>
    </row>
    <row r="547" spans="1:32" ht="16" thickBot="1" x14ac:dyDescent="0.4">
      <c r="A547" s="66"/>
      <c r="B547" s="66"/>
      <c r="C547" s="49"/>
      <c r="D547" s="49"/>
      <c r="E547" s="49" t="s">
        <v>543</v>
      </c>
      <c r="F547" s="49"/>
      <c r="G547" s="49"/>
      <c r="H547" s="63">
        <f t="shared" ref="H547:M547" si="133">ROUND(SUM(H543:H546),5)</f>
        <v>66192.800000000003</v>
      </c>
      <c r="I547" s="63">
        <f t="shared" si="133"/>
        <v>66434</v>
      </c>
      <c r="J547" s="64">
        <f t="shared" si="133"/>
        <v>68280.36</v>
      </c>
      <c r="K547" s="64">
        <f t="shared" si="133"/>
        <v>64223.360000000001</v>
      </c>
      <c r="L547" s="65">
        <f t="shared" si="133"/>
        <v>70493.16</v>
      </c>
      <c r="M547" s="65">
        <f t="shared" si="133"/>
        <v>70694.34</v>
      </c>
      <c r="N547" s="66">
        <f t="shared" si="132"/>
        <v>204966.32</v>
      </c>
      <c r="O547" s="66">
        <f t="shared" si="132"/>
        <v>201351.7</v>
      </c>
      <c r="P547" s="69">
        <f t="shared" si="128"/>
        <v>68322.106666666674</v>
      </c>
      <c r="Q547" s="69">
        <f t="shared" si="128"/>
        <v>67117.233333333337</v>
      </c>
      <c r="R547" s="54"/>
      <c r="S547" s="49"/>
      <c r="T547" s="49"/>
      <c r="U547" s="49"/>
      <c r="V547" s="49"/>
      <c r="W547" s="49" t="s">
        <v>543</v>
      </c>
      <c r="X547" s="49"/>
      <c r="Y547" s="49"/>
      <c r="Z547" s="66">
        <f>ROUND(SUM(Z543:Z546),5)</f>
        <v>74018</v>
      </c>
      <c r="AB547" s="66">
        <f>ROUND(SUM(AB543:AB546),5)</f>
        <v>87323.29</v>
      </c>
      <c r="AC547" s="66">
        <f>ROUND(SUM(AC543:AC546),5)</f>
        <v>87323.29</v>
      </c>
      <c r="AE547" s="81">
        <f t="shared" si="126"/>
        <v>13305.289999999994</v>
      </c>
      <c r="AF547" s="81">
        <f t="shared" si="127"/>
        <v>0</v>
      </c>
    </row>
    <row r="548" spans="1:32" x14ac:dyDescent="0.35">
      <c r="A548" s="66"/>
      <c r="B548" s="66"/>
      <c r="C548" s="49"/>
      <c r="D548" s="49" t="s">
        <v>544</v>
      </c>
      <c r="E548" s="49"/>
      <c r="F548" s="49"/>
      <c r="G548" s="49"/>
      <c r="H548" s="63">
        <f t="shared" ref="H548:M548" si="134">ROUND(SUM(H490:H513)+SUM(H518:H542)+SUM(H547:H547),5)</f>
        <v>820827.03</v>
      </c>
      <c r="I548" s="63">
        <f t="shared" si="134"/>
        <v>933251.5</v>
      </c>
      <c r="J548" s="64">
        <f t="shared" si="134"/>
        <v>885822.56</v>
      </c>
      <c r="K548" s="64">
        <f t="shared" si="134"/>
        <v>789393.59</v>
      </c>
      <c r="L548" s="65">
        <f t="shared" si="134"/>
        <v>1006470.26</v>
      </c>
      <c r="M548" s="65">
        <f t="shared" si="134"/>
        <v>900551.6</v>
      </c>
      <c r="N548" s="66">
        <f t="shared" si="132"/>
        <v>2713119.85</v>
      </c>
      <c r="O548" s="66">
        <f t="shared" si="132"/>
        <v>2623196.69</v>
      </c>
      <c r="P548" s="69">
        <f t="shared" si="128"/>
        <v>904373.28333333333</v>
      </c>
      <c r="Q548" s="69">
        <f t="shared" si="128"/>
        <v>874398.89666666661</v>
      </c>
      <c r="R548" s="54"/>
      <c r="S548" s="49"/>
      <c r="T548" s="49"/>
      <c r="U548" s="49"/>
      <c r="V548" s="49" t="s">
        <v>544</v>
      </c>
      <c r="W548" s="49"/>
      <c r="X548" s="49"/>
      <c r="Y548" s="49"/>
      <c r="Z548" s="78">
        <f>ROUND(SUM(Z490:Z513)+SUM(Z518:Z542)+SUM(Z547:Z547),5)</f>
        <v>979664.82</v>
      </c>
      <c r="AB548" s="91">
        <f>ROUND(SUM(AB490:AB513)+SUM(AB518:AB542)+SUM(AB547:AB547),5)</f>
        <v>1013580.17</v>
      </c>
      <c r="AC548" s="91">
        <f>ROUND(SUM(AC490:AC513)+SUM(AC518:AC542)+SUM(AC547:AC547),5)</f>
        <v>983580.17</v>
      </c>
      <c r="AE548" s="81">
        <f t="shared" si="126"/>
        <v>33915.350000000093</v>
      </c>
      <c r="AF548" s="81">
        <f t="shared" si="127"/>
        <v>-30000</v>
      </c>
    </row>
    <row r="549" spans="1:32" x14ac:dyDescent="0.35">
      <c r="A549" s="66"/>
      <c r="B549" s="66"/>
      <c r="C549" s="49"/>
      <c r="D549" s="49" t="s">
        <v>545</v>
      </c>
      <c r="E549" s="49"/>
      <c r="F549" s="49"/>
      <c r="G549" s="49"/>
      <c r="H549" s="63"/>
      <c r="I549" s="63"/>
      <c r="J549" s="64"/>
      <c r="K549" s="64"/>
      <c r="L549" s="65"/>
      <c r="M549" s="65"/>
      <c r="N549" s="66"/>
      <c r="O549" s="66"/>
      <c r="P549" s="69"/>
      <c r="Q549" s="69"/>
      <c r="R549" s="54"/>
      <c r="S549" s="49"/>
      <c r="T549" s="49"/>
      <c r="U549" s="49"/>
      <c r="V549" s="49" t="s">
        <v>545</v>
      </c>
      <c r="W549" s="49"/>
      <c r="X549" s="49"/>
      <c r="Y549" s="49"/>
      <c r="Z549" s="66"/>
      <c r="AB549" s="66"/>
      <c r="AC549" s="66"/>
    </row>
    <row r="550" spans="1:32" ht="16" thickBot="1" x14ac:dyDescent="0.4">
      <c r="A550" s="66"/>
      <c r="B550" s="66"/>
      <c r="C550" s="49"/>
      <c r="D550" s="49"/>
      <c r="E550" s="49" t="s">
        <v>546</v>
      </c>
      <c r="F550" s="49"/>
      <c r="G550" s="49"/>
      <c r="H550" s="63">
        <v>4568.2</v>
      </c>
      <c r="I550" s="63">
        <v>20000</v>
      </c>
      <c r="J550" s="64">
        <v>4000.49</v>
      </c>
      <c r="K550" s="64">
        <v>30000</v>
      </c>
      <c r="L550" s="65">
        <v>22812.77</v>
      </c>
      <c r="M550" s="65">
        <v>10000</v>
      </c>
      <c r="N550" s="66">
        <f t="shared" ref="N550:O553" si="135">ROUND(H550+J550+L550,5)</f>
        <v>31381.46</v>
      </c>
      <c r="O550" s="66">
        <f t="shared" si="135"/>
        <v>60000</v>
      </c>
      <c r="P550" s="69">
        <f t="shared" si="128"/>
        <v>10460.486666666666</v>
      </c>
      <c r="Q550" s="69">
        <f t="shared" si="128"/>
        <v>20000</v>
      </c>
      <c r="R550" s="54"/>
      <c r="S550" s="49"/>
      <c r="T550" s="49"/>
      <c r="U550" s="49"/>
      <c r="V550" s="49"/>
      <c r="W550" s="49" t="s">
        <v>546</v>
      </c>
      <c r="X550" s="49"/>
      <c r="Y550" s="49"/>
      <c r="Z550" s="66">
        <v>15000</v>
      </c>
      <c r="AB550" s="66">
        <v>10000</v>
      </c>
      <c r="AC550" s="66">
        <v>10000</v>
      </c>
    </row>
    <row r="551" spans="1:32" ht="16" thickBot="1" x14ac:dyDescent="0.4">
      <c r="A551" s="66"/>
      <c r="B551" s="66"/>
      <c r="C551" s="49"/>
      <c r="D551" s="49" t="s">
        <v>547</v>
      </c>
      <c r="E551" s="49"/>
      <c r="F551" s="49"/>
      <c r="G551" s="49"/>
      <c r="H551" s="75">
        <f t="shared" ref="H551:M551" si="136">ROUND(SUM(H549:H550),5)</f>
        <v>4568.2</v>
      </c>
      <c r="I551" s="75">
        <f t="shared" si="136"/>
        <v>20000</v>
      </c>
      <c r="J551" s="76">
        <f t="shared" si="136"/>
        <v>4000.49</v>
      </c>
      <c r="K551" s="76">
        <f t="shared" si="136"/>
        <v>30000</v>
      </c>
      <c r="L551" s="77">
        <f t="shared" si="136"/>
        <v>22812.77</v>
      </c>
      <c r="M551" s="77">
        <f t="shared" si="136"/>
        <v>10000</v>
      </c>
      <c r="N551" s="78">
        <f t="shared" si="135"/>
        <v>31381.46</v>
      </c>
      <c r="O551" s="78">
        <f t="shared" si="135"/>
        <v>60000</v>
      </c>
      <c r="P551" s="79">
        <f t="shared" si="128"/>
        <v>10460.486666666666</v>
      </c>
      <c r="Q551" s="79">
        <f t="shared" si="128"/>
        <v>20000</v>
      </c>
      <c r="R551" s="54"/>
      <c r="S551" s="49"/>
      <c r="T551" s="49"/>
      <c r="U551" s="49"/>
      <c r="V551" s="49" t="s">
        <v>547</v>
      </c>
      <c r="W551" s="49"/>
      <c r="X551" s="49"/>
      <c r="Y551" s="49"/>
      <c r="Z551" s="78">
        <f>ROUND(SUM(Z549:Z550),5)</f>
        <v>15000</v>
      </c>
      <c r="AB551" s="91">
        <f>ROUND(SUM(AB549:AB550),5)</f>
        <v>10000</v>
      </c>
      <c r="AC551" s="91">
        <f>ROUND(SUM(AC549:AC550),5)</f>
        <v>10000</v>
      </c>
    </row>
    <row r="552" spans="1:32" ht="16" thickBot="1" x14ac:dyDescent="0.4">
      <c r="A552" s="66"/>
      <c r="B552" s="66"/>
      <c r="C552" s="49" t="s">
        <v>548</v>
      </c>
      <c r="D552" s="49"/>
      <c r="E552" s="49"/>
      <c r="F552" s="49"/>
      <c r="G552" s="49"/>
      <c r="H552" s="83">
        <f t="shared" ref="H552:M552" si="137">ROUND(H221+H225+H364+H371+H376+H428+H489+H548+H551,5)</f>
        <v>4602596.84</v>
      </c>
      <c r="I552" s="83">
        <f t="shared" si="137"/>
        <v>4826439.17</v>
      </c>
      <c r="J552" s="84">
        <f t="shared" si="137"/>
        <v>5124859.8899999997</v>
      </c>
      <c r="K552" s="84">
        <f t="shared" si="137"/>
        <v>4876753.51</v>
      </c>
      <c r="L552" s="85">
        <f t="shared" si="137"/>
        <v>5236566.88</v>
      </c>
      <c r="M552" s="85">
        <f t="shared" si="137"/>
        <v>5167354.4800000004</v>
      </c>
      <c r="N552" s="86">
        <f t="shared" si="135"/>
        <v>14964023.609999999</v>
      </c>
      <c r="O552" s="86">
        <f t="shared" si="135"/>
        <v>14870547.16</v>
      </c>
      <c r="P552" s="87">
        <f t="shared" si="128"/>
        <v>4988007.87</v>
      </c>
      <c r="Q552" s="87">
        <f t="shared" si="128"/>
        <v>4956849.0533333337</v>
      </c>
      <c r="R552" s="54"/>
      <c r="S552" s="49"/>
      <c r="T552" s="49"/>
      <c r="U552" s="49" t="s">
        <v>548</v>
      </c>
      <c r="V552" s="49"/>
      <c r="W552" s="49"/>
      <c r="X552" s="49"/>
      <c r="Y552" s="49"/>
      <c r="Z552" s="86">
        <f>ROUND(Z221+Z225+Z364+Z371+Z376+Z428+Z489+Z548+Z551,5)</f>
        <v>5275555.82</v>
      </c>
      <c r="AB552" s="86">
        <f>ROUND(AB221+AB225+AB364+AB371+AB376+AB428+AB489+AB548+AB551,5)</f>
        <v>5504831.5764199998</v>
      </c>
      <c r="AC552" s="86">
        <f>ROUND(AC221+AC225+AC364+AC371+AC376+AC428+AC489+AC548+AC551,5)</f>
        <v>5320349.5814199997</v>
      </c>
    </row>
    <row r="553" spans="1:32" x14ac:dyDescent="0.35">
      <c r="A553" s="66"/>
      <c r="B553" s="66" t="s">
        <v>549</v>
      </c>
      <c r="C553" s="49"/>
      <c r="D553" s="49"/>
      <c r="E553" s="49"/>
      <c r="F553" s="49"/>
      <c r="G553" s="49"/>
      <c r="H553" s="63">
        <f t="shared" ref="H553:M553" si="138">ROUND(H5+H220-H552,5)</f>
        <v>-92592.2</v>
      </c>
      <c r="I553" s="63">
        <f t="shared" si="138"/>
        <v>8714.58</v>
      </c>
      <c r="J553" s="64">
        <f t="shared" si="138"/>
        <v>-187378.98</v>
      </c>
      <c r="K553" s="64">
        <f t="shared" si="138"/>
        <v>826.41</v>
      </c>
      <c r="L553" s="65">
        <f t="shared" si="138"/>
        <v>-21575.47</v>
      </c>
      <c r="M553" s="65">
        <f t="shared" si="138"/>
        <v>354.02</v>
      </c>
      <c r="N553" s="66">
        <f t="shared" si="135"/>
        <v>-301546.65000000002</v>
      </c>
      <c r="O553" s="66">
        <f t="shared" si="135"/>
        <v>9895.01</v>
      </c>
      <c r="P553" s="69">
        <f t="shared" si="128"/>
        <v>-100515.55</v>
      </c>
      <c r="Q553" s="69">
        <f t="shared" si="128"/>
        <v>3298.3366666666666</v>
      </c>
      <c r="R553" s="54"/>
      <c r="S553" s="49"/>
      <c r="T553" s="49" t="s">
        <v>549</v>
      </c>
      <c r="U553" s="49"/>
      <c r="V553" s="49"/>
      <c r="W553" s="49"/>
      <c r="X553" s="49"/>
      <c r="Y553" s="49"/>
      <c r="Z553" s="66">
        <f>ROUND(Z5+Z220-Z552,5)</f>
        <v>811.37</v>
      </c>
      <c r="AB553" s="66">
        <f>ROUND(AB5+AB220-AB552,5)</f>
        <v>-193160.46642000001</v>
      </c>
      <c r="AC553" s="66">
        <f>ROUND(AC5+AC220-AC552,5)</f>
        <v>-8678.4714199999999</v>
      </c>
    </row>
    <row r="554" spans="1:32" x14ac:dyDescent="0.35">
      <c r="A554" s="66"/>
      <c r="B554" s="66" t="s">
        <v>550</v>
      </c>
      <c r="C554" s="49"/>
      <c r="D554" s="49"/>
      <c r="E554" s="49"/>
      <c r="F554" s="49"/>
      <c r="G554" s="49"/>
      <c r="H554" s="63"/>
      <c r="I554" s="63"/>
      <c r="J554" s="64"/>
      <c r="K554" s="64"/>
      <c r="L554" s="65"/>
      <c r="M554" s="65"/>
      <c r="N554" s="66"/>
      <c r="O554" s="66"/>
      <c r="P554" s="69"/>
      <c r="Q554" s="69"/>
      <c r="R554" s="54"/>
      <c r="S554" s="49"/>
      <c r="T554" s="49" t="s">
        <v>550</v>
      </c>
      <c r="U554" s="49"/>
      <c r="V554" s="49"/>
      <c r="W554" s="49"/>
      <c r="X554" s="49"/>
      <c r="Y554" s="49"/>
      <c r="Z554" s="66"/>
      <c r="AB554" s="66"/>
      <c r="AC554" s="66"/>
    </row>
    <row r="555" spans="1:32" x14ac:dyDescent="0.35">
      <c r="A555" s="66"/>
      <c r="B555" s="66"/>
      <c r="C555" s="49" t="s">
        <v>551</v>
      </c>
      <c r="D555" s="49"/>
      <c r="E555" s="49"/>
      <c r="F555" s="49"/>
      <c r="G555" s="49"/>
      <c r="H555" s="63"/>
      <c r="I555" s="63"/>
      <c r="J555" s="64"/>
      <c r="K555" s="64"/>
      <c r="L555" s="65"/>
      <c r="M555" s="65"/>
      <c r="N555" s="66"/>
      <c r="O555" s="66"/>
      <c r="P555" s="69"/>
      <c r="Q555" s="69"/>
      <c r="R555" s="54"/>
      <c r="S555" s="49"/>
      <c r="T555" s="49"/>
      <c r="U555" s="49" t="s">
        <v>551</v>
      </c>
      <c r="V555" s="49"/>
      <c r="W555" s="49"/>
      <c r="X555" s="49"/>
      <c r="Y555" s="49"/>
      <c r="Z555" s="66"/>
      <c r="AB555" s="66"/>
      <c r="AC555" s="66"/>
    </row>
    <row r="556" spans="1:32" x14ac:dyDescent="0.35">
      <c r="A556" s="66"/>
      <c r="B556" s="66"/>
      <c r="C556" s="49"/>
      <c r="D556" s="49" t="s">
        <v>552</v>
      </c>
      <c r="E556" s="49"/>
      <c r="F556" s="49"/>
      <c r="G556" s="49"/>
      <c r="H556" s="63">
        <v>288386.05</v>
      </c>
      <c r="I556" s="63">
        <v>0</v>
      </c>
      <c r="J556" s="64">
        <v>313714.26</v>
      </c>
      <c r="K556" s="64">
        <v>0</v>
      </c>
      <c r="L556" s="65">
        <v>363433.03</v>
      </c>
      <c r="M556" s="65">
        <v>0</v>
      </c>
      <c r="N556" s="66">
        <f>ROUND(H556+J556+L556,5)</f>
        <v>965533.34</v>
      </c>
      <c r="O556" s="66">
        <f>ROUND(I556+K556+M556,5)</f>
        <v>0</v>
      </c>
      <c r="P556" s="69">
        <f t="shared" si="128"/>
        <v>321844.44666666666</v>
      </c>
      <c r="Q556" s="69">
        <f t="shared" si="128"/>
        <v>0</v>
      </c>
      <c r="R556" s="54"/>
      <c r="S556" s="49"/>
      <c r="T556" s="49"/>
      <c r="U556" s="49"/>
      <c r="V556" s="49" t="s">
        <v>552</v>
      </c>
      <c r="W556" s="49"/>
      <c r="X556" s="49"/>
      <c r="Y556" s="49"/>
      <c r="Z556" s="66"/>
      <c r="AB556" s="66"/>
      <c r="AC556" s="66"/>
    </row>
    <row r="557" spans="1:32" x14ac:dyDescent="0.35">
      <c r="A557" s="66"/>
      <c r="B557" s="66"/>
      <c r="C557" s="49"/>
      <c r="D557" s="49" t="s">
        <v>553</v>
      </c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/>
      <c r="V557" s="49" t="s">
        <v>553</v>
      </c>
      <c r="W557" s="49"/>
      <c r="X557" s="49"/>
      <c r="Y557" s="49"/>
      <c r="Z557" s="66"/>
      <c r="AB557" s="66"/>
      <c r="AC557" s="66"/>
    </row>
    <row r="558" spans="1:32" x14ac:dyDescent="0.35">
      <c r="A558" s="66"/>
      <c r="B558" s="66"/>
      <c r="C558" s="49"/>
      <c r="D558" s="49"/>
      <c r="E558" s="49" t="s">
        <v>554</v>
      </c>
      <c r="F558" s="49"/>
      <c r="G558" s="49"/>
      <c r="H558" s="63">
        <v>0</v>
      </c>
      <c r="I558" s="63">
        <v>0</v>
      </c>
      <c r="J558" s="64">
        <v>0</v>
      </c>
      <c r="K558" s="64">
        <v>0</v>
      </c>
      <c r="L558" s="65">
        <v>0</v>
      </c>
      <c r="M558" s="65">
        <v>0</v>
      </c>
      <c r="N558" s="66">
        <f t="shared" ref="N558:O563" si="139">ROUND(H558+J558+L558,5)</f>
        <v>0</v>
      </c>
      <c r="O558" s="66">
        <f t="shared" si="139"/>
        <v>0</v>
      </c>
      <c r="P558" s="69">
        <f t="shared" si="128"/>
        <v>0</v>
      </c>
      <c r="Q558" s="69">
        <f t="shared" si="128"/>
        <v>0</v>
      </c>
      <c r="R558" s="54"/>
      <c r="S558" s="49"/>
      <c r="T558" s="49"/>
      <c r="U558" s="49"/>
      <c r="V558" s="49"/>
      <c r="W558" s="49" t="s">
        <v>554</v>
      </c>
      <c r="X558" s="49"/>
      <c r="Y558" s="49"/>
      <c r="Z558" s="66"/>
      <c r="AB558" s="66"/>
      <c r="AC558" s="66"/>
    </row>
    <row r="559" spans="1:32" x14ac:dyDescent="0.35">
      <c r="A559" s="66"/>
      <c r="B559" s="66"/>
      <c r="C559" s="49"/>
      <c r="D559" s="49"/>
      <c r="E559" s="49" t="s">
        <v>555</v>
      </c>
      <c r="F559" s="49"/>
      <c r="G559" s="49"/>
      <c r="H559" s="63">
        <v>0</v>
      </c>
      <c r="I559" s="63">
        <v>0</v>
      </c>
      <c r="J559" s="64">
        <v>0</v>
      </c>
      <c r="K559" s="64">
        <v>0</v>
      </c>
      <c r="L559" s="65">
        <v>0</v>
      </c>
      <c r="M559" s="65">
        <v>0</v>
      </c>
      <c r="N559" s="66">
        <f t="shared" si="139"/>
        <v>0</v>
      </c>
      <c r="O559" s="66">
        <f t="shared" si="139"/>
        <v>0</v>
      </c>
      <c r="P559" s="69">
        <f t="shared" si="128"/>
        <v>0</v>
      </c>
      <c r="Q559" s="69">
        <f t="shared" si="128"/>
        <v>0</v>
      </c>
      <c r="R559" s="54"/>
      <c r="S559" s="49"/>
      <c r="T559" s="49"/>
      <c r="U559" s="49"/>
      <c r="V559" s="49"/>
      <c r="W559" s="49" t="s">
        <v>555</v>
      </c>
      <c r="X559" s="49"/>
      <c r="Y559" s="49"/>
      <c r="Z559" s="66"/>
      <c r="AB559" s="66"/>
      <c r="AC559" s="66"/>
    </row>
    <row r="560" spans="1:32" x14ac:dyDescent="0.35">
      <c r="A560" s="66"/>
      <c r="B560" s="66"/>
      <c r="C560" s="49"/>
      <c r="D560" s="49"/>
      <c r="E560" s="49" t="s">
        <v>556</v>
      </c>
      <c r="F560" s="49"/>
      <c r="G560" s="49"/>
      <c r="H560" s="63">
        <v>10930.61</v>
      </c>
      <c r="I560" s="63">
        <v>0</v>
      </c>
      <c r="J560" s="64">
        <v>16392.32</v>
      </c>
      <c r="K560" s="64">
        <v>0</v>
      </c>
      <c r="L560" s="65">
        <v>17337.490000000002</v>
      </c>
      <c r="M560" s="65">
        <v>0</v>
      </c>
      <c r="N560" s="66">
        <f t="shared" si="139"/>
        <v>44660.42</v>
      </c>
      <c r="O560" s="66">
        <f t="shared" si="139"/>
        <v>0</v>
      </c>
      <c r="P560" s="69">
        <f t="shared" si="128"/>
        <v>14886.806666666665</v>
      </c>
      <c r="Q560" s="69">
        <f t="shared" si="128"/>
        <v>0</v>
      </c>
      <c r="R560" s="54"/>
      <c r="S560" s="49"/>
      <c r="T560" s="49"/>
      <c r="U560" s="49"/>
      <c r="V560" s="49"/>
      <c r="W560" s="49" t="s">
        <v>556</v>
      </c>
      <c r="X560" s="49"/>
      <c r="Y560" s="49"/>
      <c r="Z560" s="66"/>
      <c r="AB560" s="66"/>
      <c r="AC560" s="66"/>
    </row>
    <row r="561" spans="1:29" x14ac:dyDescent="0.35">
      <c r="A561" s="66"/>
      <c r="B561" s="66"/>
      <c r="C561" s="49"/>
      <c r="D561" s="49"/>
      <c r="E561" s="49" t="s">
        <v>557</v>
      </c>
      <c r="F561" s="49"/>
      <c r="G561" s="49"/>
      <c r="H561" s="63">
        <v>12442.84</v>
      </c>
      <c r="I561" s="63">
        <v>0</v>
      </c>
      <c r="J561" s="64">
        <v>10602.84</v>
      </c>
      <c r="K561" s="64">
        <v>0</v>
      </c>
      <c r="L561" s="65">
        <v>10395.5</v>
      </c>
      <c r="M561" s="65">
        <v>0</v>
      </c>
      <c r="N561" s="66">
        <f t="shared" si="139"/>
        <v>33441.18</v>
      </c>
      <c r="O561" s="66">
        <f t="shared" si="139"/>
        <v>0</v>
      </c>
      <c r="P561" s="69">
        <f t="shared" si="128"/>
        <v>11147.06</v>
      </c>
      <c r="Q561" s="69">
        <f t="shared" si="128"/>
        <v>0</v>
      </c>
      <c r="R561" s="54"/>
      <c r="S561" s="49"/>
      <c r="T561" s="49"/>
      <c r="U561" s="49"/>
      <c r="V561" s="49"/>
      <c r="W561" s="49" t="s">
        <v>557</v>
      </c>
      <c r="X561" s="49"/>
      <c r="Y561" s="49"/>
      <c r="Z561" s="66"/>
      <c r="AB561" s="66"/>
      <c r="AC561" s="66"/>
    </row>
    <row r="562" spans="1:29" ht="16" thickBot="1" x14ac:dyDescent="0.4">
      <c r="A562" s="66"/>
      <c r="B562" s="66"/>
      <c r="C562" s="49"/>
      <c r="D562" s="49"/>
      <c r="E562" s="49" t="s">
        <v>558</v>
      </c>
      <c r="F562" s="49"/>
      <c r="G562" s="49"/>
      <c r="H562" s="70">
        <v>1000</v>
      </c>
      <c r="I562" s="70">
        <v>0</v>
      </c>
      <c r="J562" s="71">
        <v>1000</v>
      </c>
      <c r="K562" s="64">
        <v>0</v>
      </c>
      <c r="L562" s="72">
        <v>1000</v>
      </c>
      <c r="M562" s="65">
        <v>0</v>
      </c>
      <c r="N562" s="73">
        <f t="shared" si="139"/>
        <v>3000</v>
      </c>
      <c r="O562" s="73">
        <f t="shared" si="139"/>
        <v>0</v>
      </c>
      <c r="P562" s="74">
        <f t="shared" si="128"/>
        <v>1000</v>
      </c>
      <c r="Q562" s="74">
        <f t="shared" si="128"/>
        <v>0</v>
      </c>
      <c r="R562" s="54"/>
      <c r="S562" s="49"/>
      <c r="T562" s="49"/>
      <c r="U562" s="49"/>
      <c r="V562" s="49"/>
      <c r="W562" s="49" t="s">
        <v>558</v>
      </c>
      <c r="X562" s="49"/>
      <c r="Y562" s="49"/>
      <c r="Z562" s="66"/>
      <c r="AB562" s="66"/>
      <c r="AC562" s="66"/>
    </row>
    <row r="563" spans="1:29" x14ac:dyDescent="0.35">
      <c r="A563" s="66"/>
      <c r="B563" s="66"/>
      <c r="C563" s="49"/>
      <c r="D563" s="49" t="s">
        <v>559</v>
      </c>
      <c r="E563" s="49"/>
      <c r="F563" s="49"/>
      <c r="G563" s="49"/>
      <c r="H563" s="63">
        <f t="shared" ref="H563:M563" si="140">ROUND(SUM(H557:H562),5)</f>
        <v>24373.45</v>
      </c>
      <c r="I563" s="63">
        <f t="shared" si="140"/>
        <v>0</v>
      </c>
      <c r="J563" s="64">
        <f t="shared" si="140"/>
        <v>27995.16</v>
      </c>
      <c r="K563" s="76">
        <f t="shared" si="140"/>
        <v>0</v>
      </c>
      <c r="L563" s="65">
        <f t="shared" si="140"/>
        <v>28732.99</v>
      </c>
      <c r="M563" s="77">
        <f t="shared" si="140"/>
        <v>0</v>
      </c>
      <c r="N563" s="66">
        <f t="shared" si="139"/>
        <v>81101.600000000006</v>
      </c>
      <c r="O563" s="66">
        <f t="shared" si="139"/>
        <v>0</v>
      </c>
      <c r="P563" s="69">
        <f t="shared" si="128"/>
        <v>27033.866666666669</v>
      </c>
      <c r="Q563" s="69">
        <f t="shared" si="128"/>
        <v>0</v>
      </c>
      <c r="R563" s="54"/>
      <c r="S563" s="49"/>
      <c r="T563" s="49"/>
      <c r="U563" s="49"/>
      <c r="V563" s="49" t="s">
        <v>559</v>
      </c>
      <c r="W563" s="49"/>
      <c r="X563" s="49"/>
      <c r="Y563" s="49"/>
      <c r="Z563" s="66"/>
      <c r="AB563" s="66"/>
      <c r="AC563" s="66"/>
    </row>
    <row r="564" spans="1:29" x14ac:dyDescent="0.35">
      <c r="A564" s="66"/>
      <c r="B564" s="66"/>
      <c r="C564" s="49"/>
      <c r="D564" s="49" t="s">
        <v>560</v>
      </c>
      <c r="E564" s="49"/>
      <c r="F564" s="49"/>
      <c r="G564" s="49"/>
      <c r="H564" s="63"/>
      <c r="I564" s="63"/>
      <c r="J564" s="64"/>
      <c r="K564" s="64"/>
      <c r="L564" s="65"/>
      <c r="M564" s="65"/>
      <c r="N564" s="66"/>
      <c r="O564" s="66"/>
      <c r="P564" s="69"/>
      <c r="Q564" s="69"/>
      <c r="R564" s="54"/>
      <c r="S564" s="49"/>
      <c r="T564" s="49"/>
      <c r="U564" s="49"/>
      <c r="V564" s="49" t="s">
        <v>560</v>
      </c>
      <c r="W564" s="49"/>
      <c r="X564" s="49"/>
      <c r="Y564" s="49"/>
      <c r="Z564" s="66"/>
      <c r="AB564" s="66"/>
      <c r="AC564" s="66"/>
    </row>
    <row r="565" spans="1:29" x14ac:dyDescent="0.35">
      <c r="A565" s="66"/>
      <c r="B565" s="66"/>
      <c r="C565" s="49"/>
      <c r="D565" s="49"/>
      <c r="E565" s="49" t="s">
        <v>561</v>
      </c>
      <c r="F565" s="49"/>
      <c r="G565" s="49"/>
      <c r="H565" s="63">
        <v>558.27</v>
      </c>
      <c r="I565" s="63">
        <v>0</v>
      </c>
      <c r="J565" s="64">
        <v>-985.85</v>
      </c>
      <c r="K565" s="64">
        <v>0</v>
      </c>
      <c r="L565" s="65">
        <v>6774.89</v>
      </c>
      <c r="M565" s="65">
        <v>0</v>
      </c>
      <c r="N565" s="66">
        <f t="shared" ref="N565:O569" si="141">ROUND(H565+J565+L565,5)</f>
        <v>6347.31</v>
      </c>
      <c r="O565" s="66">
        <f t="shared" si="141"/>
        <v>0</v>
      </c>
      <c r="P565" s="69">
        <f t="shared" si="128"/>
        <v>2115.77</v>
      </c>
      <c r="Q565" s="69">
        <f t="shared" si="128"/>
        <v>0</v>
      </c>
      <c r="R565" s="54"/>
      <c r="S565" s="49"/>
      <c r="T565" s="49"/>
      <c r="U565" s="49"/>
      <c r="V565" s="49"/>
      <c r="W565" s="49" t="s">
        <v>561</v>
      </c>
      <c r="X565" s="49"/>
      <c r="Y565" s="49"/>
      <c r="Z565" s="66"/>
      <c r="AB565" s="66"/>
      <c r="AC565" s="66"/>
    </row>
    <row r="566" spans="1:29" x14ac:dyDescent="0.35">
      <c r="A566" s="66"/>
      <c r="B566" s="66"/>
      <c r="C566" s="49"/>
      <c r="D566" s="49"/>
      <c r="E566" s="49" t="s">
        <v>562</v>
      </c>
      <c r="F566" s="49"/>
      <c r="G566" s="49"/>
      <c r="H566" s="63">
        <v>0</v>
      </c>
      <c r="I566" s="63">
        <v>0</v>
      </c>
      <c r="J566" s="64">
        <v>0</v>
      </c>
      <c r="K566" s="64">
        <v>0</v>
      </c>
      <c r="L566" s="65">
        <v>-58.71</v>
      </c>
      <c r="M566" s="65">
        <v>0</v>
      </c>
      <c r="N566" s="66">
        <f t="shared" si="141"/>
        <v>-58.71</v>
      </c>
      <c r="O566" s="66">
        <f t="shared" si="141"/>
        <v>0</v>
      </c>
      <c r="P566" s="69">
        <f t="shared" si="128"/>
        <v>-19.57</v>
      </c>
      <c r="Q566" s="69">
        <f t="shared" si="128"/>
        <v>0</v>
      </c>
      <c r="R566" s="54"/>
      <c r="S566" s="49"/>
      <c r="T566" s="49"/>
      <c r="U566" s="49"/>
      <c r="V566" s="49"/>
      <c r="W566" s="49" t="s">
        <v>562</v>
      </c>
      <c r="X566" s="49"/>
      <c r="Y566" s="49"/>
      <c r="Z566" s="66"/>
      <c r="AB566" s="66"/>
      <c r="AC566" s="66"/>
    </row>
    <row r="567" spans="1:29" ht="16" thickBot="1" x14ac:dyDescent="0.4">
      <c r="A567" s="66"/>
      <c r="B567" s="66"/>
      <c r="C567" s="49"/>
      <c r="D567" s="49"/>
      <c r="E567" s="49" t="s">
        <v>563</v>
      </c>
      <c r="F567" s="49"/>
      <c r="G567" s="49"/>
      <c r="H567" s="63">
        <v>136732.6</v>
      </c>
      <c r="I567" s="63">
        <v>0</v>
      </c>
      <c r="J567" s="64">
        <v>235676.86</v>
      </c>
      <c r="K567" s="64">
        <v>0</v>
      </c>
      <c r="L567" s="65">
        <v>195303.78</v>
      </c>
      <c r="M567" s="65">
        <v>0</v>
      </c>
      <c r="N567" s="66">
        <f t="shared" si="141"/>
        <v>567713.24</v>
      </c>
      <c r="O567" s="66">
        <f t="shared" si="141"/>
        <v>0</v>
      </c>
      <c r="P567" s="69">
        <f t="shared" si="128"/>
        <v>189237.74666666667</v>
      </c>
      <c r="Q567" s="69">
        <f t="shared" si="128"/>
        <v>0</v>
      </c>
      <c r="R567" s="54"/>
      <c r="S567" s="49"/>
      <c r="T567" s="49"/>
      <c r="U567" s="49"/>
      <c r="V567" s="49"/>
      <c r="W567" s="49" t="s">
        <v>563</v>
      </c>
      <c r="X567" s="49"/>
      <c r="Y567" s="49"/>
      <c r="Z567" s="66"/>
      <c r="AB567" s="66"/>
      <c r="AC567" s="66"/>
    </row>
    <row r="568" spans="1:29" ht="16" thickBot="1" x14ac:dyDescent="0.4">
      <c r="A568" s="66"/>
      <c r="B568" s="66"/>
      <c r="C568" s="49"/>
      <c r="D568" s="49" t="s">
        <v>564</v>
      </c>
      <c r="E568" s="49"/>
      <c r="F568" s="49"/>
      <c r="G568" s="49"/>
      <c r="H568" s="83">
        <f t="shared" ref="H568:M568" si="142">ROUND(SUM(H564:H567),5)</f>
        <v>137290.87</v>
      </c>
      <c r="I568" s="83">
        <f t="shared" si="142"/>
        <v>0</v>
      </c>
      <c r="J568" s="84">
        <f t="shared" si="142"/>
        <v>234691.01</v>
      </c>
      <c r="K568" s="84">
        <f t="shared" si="142"/>
        <v>0</v>
      </c>
      <c r="L568" s="85">
        <f t="shared" si="142"/>
        <v>202019.96</v>
      </c>
      <c r="M568" s="85">
        <f t="shared" si="142"/>
        <v>0</v>
      </c>
      <c r="N568" s="86">
        <f t="shared" si="141"/>
        <v>574001.84</v>
      </c>
      <c r="O568" s="86">
        <f t="shared" si="141"/>
        <v>0</v>
      </c>
      <c r="P568" s="87">
        <f t="shared" si="128"/>
        <v>191333.94666666666</v>
      </c>
      <c r="Q568" s="87">
        <f t="shared" si="128"/>
        <v>0</v>
      </c>
      <c r="R568" s="54"/>
      <c r="S568" s="49"/>
      <c r="T568" s="49"/>
      <c r="U568" s="49"/>
      <c r="V568" s="49" t="s">
        <v>564</v>
      </c>
      <c r="W568" s="49"/>
      <c r="X568" s="49"/>
      <c r="Y568" s="49"/>
      <c r="Z568" s="66"/>
      <c r="AB568" s="66"/>
      <c r="AC568" s="66"/>
    </row>
    <row r="569" spans="1:29" x14ac:dyDescent="0.35">
      <c r="A569" s="66"/>
      <c r="B569" s="66"/>
      <c r="C569" s="49" t="s">
        <v>565</v>
      </c>
      <c r="D569" s="49"/>
      <c r="E569" s="49"/>
      <c r="F569" s="49"/>
      <c r="G569" s="49"/>
      <c r="H569" s="63">
        <f t="shared" ref="H569:M569" si="143">ROUND(SUM(H555:H556)+H563+H568,5)</f>
        <v>450050.37</v>
      </c>
      <c r="I569" s="63">
        <f t="shared" si="143"/>
        <v>0</v>
      </c>
      <c r="J569" s="64">
        <f t="shared" si="143"/>
        <v>576400.43000000005</v>
      </c>
      <c r="K569" s="64">
        <f t="shared" si="143"/>
        <v>0</v>
      </c>
      <c r="L569" s="65">
        <f t="shared" si="143"/>
        <v>594185.98</v>
      </c>
      <c r="M569" s="65">
        <f t="shared" si="143"/>
        <v>0</v>
      </c>
      <c r="N569" s="66">
        <f t="shared" si="141"/>
        <v>1620636.78</v>
      </c>
      <c r="O569" s="66">
        <f t="shared" si="141"/>
        <v>0</v>
      </c>
      <c r="P569" s="69">
        <f t="shared" si="128"/>
        <v>540212.26</v>
      </c>
      <c r="Q569" s="69">
        <f t="shared" si="128"/>
        <v>0</v>
      </c>
      <c r="R569" s="54"/>
      <c r="S569" s="49"/>
      <c r="T569" s="49"/>
      <c r="U569" s="49" t="s">
        <v>565</v>
      </c>
      <c r="V569" s="49"/>
      <c r="W569" s="49"/>
      <c r="X569" s="49"/>
      <c r="Y569" s="49"/>
      <c r="Z569" s="66"/>
      <c r="AB569" s="66"/>
      <c r="AC569" s="66"/>
    </row>
    <row r="570" spans="1:29" x14ac:dyDescent="0.35">
      <c r="A570" s="66"/>
      <c r="B570" s="66"/>
      <c r="C570" s="49" t="s">
        <v>566</v>
      </c>
      <c r="D570" s="49"/>
      <c r="E570" s="49"/>
      <c r="F570" s="49"/>
      <c r="G570" s="49"/>
      <c r="H570" s="63"/>
      <c r="I570" s="63"/>
      <c r="J570" s="64"/>
      <c r="K570" s="64"/>
      <c r="L570" s="65"/>
      <c r="M570" s="65"/>
      <c r="N570" s="66"/>
      <c r="O570" s="66"/>
      <c r="P570" s="69"/>
      <c r="Q570" s="69"/>
      <c r="R570" s="54"/>
      <c r="S570" s="49"/>
      <c r="T570" s="49"/>
      <c r="U570" s="49" t="s">
        <v>566</v>
      </c>
      <c r="V570" s="49"/>
      <c r="W570" s="49"/>
      <c r="X570" s="49"/>
      <c r="Y570" s="49"/>
      <c r="Z570" s="66"/>
      <c r="AB570" s="66"/>
      <c r="AC570" s="66"/>
    </row>
    <row r="571" spans="1:29" x14ac:dyDescent="0.35">
      <c r="A571" s="66"/>
      <c r="B571" s="66"/>
      <c r="C571" s="49"/>
      <c r="D571" s="49" t="s">
        <v>567</v>
      </c>
      <c r="E571" s="49"/>
      <c r="F571" s="49"/>
      <c r="G571" s="49"/>
      <c r="H571" s="63"/>
      <c r="I571" s="63"/>
      <c r="J571" s="64"/>
      <c r="K571" s="64"/>
      <c r="L571" s="65"/>
      <c r="M571" s="65"/>
      <c r="N571" s="66"/>
      <c r="O571" s="66"/>
      <c r="P571" s="69"/>
      <c r="Q571" s="69"/>
      <c r="R571" s="54"/>
      <c r="S571" s="49"/>
      <c r="T571" s="49"/>
      <c r="U571" s="49"/>
      <c r="V571" s="49" t="s">
        <v>567</v>
      </c>
      <c r="W571" s="49"/>
      <c r="X571" s="49"/>
      <c r="Y571" s="49"/>
      <c r="Z571" s="66"/>
      <c r="AB571" s="66"/>
      <c r="AC571" s="66"/>
    </row>
    <row r="572" spans="1:29" x14ac:dyDescent="0.35">
      <c r="A572" s="66"/>
      <c r="B572" s="66"/>
      <c r="C572" s="49"/>
      <c r="D572" s="49"/>
      <c r="E572" s="49" t="s">
        <v>568</v>
      </c>
      <c r="F572" s="49"/>
      <c r="G572" s="49"/>
      <c r="H572" s="63">
        <v>541.88</v>
      </c>
      <c r="I572" s="63">
        <v>0</v>
      </c>
      <c r="J572" s="64">
        <v>554.29999999999995</v>
      </c>
      <c r="K572" s="64">
        <v>0</v>
      </c>
      <c r="L572" s="65">
        <v>645.24</v>
      </c>
      <c r="M572" s="65">
        <v>0</v>
      </c>
      <c r="N572" s="66">
        <f t="shared" ref="N572:O580" si="144">ROUND(H572+J572+L572,5)</f>
        <v>1741.42</v>
      </c>
      <c r="O572" s="66">
        <f t="shared" si="144"/>
        <v>0</v>
      </c>
      <c r="P572" s="69">
        <f t="shared" ref="P572:Q580" si="145">N572/3</f>
        <v>580.47333333333336</v>
      </c>
      <c r="Q572" s="69">
        <f t="shared" si="145"/>
        <v>0</v>
      </c>
      <c r="R572" s="54"/>
      <c r="S572" s="49"/>
      <c r="T572" s="49"/>
      <c r="U572" s="49"/>
      <c r="V572" s="49"/>
      <c r="W572" s="49" t="s">
        <v>568</v>
      </c>
      <c r="X572" s="49"/>
      <c r="Y572" s="49"/>
      <c r="Z572" s="66"/>
      <c r="AB572" s="66"/>
      <c r="AC572" s="66"/>
    </row>
    <row r="573" spans="1:29" x14ac:dyDescent="0.35">
      <c r="A573" s="66"/>
      <c r="B573" s="66"/>
      <c r="C573" s="49"/>
      <c r="D573" s="49"/>
      <c r="E573" s="49" t="s">
        <v>569</v>
      </c>
      <c r="F573" s="49"/>
      <c r="G573" s="49"/>
      <c r="H573" s="63">
        <v>0</v>
      </c>
      <c r="I573" s="63">
        <v>0</v>
      </c>
      <c r="J573" s="64">
        <v>0</v>
      </c>
      <c r="K573" s="64">
        <v>0</v>
      </c>
      <c r="L573" s="65">
        <v>0</v>
      </c>
      <c r="M573" s="65">
        <v>0</v>
      </c>
      <c r="N573" s="66">
        <f t="shared" si="144"/>
        <v>0</v>
      </c>
      <c r="O573" s="66">
        <f t="shared" si="144"/>
        <v>0</v>
      </c>
      <c r="P573" s="69">
        <f t="shared" si="145"/>
        <v>0</v>
      </c>
      <c r="Q573" s="69">
        <f t="shared" si="145"/>
        <v>0</v>
      </c>
      <c r="R573" s="54"/>
      <c r="S573" s="49"/>
      <c r="T573" s="49"/>
      <c r="U573" s="49"/>
      <c r="V573" s="49"/>
      <c r="W573" s="49" t="s">
        <v>569</v>
      </c>
      <c r="X573" s="49"/>
      <c r="Y573" s="49"/>
      <c r="Z573" s="66"/>
      <c r="AA573" s="45"/>
      <c r="AB573" s="66"/>
      <c r="AC573" s="66"/>
    </row>
    <row r="574" spans="1:29" x14ac:dyDescent="0.35">
      <c r="A574" s="66"/>
      <c r="B574" s="66"/>
      <c r="C574" s="49"/>
      <c r="D574" s="49"/>
      <c r="E574" s="49" t="s">
        <v>570</v>
      </c>
      <c r="F574" s="49"/>
      <c r="G574" s="49"/>
      <c r="H574" s="63">
        <v>2500</v>
      </c>
      <c r="I574" s="63">
        <v>0</v>
      </c>
      <c r="J574" s="64">
        <v>4000</v>
      </c>
      <c r="K574" s="64">
        <v>0</v>
      </c>
      <c r="L574" s="65">
        <v>4500</v>
      </c>
      <c r="M574" s="65">
        <v>0</v>
      </c>
      <c r="N574" s="66">
        <f t="shared" si="144"/>
        <v>11000</v>
      </c>
      <c r="O574" s="66">
        <f t="shared" si="144"/>
        <v>0</v>
      </c>
      <c r="P574" s="69">
        <f t="shared" si="145"/>
        <v>3666.6666666666665</v>
      </c>
      <c r="Q574" s="69">
        <f t="shared" si="145"/>
        <v>0</v>
      </c>
      <c r="R574" s="54"/>
      <c r="S574" s="49"/>
      <c r="T574" s="49"/>
      <c r="U574" s="49"/>
      <c r="V574" s="49"/>
      <c r="W574" s="49" t="s">
        <v>570</v>
      </c>
      <c r="X574" s="49"/>
      <c r="Y574" s="49"/>
      <c r="Z574" s="66"/>
      <c r="AB574" s="66"/>
      <c r="AC574" s="66"/>
    </row>
    <row r="575" spans="1:29" ht="16" thickBot="1" x14ac:dyDescent="0.4">
      <c r="A575" s="66"/>
      <c r="B575" s="66"/>
      <c r="C575" s="49"/>
      <c r="D575" s="49"/>
      <c r="E575" s="49" t="s">
        <v>571</v>
      </c>
      <c r="F575" s="49"/>
      <c r="G575" s="49"/>
      <c r="H575" s="70">
        <v>21487.599999999999</v>
      </c>
      <c r="I575" s="70">
        <v>0</v>
      </c>
      <c r="J575" s="71">
        <v>19409.990000000002</v>
      </c>
      <c r="K575" s="64">
        <v>0</v>
      </c>
      <c r="L575" s="72">
        <v>19578.830000000002</v>
      </c>
      <c r="M575" s="65">
        <v>0</v>
      </c>
      <c r="N575" s="73">
        <f t="shared" si="144"/>
        <v>60476.42</v>
      </c>
      <c r="O575" s="73">
        <f t="shared" si="144"/>
        <v>0</v>
      </c>
      <c r="P575" s="74">
        <f t="shared" si="145"/>
        <v>20158.806666666667</v>
      </c>
      <c r="Q575" s="74">
        <f t="shared" si="145"/>
        <v>0</v>
      </c>
      <c r="R575" s="54"/>
      <c r="S575" s="49"/>
      <c r="T575" s="49"/>
      <c r="U575" s="49"/>
      <c r="V575" s="49"/>
      <c r="W575" s="49" t="s">
        <v>571</v>
      </c>
      <c r="X575" s="49"/>
      <c r="Y575" s="49"/>
      <c r="Z575" s="66"/>
      <c r="AB575" s="66"/>
      <c r="AC575" s="66"/>
    </row>
    <row r="576" spans="1:29" x14ac:dyDescent="0.35">
      <c r="A576" s="66"/>
      <c r="B576" s="66"/>
      <c r="C576" s="49"/>
      <c r="D576" s="49" t="s">
        <v>572</v>
      </c>
      <c r="E576" s="49"/>
      <c r="F576" s="49"/>
      <c r="G576" s="49"/>
      <c r="H576" s="63">
        <f t="shared" ref="H576:M576" si="146">ROUND(SUM(H571:H575),5)</f>
        <v>24529.48</v>
      </c>
      <c r="I576" s="63">
        <f t="shared" si="146"/>
        <v>0</v>
      </c>
      <c r="J576" s="64">
        <f t="shared" si="146"/>
        <v>23964.29</v>
      </c>
      <c r="K576" s="76">
        <f t="shared" si="146"/>
        <v>0</v>
      </c>
      <c r="L576" s="65">
        <f t="shared" si="146"/>
        <v>24724.07</v>
      </c>
      <c r="M576" s="77">
        <f t="shared" si="146"/>
        <v>0</v>
      </c>
      <c r="N576" s="66">
        <f t="shared" si="144"/>
        <v>73217.84</v>
      </c>
      <c r="O576" s="66">
        <f t="shared" si="144"/>
        <v>0</v>
      </c>
      <c r="P576" s="69">
        <f t="shared" si="145"/>
        <v>24405.946666666667</v>
      </c>
      <c r="Q576" s="69">
        <f t="shared" si="145"/>
        <v>0</v>
      </c>
      <c r="R576" s="54"/>
      <c r="S576" s="49"/>
      <c r="T576" s="49"/>
      <c r="U576" s="49"/>
      <c r="V576" s="49" t="s">
        <v>572</v>
      </c>
      <c r="W576" s="49"/>
      <c r="X576" s="49"/>
      <c r="Y576" s="49"/>
      <c r="Z576" s="66"/>
      <c r="AB576" s="66"/>
      <c r="AC576" s="66"/>
    </row>
    <row r="577" spans="1:30" ht="16" thickBot="1" x14ac:dyDescent="0.4">
      <c r="A577" s="66"/>
      <c r="B577" s="66"/>
      <c r="C577" s="49"/>
      <c r="D577" s="49" t="s">
        <v>573</v>
      </c>
      <c r="E577" s="49"/>
      <c r="F577" s="49"/>
      <c r="G577" s="49"/>
      <c r="H577" s="63">
        <v>288386.05</v>
      </c>
      <c r="I577" s="63">
        <v>0</v>
      </c>
      <c r="J577" s="64">
        <v>313714.26</v>
      </c>
      <c r="K577" s="64">
        <v>0</v>
      </c>
      <c r="L577" s="65">
        <v>363433.03</v>
      </c>
      <c r="M577" s="65">
        <v>0</v>
      </c>
      <c r="N577" s="66">
        <f t="shared" si="144"/>
        <v>965533.34</v>
      </c>
      <c r="O577" s="66">
        <f t="shared" si="144"/>
        <v>0</v>
      </c>
      <c r="P577" s="69">
        <f t="shared" si="145"/>
        <v>321844.44666666666</v>
      </c>
      <c r="Q577" s="69">
        <f t="shared" si="145"/>
        <v>0</v>
      </c>
      <c r="R577" s="54"/>
      <c r="S577" s="49"/>
      <c r="T577" s="49"/>
      <c r="U577" s="49"/>
      <c r="V577" s="49" t="s">
        <v>573</v>
      </c>
      <c r="W577" s="49"/>
      <c r="X577" s="49"/>
      <c r="Y577" s="49"/>
      <c r="Z577" s="66"/>
      <c r="AB577" s="66"/>
      <c r="AC577" s="66"/>
    </row>
    <row r="578" spans="1:30" ht="16" thickBot="1" x14ac:dyDescent="0.4">
      <c r="A578" s="66"/>
      <c r="B578" s="66"/>
      <c r="C578" s="49" t="s">
        <v>574</v>
      </c>
      <c r="D578" s="49"/>
      <c r="E578" s="49"/>
      <c r="F578" s="49"/>
      <c r="G578" s="49"/>
      <c r="H578" s="75">
        <f t="shared" ref="H578:M578" si="147">ROUND(H570+SUM(H576:H577),5)</f>
        <v>312915.53000000003</v>
      </c>
      <c r="I578" s="75">
        <f t="shared" si="147"/>
        <v>0</v>
      </c>
      <c r="J578" s="76">
        <f t="shared" si="147"/>
        <v>337678.55</v>
      </c>
      <c r="K578" s="76">
        <f t="shared" si="147"/>
        <v>0</v>
      </c>
      <c r="L578" s="77">
        <f t="shared" si="147"/>
        <v>388157.1</v>
      </c>
      <c r="M578" s="77">
        <f t="shared" si="147"/>
        <v>0</v>
      </c>
      <c r="N578" s="78">
        <f t="shared" si="144"/>
        <v>1038751.18</v>
      </c>
      <c r="O578" s="78">
        <f t="shared" si="144"/>
        <v>0</v>
      </c>
      <c r="P578" s="79">
        <f t="shared" si="145"/>
        <v>346250.39333333337</v>
      </c>
      <c r="Q578" s="79">
        <f t="shared" si="145"/>
        <v>0</v>
      </c>
      <c r="R578" s="54"/>
      <c r="S578" s="49"/>
      <c r="T578" s="49"/>
      <c r="U578" s="49" t="s">
        <v>574</v>
      </c>
      <c r="V578" s="49"/>
      <c r="W578" s="49"/>
      <c r="X578" s="49"/>
      <c r="Y578" s="49"/>
      <c r="Z578" s="66"/>
      <c r="AB578" s="66"/>
      <c r="AC578" s="66"/>
      <c r="AD578" s="45"/>
    </row>
    <row r="579" spans="1:30" ht="16" thickBot="1" x14ac:dyDescent="0.4">
      <c r="A579" s="66"/>
      <c r="B579" s="66" t="s">
        <v>575</v>
      </c>
      <c r="C579" s="49"/>
      <c r="D579" s="49"/>
      <c r="E579" s="49"/>
      <c r="F579" s="49"/>
      <c r="G579" s="49"/>
      <c r="H579" s="75">
        <f t="shared" ref="H579:M579" si="148">ROUND(H554+H569-H578,5)</f>
        <v>137134.84</v>
      </c>
      <c r="I579" s="75">
        <f t="shared" si="148"/>
        <v>0</v>
      </c>
      <c r="J579" s="76">
        <f t="shared" si="148"/>
        <v>238721.88</v>
      </c>
      <c r="K579" s="76">
        <f t="shared" si="148"/>
        <v>0</v>
      </c>
      <c r="L579" s="77">
        <f t="shared" si="148"/>
        <v>206028.88</v>
      </c>
      <c r="M579" s="77">
        <f t="shared" si="148"/>
        <v>0</v>
      </c>
      <c r="N579" s="78">
        <f t="shared" si="144"/>
        <v>581885.6</v>
      </c>
      <c r="O579" s="78">
        <f t="shared" si="144"/>
        <v>0</v>
      </c>
      <c r="P579" s="79">
        <f t="shared" si="145"/>
        <v>193961.86666666667</v>
      </c>
      <c r="Q579" s="79">
        <f t="shared" si="145"/>
        <v>0</v>
      </c>
      <c r="R579" s="54"/>
      <c r="S579" s="49"/>
      <c r="T579" s="49" t="s">
        <v>575</v>
      </c>
      <c r="U579" s="49"/>
      <c r="V579" s="49"/>
      <c r="W579" s="49"/>
      <c r="X579" s="49"/>
      <c r="Y579" s="49"/>
      <c r="Z579" s="66"/>
      <c r="AB579" s="66"/>
      <c r="AC579" s="66"/>
    </row>
    <row r="580" spans="1:30" s="45" customFormat="1" ht="16" thickBot="1" x14ac:dyDescent="0.4">
      <c r="A580" s="95" t="s">
        <v>576</v>
      </c>
      <c r="B580" s="95"/>
      <c r="C580" s="49"/>
      <c r="D580" s="49"/>
      <c r="E580" s="49"/>
      <c r="F580" s="49"/>
      <c r="G580" s="49"/>
      <c r="H580" s="96">
        <f t="shared" ref="H580:M580" si="149">ROUND(H553+H579,5)</f>
        <v>44542.64</v>
      </c>
      <c r="I580" s="96">
        <f t="shared" si="149"/>
        <v>8714.58</v>
      </c>
      <c r="J580" s="97">
        <f t="shared" si="149"/>
        <v>51342.9</v>
      </c>
      <c r="K580" s="97">
        <f t="shared" si="149"/>
        <v>826.41</v>
      </c>
      <c r="L580" s="98">
        <f t="shared" si="149"/>
        <v>184453.41</v>
      </c>
      <c r="M580" s="98">
        <f t="shared" si="149"/>
        <v>354.02</v>
      </c>
      <c r="N580" s="99">
        <f t="shared" si="144"/>
        <v>280338.95</v>
      </c>
      <c r="O580" s="99">
        <f t="shared" si="144"/>
        <v>9895.01</v>
      </c>
      <c r="P580" s="100">
        <f t="shared" si="145"/>
        <v>93446.316666666666</v>
      </c>
      <c r="Q580" s="100">
        <f t="shared" si="145"/>
        <v>3298.3366666666666</v>
      </c>
      <c r="R580" s="101"/>
      <c r="S580" s="49" t="s">
        <v>576</v>
      </c>
      <c r="T580" s="49"/>
      <c r="U580" s="49"/>
      <c r="V580" s="49"/>
      <c r="W580" s="49"/>
      <c r="X580" s="49"/>
      <c r="Y580" s="49"/>
      <c r="Z580" s="99">
        <f>ROUND(Z553+Z579,5)</f>
        <v>811.37</v>
      </c>
      <c r="AA580" s="46"/>
      <c r="AB580" s="99">
        <f>ROUND(AB553+AB579,5)</f>
        <v>-193160.46642000001</v>
      </c>
      <c r="AC580" s="99">
        <f>ROUND(AC553+AC579,5)</f>
        <v>-8678.4714199999999</v>
      </c>
      <c r="AD580" s="46"/>
    </row>
    <row r="581" spans="1:30" ht="16" thickTop="1" x14ac:dyDescent="0.35">
      <c r="AB581" s="47"/>
      <c r="AC581" s="47"/>
    </row>
  </sheetData>
  <mergeCells count="1"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0468-E3A0-40ED-AEE9-45BBC3A0190B}">
  <sheetPr>
    <tabColor rgb="FF00B0F0"/>
  </sheetPr>
  <dimension ref="A1:AK581"/>
  <sheetViews>
    <sheetView zoomScale="145" zoomScaleNormal="145" workbookViewId="0">
      <pane xSplit="6" ySplit="4" topLeftCell="P423" activePane="bottomRight" state="frozen"/>
      <selection pane="topRight" activeCell="G1" sqref="G1"/>
      <selection pane="bottomLeft" activeCell="A5" sqref="A5"/>
      <selection pane="bottomRight" sqref="A1:XFD1048576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4.1796875" style="46" bestFit="1" customWidth="1"/>
    <col min="10" max="10" width="16.81640625" style="46" customWidth="1"/>
    <col min="11" max="11" width="14.1796875" style="46" bestFit="1" customWidth="1"/>
    <col min="12" max="12" width="16.81640625" style="46" customWidth="1"/>
    <col min="13" max="13" width="14.1796875" style="46" bestFit="1" customWidth="1"/>
    <col min="14" max="14" width="16.81640625" style="46" bestFit="1" customWidth="1"/>
    <col min="15" max="15" width="14.81640625" style="46" bestFit="1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453125" style="45" customWidth="1"/>
    <col min="26" max="26" width="14.1796875" style="47" bestFit="1" customWidth="1"/>
    <col min="27" max="27" width="0.6328125" style="46" customWidth="1"/>
    <col min="28" max="30" width="17.1796875" style="46" bestFit="1" customWidth="1"/>
    <col min="31" max="31" width="17.1796875" customWidth="1"/>
    <col min="32" max="32" width="47.81640625" style="46" customWidth="1"/>
    <col min="33" max="33" width="10.81640625" style="46" bestFit="1" customWidth="1"/>
    <col min="34" max="34" width="11.54296875" style="46" bestFit="1" customWidth="1"/>
    <col min="35" max="35" width="9.54296875" style="46" bestFit="1" customWidth="1"/>
    <col min="36" max="36" width="8.81640625" style="46"/>
    <col min="37" max="37" width="10.1796875" style="46" bestFit="1" customWidth="1"/>
    <col min="38" max="16384" width="8.81640625" style="46"/>
  </cols>
  <sheetData>
    <row r="1" spans="1:32" ht="25" customHeight="1" x14ac:dyDescent="0.35">
      <c r="H1" s="103">
        <f t="shared" ref="H1:Q1" si="0">H580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Z580</f>
        <v>811.37</v>
      </c>
      <c r="AA1" s="139"/>
      <c r="AB1" s="106">
        <f>AB580</f>
        <v>-193160.46642000001</v>
      </c>
      <c r="AC1" s="129">
        <f>AC580</f>
        <v>-8678.4714199999999</v>
      </c>
      <c r="AD1" s="132">
        <f>AD580</f>
        <v>15325.98798</v>
      </c>
      <c r="AF1" s="81">
        <f>AB1-AC1</f>
        <v>-184481.99500000002</v>
      </c>
    </row>
    <row r="2" spans="1:32" ht="16" x14ac:dyDescent="0.35">
      <c r="AA2" s="140"/>
      <c r="AB2" s="44" t="s">
        <v>583</v>
      </c>
      <c r="AC2" s="130" t="s">
        <v>894</v>
      </c>
      <c r="AD2" s="133" t="s">
        <v>896</v>
      </c>
    </row>
    <row r="3" spans="1:32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A3" s="140"/>
      <c r="AB3" s="1" t="s">
        <v>582</v>
      </c>
      <c r="AC3" s="1" t="s">
        <v>582</v>
      </c>
      <c r="AD3" s="1" t="s">
        <v>582</v>
      </c>
    </row>
    <row r="4" spans="1:32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A4" s="141"/>
      <c r="AB4" s="59" t="s">
        <v>2</v>
      </c>
      <c r="AC4" s="59" t="s">
        <v>2</v>
      </c>
      <c r="AD4" s="59" t="s">
        <v>2</v>
      </c>
      <c r="AE4"/>
    </row>
    <row r="5" spans="1:32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E5"/>
    </row>
    <row r="6" spans="1:32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32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32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32" hidden="1" x14ac:dyDescent="0.35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</row>
    <row r="10" spans="1:32" hidden="1" x14ac:dyDescent="0.35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1">ROUND(H10+J10+L10,5)</f>
        <v>270788.24</v>
      </c>
      <c r="O10" s="66">
        <f t="shared" si="1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</row>
    <row r="11" spans="1:32" hidden="1" x14ac:dyDescent="0.35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1"/>
        <v>104161.84</v>
      </c>
      <c r="O11" s="66">
        <f t="shared" si="1"/>
        <v>47215</v>
      </c>
      <c r="P11" s="69">
        <f t="shared" ref="P11:Q74" si="2">N11/3</f>
        <v>34720.613333333335</v>
      </c>
      <c r="Q11" s="69">
        <f t="shared" si="2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</row>
    <row r="12" spans="1:32" hidden="1" x14ac:dyDescent="0.35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1"/>
        <v>0</v>
      </c>
      <c r="O12" s="66">
        <f t="shared" si="1"/>
        <v>8970</v>
      </c>
      <c r="P12" s="69">
        <f t="shared" si="2"/>
        <v>0</v>
      </c>
      <c r="Q12" s="69">
        <f t="shared" si="2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</row>
    <row r="13" spans="1:32" hidden="1" x14ac:dyDescent="0.35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1"/>
        <v>49113.85</v>
      </c>
      <c r="O13" s="66">
        <f t="shared" si="1"/>
        <v>22276</v>
      </c>
      <c r="P13" s="69">
        <f t="shared" si="2"/>
        <v>16371.283333333333</v>
      </c>
      <c r="Q13" s="69">
        <f t="shared" si="2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</row>
    <row r="14" spans="1:32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1"/>
        <v>7790</v>
      </c>
      <c r="O14" s="73">
        <f t="shared" si="1"/>
        <v>1400</v>
      </c>
      <c r="P14" s="74">
        <f t="shared" si="2"/>
        <v>2596.6666666666665</v>
      </c>
      <c r="Q14" s="74">
        <f t="shared" si="2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</row>
    <row r="15" spans="1:32" hidden="1" x14ac:dyDescent="0.35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3">ROUND(SUM(H9:H14),5)</f>
        <v>171173.36</v>
      </c>
      <c r="I15" s="63">
        <f t="shared" si="3"/>
        <v>33072</v>
      </c>
      <c r="J15" s="64">
        <f t="shared" si="3"/>
        <v>129396.15</v>
      </c>
      <c r="K15" s="64">
        <f t="shared" si="3"/>
        <v>61776</v>
      </c>
      <c r="L15" s="65">
        <f t="shared" si="3"/>
        <v>131284.42000000001</v>
      </c>
      <c r="M15" s="65">
        <f t="shared" si="3"/>
        <v>159494</v>
      </c>
      <c r="N15" s="66">
        <f t="shared" si="1"/>
        <v>431853.93</v>
      </c>
      <c r="O15" s="66">
        <f t="shared" si="1"/>
        <v>254342</v>
      </c>
      <c r="P15" s="69">
        <f t="shared" si="2"/>
        <v>143951.31</v>
      </c>
      <c r="Q15" s="69">
        <f t="shared" si="2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>ROUND(SUM(AB9:AB14),5)</f>
        <v>960784.8</v>
      </c>
      <c r="AC15" s="66">
        <f>ROUND(SUM(AC9:AC14),5)</f>
        <v>960784.8</v>
      </c>
      <c r="AD15" s="66">
        <f>ROUND(SUM(AD9:AD14),5)</f>
        <v>1026054.2</v>
      </c>
    </row>
    <row r="16" spans="1:32" hidden="1" x14ac:dyDescent="0.35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</row>
    <row r="17" spans="1:30" hidden="1" x14ac:dyDescent="0.35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4">ROUND(H17+J17+L17,5)</f>
        <v>101809.82</v>
      </c>
      <c r="O17" s="66">
        <f t="shared" si="4"/>
        <v>79973</v>
      </c>
      <c r="P17" s="69">
        <f t="shared" si="2"/>
        <v>33936.606666666667</v>
      </c>
      <c r="Q17" s="69">
        <f t="shared" si="2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</row>
    <row r="18" spans="1:30" hidden="1" x14ac:dyDescent="0.35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4"/>
        <v>26984.29</v>
      </c>
      <c r="O18" s="66">
        <f t="shared" si="4"/>
        <v>23625</v>
      </c>
      <c r="P18" s="69">
        <f t="shared" si="2"/>
        <v>8994.7633333333342</v>
      </c>
      <c r="Q18" s="69">
        <f t="shared" si="2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</row>
    <row r="19" spans="1:30" hidden="1" x14ac:dyDescent="0.35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4"/>
        <v>17270</v>
      </c>
      <c r="O19" s="66">
        <f t="shared" si="4"/>
        <v>35512</v>
      </c>
      <c r="P19" s="69">
        <f t="shared" si="2"/>
        <v>5756.666666666667</v>
      </c>
      <c r="Q19" s="69">
        <f t="shared" si="2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</row>
    <row r="20" spans="1:30" hidden="1" x14ac:dyDescent="0.35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4"/>
        <v>22714.81</v>
      </c>
      <c r="O20" s="66">
        <f t="shared" si="4"/>
        <v>35292</v>
      </c>
      <c r="P20" s="69">
        <f t="shared" si="2"/>
        <v>7571.6033333333335</v>
      </c>
      <c r="Q20" s="69">
        <f t="shared" si="2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</row>
    <row r="21" spans="1:30" hidden="1" x14ac:dyDescent="0.35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4"/>
        <v>3255.05</v>
      </c>
      <c r="O21" s="66">
        <f t="shared" si="4"/>
        <v>0</v>
      </c>
      <c r="P21" s="69">
        <f t="shared" si="2"/>
        <v>1085.0166666666667</v>
      </c>
      <c r="Q21" s="69">
        <f t="shared" si="2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</row>
    <row r="22" spans="1:30" hidden="1" x14ac:dyDescent="0.35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4"/>
        <v>24336.65</v>
      </c>
      <c r="O22" s="66">
        <f t="shared" si="4"/>
        <v>58135</v>
      </c>
      <c r="P22" s="69">
        <f t="shared" si="2"/>
        <v>8112.2166666666672</v>
      </c>
      <c r="Q22" s="69">
        <f t="shared" si="2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</row>
    <row r="23" spans="1:30" hidden="1" x14ac:dyDescent="0.35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4"/>
        <v>3560.05</v>
      </c>
      <c r="O23" s="66">
        <f t="shared" si="4"/>
        <v>0</v>
      </c>
      <c r="P23" s="69">
        <f t="shared" si="2"/>
        <v>1186.6833333333334</v>
      </c>
      <c r="Q23" s="69">
        <f t="shared" si="2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</row>
    <row r="24" spans="1:30" hidden="1" x14ac:dyDescent="0.35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4"/>
        <v>20454.099999999999</v>
      </c>
      <c r="O24" s="66">
        <f t="shared" si="4"/>
        <v>42287</v>
      </c>
      <c r="P24" s="69">
        <f t="shared" si="2"/>
        <v>6818.0333333333328</v>
      </c>
      <c r="Q24" s="69">
        <f t="shared" si="2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</row>
    <row r="25" spans="1:30" hidden="1" x14ac:dyDescent="0.35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4"/>
        <v>13358.41</v>
      </c>
      <c r="O25" s="66">
        <f t="shared" si="4"/>
        <v>17758</v>
      </c>
      <c r="P25" s="69">
        <f t="shared" si="2"/>
        <v>4452.8033333333333</v>
      </c>
      <c r="Q25" s="69">
        <f t="shared" si="2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</row>
    <row r="26" spans="1:30" hidden="1" x14ac:dyDescent="0.35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4"/>
        <v>5642.08</v>
      </c>
      <c r="O26" s="66">
        <f t="shared" si="4"/>
        <v>0</v>
      </c>
      <c r="P26" s="69">
        <f t="shared" si="2"/>
        <v>1880.6933333333334</v>
      </c>
      <c r="Q26" s="69">
        <f t="shared" si="2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</row>
    <row r="27" spans="1:30" hidden="1" x14ac:dyDescent="0.35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4"/>
        <v>28947.17</v>
      </c>
      <c r="O27" s="66">
        <f t="shared" si="4"/>
        <v>23569</v>
      </c>
      <c r="P27" s="69">
        <f t="shared" si="2"/>
        <v>9649.0566666666655</v>
      </c>
      <c r="Q27" s="69">
        <f t="shared" si="2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</row>
    <row r="28" spans="1:30" hidden="1" x14ac:dyDescent="0.35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4"/>
        <v>6391.99</v>
      </c>
      <c r="O28" s="66">
        <f t="shared" si="4"/>
        <v>5858</v>
      </c>
      <c r="P28" s="69">
        <f t="shared" si="2"/>
        <v>2130.6633333333334</v>
      </c>
      <c r="Q28" s="69">
        <f t="shared" si="2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</row>
    <row r="29" spans="1:30" hidden="1" x14ac:dyDescent="0.35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4"/>
        <v>33957.879999999997</v>
      </c>
      <c r="O29" s="66">
        <f t="shared" si="4"/>
        <v>66808</v>
      </c>
      <c r="P29" s="69">
        <f t="shared" si="2"/>
        <v>11319.293333333333</v>
      </c>
      <c r="Q29" s="69">
        <f t="shared" si="2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</row>
    <row r="30" spans="1:30" hidden="1" x14ac:dyDescent="0.35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4"/>
        <v>44017.48</v>
      </c>
      <c r="O30" s="66">
        <f t="shared" si="4"/>
        <v>49854</v>
      </c>
      <c r="P30" s="69">
        <f t="shared" si="2"/>
        <v>14672.493333333334</v>
      </c>
      <c r="Q30" s="69">
        <f t="shared" si="2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</row>
    <row r="31" spans="1:30" hidden="1" x14ac:dyDescent="0.35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4"/>
        <v>64578.81</v>
      </c>
      <c r="O31" s="66">
        <f t="shared" si="4"/>
        <v>27090</v>
      </c>
      <c r="P31" s="69">
        <f t="shared" si="2"/>
        <v>21526.27</v>
      </c>
      <c r="Q31" s="69">
        <f t="shared" si="2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</row>
    <row r="32" spans="1:30" hidden="1" x14ac:dyDescent="0.35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4"/>
        <v>14800.16</v>
      </c>
      <c r="O32" s="66">
        <f t="shared" si="4"/>
        <v>0</v>
      </c>
      <c r="P32" s="69">
        <f t="shared" si="2"/>
        <v>4933.3866666666663</v>
      </c>
      <c r="Q32" s="69">
        <f t="shared" si="2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</row>
    <row r="33" spans="1:30" hidden="1" x14ac:dyDescent="0.35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4"/>
        <v>1604.11</v>
      </c>
      <c r="O33" s="66">
        <f t="shared" si="4"/>
        <v>22561</v>
      </c>
      <c r="P33" s="69">
        <f t="shared" si="2"/>
        <v>534.70333333333326</v>
      </c>
      <c r="Q33" s="69">
        <f t="shared" si="2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</row>
    <row r="34" spans="1:30" hidden="1" x14ac:dyDescent="0.35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4"/>
        <v>1104</v>
      </c>
      <c r="O34" s="66">
        <f t="shared" si="4"/>
        <v>7038</v>
      </c>
      <c r="P34" s="69">
        <f t="shared" si="2"/>
        <v>368</v>
      </c>
      <c r="Q34" s="69">
        <f t="shared" si="2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</row>
    <row r="35" spans="1:30" hidden="1" x14ac:dyDescent="0.35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4"/>
        <v>0</v>
      </c>
      <c r="O35" s="66">
        <f t="shared" si="4"/>
        <v>15254</v>
      </c>
      <c r="P35" s="69">
        <f t="shared" si="2"/>
        <v>0</v>
      </c>
      <c r="Q35" s="69">
        <f t="shared" si="2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</row>
    <row r="36" spans="1:30" hidden="1" x14ac:dyDescent="0.35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2"/>
        <v>1854.64</v>
      </c>
      <c r="Q36" s="69">
        <f t="shared" si="2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</row>
    <row r="37" spans="1:30" hidden="1" x14ac:dyDescent="0.35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2"/>
        <v>0</v>
      </c>
      <c r="Q37" s="69">
        <f t="shared" si="2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</row>
    <row r="38" spans="1:30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2"/>
        <v>0</v>
      </c>
      <c r="Q38" s="74">
        <f t="shared" si="2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</row>
    <row r="39" spans="1:30" hidden="1" x14ac:dyDescent="0.35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5">ROUND(SUM(H16:H38),5)</f>
        <v>125929.22</v>
      </c>
      <c r="I39" s="63">
        <f t="shared" si="5"/>
        <v>120263</v>
      </c>
      <c r="J39" s="64">
        <f t="shared" si="5"/>
        <v>136830.26</v>
      </c>
      <c r="K39" s="64">
        <f t="shared" si="5"/>
        <v>203448</v>
      </c>
      <c r="L39" s="65">
        <f t="shared" si="5"/>
        <v>177591.3</v>
      </c>
      <c r="M39" s="65">
        <f t="shared" si="5"/>
        <v>186903</v>
      </c>
      <c r="N39" s="66">
        <f>ROUND(H39+J39+L39,5)</f>
        <v>440350.78</v>
      </c>
      <c r="O39" s="66">
        <f>ROUND(I39+K39+M39,5)</f>
        <v>510614</v>
      </c>
      <c r="P39" s="69">
        <f t="shared" si="2"/>
        <v>146783.59333333335</v>
      </c>
      <c r="Q39" s="69">
        <f t="shared" si="2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>ROUND(SUM(AB16:AB38),5)</f>
        <v>0</v>
      </c>
      <c r="AC39" s="66">
        <f>ROUND(SUM(AC16:AC38),5)</f>
        <v>0</v>
      </c>
      <c r="AD39" s="66">
        <f>ROUND(SUM(AD16:AD38),5)</f>
        <v>0</v>
      </c>
    </row>
    <row r="40" spans="1:30" hidden="1" x14ac:dyDescent="0.35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</row>
    <row r="41" spans="1:30" hidden="1" x14ac:dyDescent="0.35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6">ROUND(H41+J41+L41,5)</f>
        <v>17081.599999999999</v>
      </c>
      <c r="O41" s="66">
        <f t="shared" si="6"/>
        <v>44688</v>
      </c>
      <c r="P41" s="69">
        <f t="shared" si="2"/>
        <v>5693.8666666666659</v>
      </c>
      <c r="Q41" s="69">
        <f t="shared" si="2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</row>
    <row r="42" spans="1:30" hidden="1" x14ac:dyDescent="0.35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6"/>
        <v>1953.03</v>
      </c>
      <c r="O42" s="66">
        <f t="shared" si="6"/>
        <v>0</v>
      </c>
      <c r="P42" s="69">
        <f t="shared" si="2"/>
        <v>651.01</v>
      </c>
      <c r="Q42" s="69">
        <f t="shared" si="2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</row>
    <row r="43" spans="1:30" hidden="1" x14ac:dyDescent="0.35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6"/>
        <v>6637.98</v>
      </c>
      <c r="O43" s="66">
        <f t="shared" si="6"/>
        <v>16220</v>
      </c>
      <c r="P43" s="69">
        <f t="shared" si="2"/>
        <v>2212.66</v>
      </c>
      <c r="Q43" s="69">
        <f t="shared" si="2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</row>
    <row r="44" spans="1:30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6"/>
        <v>0</v>
      </c>
      <c r="O44" s="73">
        <f t="shared" si="6"/>
        <v>0</v>
      </c>
      <c r="P44" s="74">
        <f t="shared" si="2"/>
        <v>0</v>
      </c>
      <c r="Q44" s="74">
        <f t="shared" si="2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</row>
    <row r="45" spans="1:30" hidden="1" x14ac:dyDescent="0.35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7">ROUND(SUM(H40:H44),5)</f>
        <v>5918.6</v>
      </c>
      <c r="I45" s="63">
        <f t="shared" si="7"/>
        <v>27950</v>
      </c>
      <c r="J45" s="64">
        <f t="shared" si="7"/>
        <v>10455</v>
      </c>
      <c r="K45" s="64">
        <f t="shared" si="7"/>
        <v>22248</v>
      </c>
      <c r="L45" s="65">
        <f t="shared" si="7"/>
        <v>9299.01</v>
      </c>
      <c r="M45" s="65">
        <f t="shared" si="7"/>
        <v>10710</v>
      </c>
      <c r="N45" s="66">
        <f t="shared" si="6"/>
        <v>25672.61</v>
      </c>
      <c r="O45" s="66">
        <f t="shared" si="6"/>
        <v>60908</v>
      </c>
      <c r="P45" s="69">
        <f t="shared" si="2"/>
        <v>8557.5366666666669</v>
      </c>
      <c r="Q45" s="69">
        <f t="shared" si="2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>ROUND(SUM(AB40:AB44),5)</f>
        <v>0</v>
      </c>
      <c r="AC45" s="66">
        <f>ROUND(SUM(AC40:AC44),5)</f>
        <v>0</v>
      </c>
      <c r="AD45" s="66">
        <f>ROUND(SUM(AD40:AD44),5)</f>
        <v>0</v>
      </c>
    </row>
    <row r="46" spans="1:30" hidden="1" x14ac:dyDescent="0.35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</row>
    <row r="47" spans="1:30" hidden="1" x14ac:dyDescent="0.35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8">ROUND(H47+J47+L47,5)</f>
        <v>87354.12</v>
      </c>
      <c r="O47" s="66">
        <f t="shared" si="8"/>
        <v>72146</v>
      </c>
      <c r="P47" s="69">
        <f t="shared" si="2"/>
        <v>29118.039999999997</v>
      </c>
      <c r="Q47" s="69">
        <f t="shared" si="2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</row>
    <row r="48" spans="1:30" hidden="1" x14ac:dyDescent="0.35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8"/>
        <v>12866.68</v>
      </c>
      <c r="O48" s="66">
        <f t="shared" si="8"/>
        <v>23176</v>
      </c>
      <c r="P48" s="69">
        <f t="shared" si="2"/>
        <v>4288.8933333333334</v>
      </c>
      <c r="Q48" s="69">
        <f t="shared" si="2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</row>
    <row r="49" spans="1:30" hidden="1" x14ac:dyDescent="0.35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8"/>
        <v>1104</v>
      </c>
      <c r="O49" s="66">
        <f t="shared" si="8"/>
        <v>19670</v>
      </c>
      <c r="P49" s="69">
        <f t="shared" si="2"/>
        <v>368</v>
      </c>
      <c r="Q49" s="69">
        <f t="shared" si="2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</row>
    <row r="50" spans="1:30" hidden="1" x14ac:dyDescent="0.35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8"/>
        <v>35352.550000000003</v>
      </c>
      <c r="O50" s="66">
        <f t="shared" si="8"/>
        <v>25225</v>
      </c>
      <c r="P50" s="69">
        <f t="shared" si="2"/>
        <v>11784.183333333334</v>
      </c>
      <c r="Q50" s="69">
        <f t="shared" si="2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</row>
    <row r="51" spans="1:30" hidden="1" x14ac:dyDescent="0.35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8"/>
        <v>3884.55</v>
      </c>
      <c r="O51" s="66">
        <f t="shared" si="8"/>
        <v>1190</v>
      </c>
      <c r="P51" s="69">
        <f t="shared" si="2"/>
        <v>1294.8500000000001</v>
      </c>
      <c r="Q51" s="69">
        <f t="shared" si="2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</row>
    <row r="52" spans="1:30" hidden="1" x14ac:dyDescent="0.35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8"/>
        <v>3960</v>
      </c>
      <c r="O52" s="66">
        <f t="shared" si="8"/>
        <v>11560</v>
      </c>
      <c r="P52" s="69">
        <f t="shared" si="2"/>
        <v>1320</v>
      </c>
      <c r="Q52" s="69">
        <f t="shared" si="2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</row>
    <row r="53" spans="1:30" hidden="1" x14ac:dyDescent="0.35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8"/>
        <v>546</v>
      </c>
      <c r="O53" s="66">
        <f t="shared" si="8"/>
        <v>10387</v>
      </c>
      <c r="P53" s="69">
        <f t="shared" si="2"/>
        <v>182</v>
      </c>
      <c r="Q53" s="69">
        <f t="shared" si="2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</row>
    <row r="54" spans="1:30" hidden="1" x14ac:dyDescent="0.35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8"/>
        <v>8740.36</v>
      </c>
      <c r="O54" s="66">
        <f t="shared" si="8"/>
        <v>19808</v>
      </c>
      <c r="P54" s="69">
        <f t="shared" si="2"/>
        <v>2913.4533333333334</v>
      </c>
      <c r="Q54" s="69">
        <f t="shared" si="2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</row>
    <row r="55" spans="1:30" hidden="1" x14ac:dyDescent="0.35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8"/>
        <v>594</v>
      </c>
      <c r="O55" s="66">
        <f t="shared" si="8"/>
        <v>24884</v>
      </c>
      <c r="P55" s="69">
        <f t="shared" si="2"/>
        <v>198</v>
      </c>
      <c r="Q55" s="69">
        <f t="shared" si="2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</row>
    <row r="56" spans="1:30" hidden="1" x14ac:dyDescent="0.35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8"/>
        <v>690</v>
      </c>
      <c r="O56" s="66">
        <f t="shared" si="8"/>
        <v>5419</v>
      </c>
      <c r="P56" s="69">
        <f t="shared" si="2"/>
        <v>230</v>
      </c>
      <c r="Q56" s="69">
        <f t="shared" si="2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</row>
    <row r="57" spans="1:30" hidden="1" x14ac:dyDescent="0.35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8"/>
        <v>1413.6</v>
      </c>
      <c r="O57" s="66">
        <f t="shared" si="8"/>
        <v>27552</v>
      </c>
      <c r="P57" s="69">
        <f t="shared" si="2"/>
        <v>471.2</v>
      </c>
      <c r="Q57" s="69">
        <f t="shared" si="2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</row>
    <row r="58" spans="1:30" hidden="1" x14ac:dyDescent="0.35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8"/>
        <v>174920.21</v>
      </c>
      <c r="O58" s="66">
        <f t="shared" si="8"/>
        <v>143746</v>
      </c>
      <c r="P58" s="69">
        <f t="shared" si="2"/>
        <v>58306.736666666664</v>
      </c>
      <c r="Q58" s="69">
        <f t="shared" si="2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</row>
    <row r="59" spans="1:30" hidden="1" x14ac:dyDescent="0.35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8"/>
        <v>12307.07</v>
      </c>
      <c r="O59" s="66">
        <f t="shared" si="8"/>
        <v>24217</v>
      </c>
      <c r="P59" s="69">
        <f t="shared" si="2"/>
        <v>4102.3566666666666</v>
      </c>
      <c r="Q59" s="69">
        <f t="shared" si="2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</row>
    <row r="60" spans="1:30" hidden="1" x14ac:dyDescent="0.35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8"/>
        <v>23322.21</v>
      </c>
      <c r="O60" s="66">
        <f t="shared" si="8"/>
        <v>22992</v>
      </c>
      <c r="P60" s="69">
        <f t="shared" si="2"/>
        <v>7774.07</v>
      </c>
      <c r="Q60" s="69">
        <f t="shared" si="2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</row>
    <row r="61" spans="1:30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8"/>
        <v>4553.9799999999996</v>
      </c>
      <c r="O61" s="73">
        <f t="shared" si="8"/>
        <v>0</v>
      </c>
      <c r="P61" s="74">
        <f t="shared" si="2"/>
        <v>1517.9933333333331</v>
      </c>
      <c r="Q61" s="74">
        <f t="shared" si="2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</row>
    <row r="62" spans="1:30" hidden="1" x14ac:dyDescent="0.35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9">ROUND(SUM(H46:H61),5)</f>
        <v>137372.26</v>
      </c>
      <c r="I62" s="63">
        <f t="shared" si="9"/>
        <v>73450</v>
      </c>
      <c r="J62" s="64">
        <f t="shared" si="9"/>
        <v>111914.03</v>
      </c>
      <c r="K62" s="64">
        <f t="shared" si="9"/>
        <v>203796</v>
      </c>
      <c r="L62" s="65">
        <f t="shared" si="9"/>
        <v>122323.04</v>
      </c>
      <c r="M62" s="65">
        <f t="shared" si="9"/>
        <v>154726</v>
      </c>
      <c r="N62" s="66">
        <f t="shared" si="8"/>
        <v>371609.33</v>
      </c>
      <c r="O62" s="66">
        <f t="shared" si="8"/>
        <v>431972</v>
      </c>
      <c r="P62" s="69">
        <f t="shared" si="2"/>
        <v>123869.77666666667</v>
      </c>
      <c r="Q62" s="69">
        <f t="shared" si="2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>ROUND(SUM(AB46:AB61),5)</f>
        <v>0</v>
      </c>
      <c r="AC62" s="66">
        <f>ROUND(SUM(AC46:AC61),5)</f>
        <v>0</v>
      </c>
      <c r="AD62" s="66">
        <f>ROUND(SUM(AD46:AD61),5)</f>
        <v>0</v>
      </c>
    </row>
    <row r="63" spans="1:30" hidden="1" x14ac:dyDescent="0.35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8"/>
        <v>34181.74</v>
      </c>
      <c r="O63" s="66">
        <f t="shared" si="8"/>
        <v>66123.38</v>
      </c>
      <c r="P63" s="69">
        <f t="shared" si="2"/>
        <v>11393.913333333332</v>
      </c>
      <c r="Q63" s="69">
        <f t="shared" si="2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</row>
    <row r="64" spans="1:30" hidden="1" x14ac:dyDescent="0.35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</row>
    <row r="65" spans="1:30" hidden="1" x14ac:dyDescent="0.35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10">ROUND(H65+J65+L65,5)</f>
        <v>106817.3</v>
      </c>
      <c r="O65" s="66">
        <f t="shared" si="10"/>
        <v>56558</v>
      </c>
      <c r="P65" s="69">
        <f t="shared" si="2"/>
        <v>35605.76666666667</v>
      </c>
      <c r="Q65" s="69">
        <f t="shared" si="2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</row>
    <row r="66" spans="1:30" hidden="1" x14ac:dyDescent="0.35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10"/>
        <v>63970.64</v>
      </c>
      <c r="O66" s="66">
        <f t="shared" si="10"/>
        <v>68284</v>
      </c>
      <c r="P66" s="69">
        <f t="shared" si="2"/>
        <v>21323.546666666665</v>
      </c>
      <c r="Q66" s="69">
        <f t="shared" si="2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</row>
    <row r="67" spans="1:30" hidden="1" x14ac:dyDescent="0.35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10"/>
        <v>1794</v>
      </c>
      <c r="O67" s="66">
        <f t="shared" si="10"/>
        <v>15153</v>
      </c>
      <c r="P67" s="69">
        <f t="shared" si="2"/>
        <v>598</v>
      </c>
      <c r="Q67" s="69">
        <f t="shared" si="2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</row>
    <row r="68" spans="1:30" hidden="1" x14ac:dyDescent="0.35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10"/>
        <v>22842.29</v>
      </c>
      <c r="O68" s="66">
        <f t="shared" si="10"/>
        <v>61166</v>
      </c>
      <c r="P68" s="69">
        <f t="shared" si="2"/>
        <v>7614.0966666666673</v>
      </c>
      <c r="Q68" s="69">
        <f t="shared" si="2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</row>
    <row r="69" spans="1:30" hidden="1" x14ac:dyDescent="0.35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10"/>
        <v>9232</v>
      </c>
      <c r="O69" s="66">
        <f t="shared" si="10"/>
        <v>16972</v>
      </c>
      <c r="P69" s="69">
        <f t="shared" si="2"/>
        <v>3077.3333333333335</v>
      </c>
      <c r="Q69" s="69">
        <f t="shared" si="2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</row>
    <row r="70" spans="1:30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10"/>
        <v>11879.44</v>
      </c>
      <c r="O70" s="73">
        <f t="shared" si="10"/>
        <v>43386</v>
      </c>
      <c r="P70" s="74">
        <f t="shared" si="2"/>
        <v>3959.8133333333335</v>
      </c>
      <c r="Q70" s="74">
        <f t="shared" si="2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</row>
    <row r="71" spans="1:30" hidden="1" x14ac:dyDescent="0.35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11">ROUND(SUM(H64:H70),5)</f>
        <v>53816.6</v>
      </c>
      <c r="I71" s="63">
        <f t="shared" si="11"/>
        <v>52052</v>
      </c>
      <c r="J71" s="64">
        <f t="shared" si="11"/>
        <v>74785.06</v>
      </c>
      <c r="K71" s="64">
        <f t="shared" si="11"/>
        <v>127356</v>
      </c>
      <c r="L71" s="65">
        <f t="shared" si="11"/>
        <v>87934.01</v>
      </c>
      <c r="M71" s="65">
        <f t="shared" si="11"/>
        <v>82111</v>
      </c>
      <c r="N71" s="66">
        <f t="shared" si="10"/>
        <v>216535.67</v>
      </c>
      <c r="O71" s="66">
        <f t="shared" si="10"/>
        <v>261519</v>
      </c>
      <c r="P71" s="69">
        <f t="shared" si="2"/>
        <v>72178.556666666671</v>
      </c>
      <c r="Q71" s="69">
        <f t="shared" si="2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>ROUND(SUM(AB64:AB70),5)</f>
        <v>0</v>
      </c>
      <c r="AC71" s="66">
        <f>ROUND(SUM(AC64:AC70),5)</f>
        <v>0</v>
      </c>
      <c r="AD71" s="66">
        <f>ROUND(SUM(AD64:AD70),5)</f>
        <v>0</v>
      </c>
    </row>
    <row r="72" spans="1:30" hidden="1" x14ac:dyDescent="0.35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</row>
    <row r="73" spans="1:30" hidden="1" x14ac:dyDescent="0.35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12">ROUND(H73+J73+L73,5)</f>
        <v>5364.31</v>
      </c>
      <c r="O73" s="66">
        <f t="shared" si="12"/>
        <v>9909</v>
      </c>
      <c r="P73" s="69">
        <f t="shared" si="2"/>
        <v>1788.1033333333335</v>
      </c>
      <c r="Q73" s="69">
        <f t="shared" si="2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</row>
    <row r="74" spans="1:30" hidden="1" x14ac:dyDescent="0.35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12"/>
        <v>46000.91</v>
      </c>
      <c r="O74" s="66">
        <f t="shared" si="12"/>
        <v>29903</v>
      </c>
      <c r="P74" s="69">
        <f t="shared" si="2"/>
        <v>15333.636666666667</v>
      </c>
      <c r="Q74" s="69">
        <f t="shared" si="2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</row>
    <row r="75" spans="1:30" hidden="1" x14ac:dyDescent="0.35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12"/>
        <v>0</v>
      </c>
      <c r="O75" s="66">
        <f t="shared" si="12"/>
        <v>31248</v>
      </c>
      <c r="P75" s="69">
        <f t="shared" ref="P75:Q137" si="13">N75/3</f>
        <v>0</v>
      </c>
      <c r="Q75" s="69">
        <f t="shared" si="13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</row>
    <row r="76" spans="1:30" hidden="1" x14ac:dyDescent="0.35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12"/>
        <v>29409.79</v>
      </c>
      <c r="O76" s="66">
        <f t="shared" si="12"/>
        <v>27007</v>
      </c>
      <c r="P76" s="69">
        <f t="shared" si="13"/>
        <v>9803.2633333333342</v>
      </c>
      <c r="Q76" s="69">
        <f t="shared" si="13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</row>
    <row r="77" spans="1:30" hidden="1" x14ac:dyDescent="0.35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12"/>
        <v>3458.77</v>
      </c>
      <c r="O77" s="66">
        <f t="shared" si="12"/>
        <v>7965</v>
      </c>
      <c r="P77" s="69">
        <f t="shared" si="13"/>
        <v>1152.9233333333334</v>
      </c>
      <c r="Q77" s="69">
        <f t="shared" si="13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</row>
    <row r="78" spans="1:30" hidden="1" x14ac:dyDescent="0.35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12"/>
        <v>21632.07</v>
      </c>
      <c r="O78" s="66">
        <f t="shared" si="12"/>
        <v>25676</v>
      </c>
      <c r="P78" s="69">
        <f t="shared" si="13"/>
        <v>7210.69</v>
      </c>
      <c r="Q78" s="69">
        <f t="shared" si="13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</row>
    <row r="79" spans="1:30" hidden="1" x14ac:dyDescent="0.35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12"/>
        <v>966</v>
      </c>
      <c r="O79" s="66">
        <f t="shared" si="12"/>
        <v>3588</v>
      </c>
      <c r="P79" s="69">
        <f t="shared" si="13"/>
        <v>322</v>
      </c>
      <c r="Q79" s="69">
        <f t="shared" si="13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</row>
    <row r="80" spans="1:30" hidden="1" x14ac:dyDescent="0.35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12"/>
        <v>0</v>
      </c>
      <c r="O80" s="66">
        <f t="shared" si="12"/>
        <v>3901</v>
      </c>
      <c r="P80" s="69">
        <f t="shared" si="13"/>
        <v>0</v>
      </c>
      <c r="Q80" s="69">
        <f t="shared" si="13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</row>
    <row r="81" spans="1:30" hidden="1" x14ac:dyDescent="0.35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13"/>
        <v>0</v>
      </c>
      <c r="Q81" s="69">
        <f t="shared" si="13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</row>
    <row r="82" spans="1:30" hidden="1" x14ac:dyDescent="0.35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14">ROUND(H82+J82+L82,5)</f>
        <v>0</v>
      </c>
      <c r="O82" s="66">
        <f t="shared" si="14"/>
        <v>0</v>
      </c>
      <c r="P82" s="69">
        <f t="shared" si="13"/>
        <v>0</v>
      </c>
      <c r="Q82" s="69">
        <f t="shared" si="13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</row>
    <row r="83" spans="1:30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14"/>
        <v>0</v>
      </c>
      <c r="O83" s="73">
        <f t="shared" si="14"/>
        <v>0</v>
      </c>
      <c r="P83" s="74">
        <f t="shared" si="13"/>
        <v>0</v>
      </c>
      <c r="Q83" s="74">
        <f t="shared" si="13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</row>
    <row r="84" spans="1:30" hidden="1" x14ac:dyDescent="0.35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15">ROUND(SUM(H72:H83),5)</f>
        <v>39159.980000000003</v>
      </c>
      <c r="I84" s="63">
        <f t="shared" si="15"/>
        <v>39468</v>
      </c>
      <c r="J84" s="64">
        <f t="shared" si="15"/>
        <v>32291.99</v>
      </c>
      <c r="K84" s="64">
        <f t="shared" si="15"/>
        <v>31248</v>
      </c>
      <c r="L84" s="65">
        <f t="shared" si="15"/>
        <v>35379.879999999997</v>
      </c>
      <c r="M84" s="65">
        <f t="shared" si="15"/>
        <v>68481</v>
      </c>
      <c r="N84" s="66">
        <f t="shared" si="14"/>
        <v>106831.85</v>
      </c>
      <c r="O84" s="66">
        <f t="shared" si="14"/>
        <v>139197</v>
      </c>
      <c r="P84" s="69">
        <f t="shared" si="13"/>
        <v>35610.616666666669</v>
      </c>
      <c r="Q84" s="69">
        <f t="shared" si="13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>ROUND(SUM(AB72:AB83),5)</f>
        <v>0</v>
      </c>
      <c r="AC84" s="66">
        <f>ROUND(SUM(AC72:AC83),5)</f>
        <v>0</v>
      </c>
      <c r="AD84" s="66">
        <f>ROUND(SUM(AD72:AD83),5)</f>
        <v>0</v>
      </c>
    </row>
    <row r="85" spans="1:30" hidden="1" x14ac:dyDescent="0.35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</row>
    <row r="86" spans="1:30" hidden="1" x14ac:dyDescent="0.35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16">ROUND(H86+J86+L86,5)</f>
        <v>41055.360000000001</v>
      </c>
      <c r="O86" s="66">
        <f t="shared" si="16"/>
        <v>61593</v>
      </c>
      <c r="P86" s="69">
        <f t="shared" si="13"/>
        <v>13685.12</v>
      </c>
      <c r="Q86" s="69">
        <f t="shared" si="13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</row>
    <row r="87" spans="1:30" hidden="1" x14ac:dyDescent="0.35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16"/>
        <v>4557.07</v>
      </c>
      <c r="O87" s="66">
        <f t="shared" si="16"/>
        <v>5852</v>
      </c>
      <c r="P87" s="69">
        <f t="shared" si="13"/>
        <v>1519.0233333333333</v>
      </c>
      <c r="Q87" s="69">
        <f t="shared" si="13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</row>
    <row r="88" spans="1:30" hidden="1" x14ac:dyDescent="0.35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16"/>
        <v>9699</v>
      </c>
      <c r="O88" s="66">
        <f t="shared" si="16"/>
        <v>58996</v>
      </c>
      <c r="P88" s="69">
        <f t="shared" si="13"/>
        <v>3233</v>
      </c>
      <c r="Q88" s="69">
        <f t="shared" si="13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</row>
    <row r="89" spans="1:30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16"/>
        <v>4967.9799999999996</v>
      </c>
      <c r="O89" s="73">
        <f t="shared" si="16"/>
        <v>15466</v>
      </c>
      <c r="P89" s="74">
        <f t="shared" si="13"/>
        <v>1655.9933333333331</v>
      </c>
      <c r="Q89" s="74">
        <f t="shared" si="13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</row>
    <row r="90" spans="1:30" hidden="1" x14ac:dyDescent="0.35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17">ROUND(SUM(H85:H89),5)</f>
        <v>20271.38</v>
      </c>
      <c r="I90" s="63">
        <f t="shared" si="17"/>
        <v>42055</v>
      </c>
      <c r="J90" s="64">
        <f t="shared" si="17"/>
        <v>14973.03</v>
      </c>
      <c r="K90" s="64">
        <f t="shared" si="17"/>
        <v>58944</v>
      </c>
      <c r="L90" s="65">
        <f t="shared" si="17"/>
        <v>25035</v>
      </c>
      <c r="M90" s="65">
        <f t="shared" si="17"/>
        <v>40908</v>
      </c>
      <c r="N90" s="66">
        <f t="shared" si="16"/>
        <v>60279.41</v>
      </c>
      <c r="O90" s="66">
        <f t="shared" si="16"/>
        <v>141907</v>
      </c>
      <c r="P90" s="69">
        <f t="shared" si="13"/>
        <v>20093.136666666669</v>
      </c>
      <c r="Q90" s="69">
        <f t="shared" si="13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>ROUND(SUM(AB85:AB89),5)</f>
        <v>0</v>
      </c>
      <c r="AC90" s="66">
        <f>ROUND(SUM(AC85:AC89),5)</f>
        <v>0</v>
      </c>
      <c r="AD90" s="66">
        <f>ROUND(SUM(AD85:AD89),5)</f>
        <v>0</v>
      </c>
    </row>
    <row r="91" spans="1:30" hidden="1" x14ac:dyDescent="0.35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</row>
    <row r="92" spans="1:30" hidden="1" x14ac:dyDescent="0.35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18">ROUND(H92+J92+L92,5)</f>
        <v>108862.85</v>
      </c>
      <c r="O92" s="66">
        <f t="shared" si="18"/>
        <v>69579</v>
      </c>
      <c r="P92" s="69">
        <f t="shared" si="13"/>
        <v>36287.616666666669</v>
      </c>
      <c r="Q92" s="69">
        <f t="shared" si="13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</row>
    <row r="93" spans="1:30" hidden="1" x14ac:dyDescent="0.35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18"/>
        <v>14518.12</v>
      </c>
      <c r="O93" s="66">
        <f t="shared" si="18"/>
        <v>19733</v>
      </c>
      <c r="P93" s="69">
        <f t="shared" si="13"/>
        <v>4839.3733333333339</v>
      </c>
      <c r="Q93" s="69">
        <f t="shared" si="13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</row>
    <row r="94" spans="1:30" hidden="1" x14ac:dyDescent="0.35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18"/>
        <v>43484.49</v>
      </c>
      <c r="O94" s="66">
        <f t="shared" si="18"/>
        <v>62432</v>
      </c>
      <c r="P94" s="69">
        <f t="shared" si="13"/>
        <v>14494.83</v>
      </c>
      <c r="Q94" s="69">
        <f t="shared" si="13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</row>
    <row r="95" spans="1:30" hidden="1" x14ac:dyDescent="0.35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18"/>
        <v>4211.0600000000004</v>
      </c>
      <c r="O95" s="66">
        <f t="shared" si="18"/>
        <v>13454</v>
      </c>
      <c r="P95" s="69">
        <f t="shared" si="13"/>
        <v>1403.6866666666667</v>
      </c>
      <c r="Q95" s="69">
        <f t="shared" si="13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</row>
    <row r="96" spans="1:30" hidden="1" x14ac:dyDescent="0.35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18"/>
        <v>49443.53</v>
      </c>
      <c r="O96" s="66">
        <f t="shared" si="18"/>
        <v>34119</v>
      </c>
      <c r="P96" s="69">
        <f t="shared" si="13"/>
        <v>16481.176666666666</v>
      </c>
      <c r="Q96" s="69">
        <f t="shared" si="13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</row>
    <row r="97" spans="1:30" hidden="1" x14ac:dyDescent="0.35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18"/>
        <v>5328.03</v>
      </c>
      <c r="O97" s="66">
        <f t="shared" si="18"/>
        <v>7526</v>
      </c>
      <c r="P97" s="69">
        <f t="shared" si="13"/>
        <v>1776.01</v>
      </c>
      <c r="Q97" s="69">
        <f t="shared" si="13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</row>
    <row r="98" spans="1:30" hidden="1" x14ac:dyDescent="0.35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18"/>
        <v>63633.29</v>
      </c>
      <c r="O98" s="66">
        <f t="shared" si="18"/>
        <v>69145</v>
      </c>
      <c r="P98" s="69">
        <f t="shared" si="13"/>
        <v>21211.096666666668</v>
      </c>
      <c r="Q98" s="69">
        <f t="shared" si="13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</row>
    <row r="99" spans="1:30" hidden="1" x14ac:dyDescent="0.35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18"/>
        <v>7554.05</v>
      </c>
      <c r="O99" s="66">
        <f t="shared" si="18"/>
        <v>16058</v>
      </c>
      <c r="P99" s="69">
        <f t="shared" si="13"/>
        <v>2518.0166666666669</v>
      </c>
      <c r="Q99" s="69">
        <f t="shared" si="13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</row>
    <row r="100" spans="1:30" hidden="1" x14ac:dyDescent="0.35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18"/>
        <v>5514</v>
      </c>
      <c r="O100" s="66">
        <f t="shared" si="18"/>
        <v>12319</v>
      </c>
      <c r="P100" s="69">
        <f t="shared" si="13"/>
        <v>1838</v>
      </c>
      <c r="Q100" s="69">
        <f t="shared" si="13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</row>
    <row r="101" spans="1:30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</row>
    <row r="102" spans="1:30" hidden="1" x14ac:dyDescent="0.35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19">ROUND(SUM(H91:H100),5)</f>
        <v>81944.17</v>
      </c>
      <c r="I102" s="63">
        <f t="shared" si="19"/>
        <v>70005</v>
      </c>
      <c r="J102" s="64">
        <f t="shared" si="19"/>
        <v>112983.21</v>
      </c>
      <c r="K102" s="64">
        <f t="shared" si="19"/>
        <v>122376</v>
      </c>
      <c r="L102" s="65">
        <f t="shared" si="19"/>
        <v>107622.04</v>
      </c>
      <c r="M102" s="65">
        <f t="shared" si="19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13"/>
        <v>100849.80666666666</v>
      </c>
      <c r="Q102" s="69">
        <f t="shared" si="13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>ROUND(SUM(AB91:AB101),5)</f>
        <v>0</v>
      </c>
      <c r="AC102" s="66">
        <f>ROUND(SUM(AC91:AC101),5)</f>
        <v>0</v>
      </c>
      <c r="AD102" s="66">
        <f>ROUND(SUM(AD91:AD101),5)</f>
        <v>0</v>
      </c>
    </row>
    <row r="103" spans="1:30" hidden="1" x14ac:dyDescent="0.35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13"/>
        <v>0</v>
      </c>
      <c r="Q103" s="69">
        <f t="shared" si="13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</row>
    <row r="104" spans="1:30" hidden="1" x14ac:dyDescent="0.35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20">ROUND(H104+J104+L104,5)</f>
        <v>74439.240000000005</v>
      </c>
      <c r="O104" s="66">
        <f t="shared" si="20"/>
        <v>63264</v>
      </c>
      <c r="P104" s="69">
        <f t="shared" si="13"/>
        <v>24813.08</v>
      </c>
      <c r="Q104" s="69">
        <f t="shared" si="13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</row>
    <row r="105" spans="1:30" hidden="1" x14ac:dyDescent="0.35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20"/>
        <v>13570.83</v>
      </c>
      <c r="O105" s="66">
        <f t="shared" si="20"/>
        <v>26229</v>
      </c>
      <c r="P105" s="69">
        <f t="shared" si="13"/>
        <v>4523.6099999999997</v>
      </c>
      <c r="Q105" s="69">
        <f t="shared" si="13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</row>
    <row r="106" spans="1:30" hidden="1" x14ac:dyDescent="0.35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20"/>
        <v>31132.720000000001</v>
      </c>
      <c r="O106" s="66">
        <f t="shared" si="20"/>
        <v>23118</v>
      </c>
      <c r="P106" s="69">
        <f t="shared" si="13"/>
        <v>10377.573333333334</v>
      </c>
      <c r="Q106" s="69">
        <f t="shared" si="13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</row>
    <row r="107" spans="1:30" hidden="1" x14ac:dyDescent="0.35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20"/>
        <v>5105.97</v>
      </c>
      <c r="O107" s="66">
        <f t="shared" si="20"/>
        <v>7489</v>
      </c>
      <c r="P107" s="69">
        <f t="shared" si="13"/>
        <v>1701.99</v>
      </c>
      <c r="Q107" s="69">
        <f t="shared" si="13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</row>
    <row r="108" spans="1:30" hidden="1" x14ac:dyDescent="0.35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20"/>
        <v>60762.3</v>
      </c>
      <c r="O108" s="66">
        <f t="shared" si="20"/>
        <v>41781</v>
      </c>
      <c r="P108" s="69">
        <f t="shared" si="13"/>
        <v>20254.100000000002</v>
      </c>
      <c r="Q108" s="69">
        <f t="shared" si="13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</row>
    <row r="109" spans="1:30" hidden="1" x14ac:dyDescent="0.35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20"/>
        <v>20355.89</v>
      </c>
      <c r="O109" s="66">
        <f t="shared" si="20"/>
        <v>5382</v>
      </c>
      <c r="P109" s="69">
        <f t="shared" si="13"/>
        <v>6785.2966666666662</v>
      </c>
      <c r="Q109" s="69">
        <f t="shared" si="13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</row>
    <row r="110" spans="1:30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20"/>
        <v>3399.97</v>
      </c>
      <c r="O110" s="66">
        <f t="shared" si="20"/>
        <v>0</v>
      </c>
      <c r="P110" s="69">
        <f t="shared" si="13"/>
        <v>1133.3233333333333</v>
      </c>
      <c r="Q110" s="69">
        <f t="shared" si="13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</row>
    <row r="111" spans="1:30" hidden="1" x14ac:dyDescent="0.35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21">ROUND(SUM(H103:H110),5)</f>
        <v>59018.03</v>
      </c>
      <c r="I111" s="75">
        <f t="shared" si="21"/>
        <v>31525</v>
      </c>
      <c r="J111" s="76">
        <f t="shared" si="21"/>
        <v>66518.98</v>
      </c>
      <c r="K111" s="76">
        <f t="shared" si="21"/>
        <v>44976</v>
      </c>
      <c r="L111" s="77">
        <f t="shared" si="21"/>
        <v>83229.91</v>
      </c>
      <c r="M111" s="77">
        <f t="shared" si="21"/>
        <v>90762</v>
      </c>
      <c r="N111" s="78">
        <f t="shared" si="20"/>
        <v>208766.92</v>
      </c>
      <c r="O111" s="78">
        <f t="shared" si="20"/>
        <v>167263</v>
      </c>
      <c r="P111" s="79">
        <f t="shared" si="13"/>
        <v>69588.973333333342</v>
      </c>
      <c r="Q111" s="79">
        <f t="shared" si="13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>ROUND(SUM(AB103:AB110),5)</f>
        <v>0</v>
      </c>
      <c r="AC111" s="78">
        <f>ROUND(SUM(AC103:AC110),5)</f>
        <v>0</v>
      </c>
      <c r="AD111" s="78">
        <f>ROUND(SUM(AD103:AD110),5)</f>
        <v>0</v>
      </c>
    </row>
    <row r="112" spans="1:30" hidden="1" x14ac:dyDescent="0.35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13"/>
        <v>0</v>
      </c>
      <c r="Q112" s="69">
        <f t="shared" si="13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</row>
    <row r="113" spans="1:33" hidden="1" x14ac:dyDescent="0.35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22">ROUND(H113+J113+L113,5)</f>
        <v>453828.9</v>
      </c>
      <c r="O113" s="66">
        <f t="shared" si="22"/>
        <v>406218</v>
      </c>
      <c r="P113" s="69">
        <f t="shared" si="13"/>
        <v>151276.30000000002</v>
      </c>
      <c r="Q113" s="69">
        <f t="shared" si="13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</row>
    <row r="114" spans="1:33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22"/>
        <v>0</v>
      </c>
      <c r="O114" s="73">
        <f t="shared" si="22"/>
        <v>0</v>
      </c>
      <c r="P114" s="74">
        <f t="shared" si="13"/>
        <v>0</v>
      </c>
      <c r="Q114" s="74">
        <f t="shared" si="13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</row>
    <row r="115" spans="1:33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23">ROUND(SUM(H112:H114),5)</f>
        <v>57491.4</v>
      </c>
      <c r="I115" s="63">
        <f t="shared" si="23"/>
        <v>406218</v>
      </c>
      <c r="J115" s="64">
        <f t="shared" si="23"/>
        <v>150471.5</v>
      </c>
      <c r="K115" s="64">
        <f t="shared" si="23"/>
        <v>0</v>
      </c>
      <c r="L115" s="65">
        <f t="shared" si="23"/>
        <v>245866</v>
      </c>
      <c r="M115" s="65">
        <f t="shared" si="23"/>
        <v>0</v>
      </c>
      <c r="N115" s="66">
        <f t="shared" si="22"/>
        <v>453828.9</v>
      </c>
      <c r="O115" s="66">
        <f t="shared" si="22"/>
        <v>406218</v>
      </c>
      <c r="P115" s="69">
        <f t="shared" si="13"/>
        <v>151276.30000000002</v>
      </c>
      <c r="Q115" s="69">
        <f t="shared" si="13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</row>
    <row r="116" spans="1:33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24">ROUND(H8+H15+H39+H45+SUM(H62:H63)+H71+H84+H90+H102+H111+SUM(H115:H115),5)</f>
        <v>760409.73</v>
      </c>
      <c r="I116" s="75">
        <f t="shared" si="24"/>
        <v>912984</v>
      </c>
      <c r="J116" s="76">
        <f t="shared" si="24"/>
        <v>855809.22</v>
      </c>
      <c r="K116" s="76">
        <f t="shared" si="24"/>
        <v>904615.38</v>
      </c>
      <c r="L116" s="77">
        <f t="shared" si="24"/>
        <v>1036241.61</v>
      </c>
      <c r="M116" s="77">
        <f t="shared" si="24"/>
        <v>926829</v>
      </c>
      <c r="N116" s="78">
        <f t="shared" si="22"/>
        <v>2652460.56</v>
      </c>
      <c r="O116" s="78">
        <f t="shared" si="22"/>
        <v>2744428.38</v>
      </c>
      <c r="P116" s="79">
        <f t="shared" si="13"/>
        <v>884153.52</v>
      </c>
      <c r="Q116" s="79">
        <f t="shared" si="13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>ROUND(AB8+AB15+AB39+AB45+SUM(AB62:AB63)+AB71+AB84+AB90+AB102+AB111+SUM(AB115:AB115),5)</f>
        <v>960784.8</v>
      </c>
      <c r="AC116" s="80">
        <f>ROUND(AC8+AC15+AC39+AC45+SUM(AC62:AC63)+AC71+AC84+AC90+AC102+AC111+SUM(AC115:AC115),5)</f>
        <v>960784.8</v>
      </c>
      <c r="AD116" s="134">
        <f>ROUND(AD8+AD15+AD39+AD45+SUM(AD62:AD63)+AD71+AD84+AD90+AD102+AD111+SUM(AD115:AD115),5)</f>
        <v>1026054.2</v>
      </c>
      <c r="AE116" s="144"/>
      <c r="AG116" s="112"/>
    </row>
    <row r="117" spans="1:33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13"/>
        <v>0</v>
      </c>
      <c r="Q117" s="69">
        <f t="shared" si="13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135"/>
    </row>
    <row r="118" spans="1:33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13"/>
        <v>0</v>
      </c>
      <c r="Q118" s="69">
        <f t="shared" si="13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135">
        <v>1043950</v>
      </c>
    </row>
    <row r="119" spans="1:33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25">ROUND(H119+J119+L119,5)</f>
        <v>488400</v>
      </c>
      <c r="O119" s="66">
        <f t="shared" si="25"/>
        <v>485585</v>
      </c>
      <c r="P119" s="69">
        <f t="shared" si="13"/>
        <v>162800</v>
      </c>
      <c r="Q119" s="69">
        <f t="shared" si="13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135"/>
    </row>
    <row r="120" spans="1:33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25"/>
        <v>399075</v>
      </c>
      <c r="O120" s="66">
        <f t="shared" si="25"/>
        <v>126010</v>
      </c>
      <c r="P120" s="69">
        <f t="shared" si="13"/>
        <v>133025</v>
      </c>
      <c r="Q120" s="69">
        <f t="shared" si="13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135"/>
    </row>
    <row r="121" spans="1:33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25"/>
        <v>265</v>
      </c>
      <c r="O121" s="66">
        <f t="shared" si="25"/>
        <v>0</v>
      </c>
      <c r="P121" s="69">
        <f t="shared" si="13"/>
        <v>88.333333333333329</v>
      </c>
      <c r="Q121" s="69">
        <f t="shared" si="13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135"/>
    </row>
    <row r="122" spans="1:33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25"/>
        <v>265</v>
      </c>
      <c r="O122" s="66">
        <f t="shared" si="25"/>
        <v>91390</v>
      </c>
      <c r="P122" s="69">
        <f t="shared" si="13"/>
        <v>88.333333333333329</v>
      </c>
      <c r="Q122" s="69">
        <f t="shared" si="13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135"/>
    </row>
    <row r="123" spans="1:33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25"/>
        <v>98830</v>
      </c>
      <c r="O123" s="66">
        <f t="shared" si="25"/>
        <v>125165</v>
      </c>
      <c r="P123" s="69">
        <f t="shared" si="13"/>
        <v>32943.333333333336</v>
      </c>
      <c r="Q123" s="69">
        <f t="shared" si="13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135"/>
    </row>
    <row r="124" spans="1:33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26">ROUND(SUM(H118:H123),5)</f>
        <v>322815</v>
      </c>
      <c r="I124" s="75">
        <f t="shared" si="26"/>
        <v>280085</v>
      </c>
      <c r="J124" s="76">
        <f t="shared" si="26"/>
        <v>327395</v>
      </c>
      <c r="K124" s="76">
        <f t="shared" si="26"/>
        <v>231075</v>
      </c>
      <c r="L124" s="77">
        <f t="shared" si="26"/>
        <v>336625</v>
      </c>
      <c r="M124" s="77">
        <f t="shared" si="26"/>
        <v>316990</v>
      </c>
      <c r="N124" s="78">
        <f t="shared" si="25"/>
        <v>986835</v>
      </c>
      <c r="O124" s="78">
        <f t="shared" si="25"/>
        <v>828150</v>
      </c>
      <c r="P124" s="79">
        <f t="shared" si="13"/>
        <v>328945</v>
      </c>
      <c r="Q124" s="79">
        <f t="shared" si="13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>ROUND(SUM(AB118:AB123),5)</f>
        <v>1043950</v>
      </c>
      <c r="AC124" s="78">
        <f>ROUND(SUM(AC118:AC123),5)</f>
        <v>1043950</v>
      </c>
      <c r="AD124" s="136">
        <f>ROUND(SUM(AD118:AD123),5)</f>
        <v>1043950</v>
      </c>
    </row>
    <row r="125" spans="1:33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13"/>
        <v>0</v>
      </c>
      <c r="Q125" s="69">
        <f t="shared" si="13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135"/>
    </row>
    <row r="126" spans="1:33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27">ROUND(H126+J126+L126,5)</f>
        <v>294615</v>
      </c>
      <c r="O126" s="66">
        <f t="shared" si="27"/>
        <v>236035</v>
      </c>
      <c r="P126" s="69">
        <f t="shared" si="13"/>
        <v>98205</v>
      </c>
      <c r="Q126" s="69">
        <f t="shared" si="13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135"/>
    </row>
    <row r="127" spans="1:33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27"/>
        <v>96940</v>
      </c>
      <c r="O127" s="66">
        <f t="shared" si="27"/>
        <v>135795</v>
      </c>
      <c r="P127" s="69">
        <f t="shared" si="13"/>
        <v>32313.333333333332</v>
      </c>
      <c r="Q127" s="69">
        <f t="shared" si="13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135"/>
    </row>
    <row r="128" spans="1:33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27"/>
        <v>69790</v>
      </c>
      <c r="O128" s="66">
        <f t="shared" si="27"/>
        <v>111720</v>
      </c>
      <c r="P128" s="69">
        <f t="shared" si="13"/>
        <v>23263.333333333332</v>
      </c>
      <c r="Q128" s="69">
        <f t="shared" si="13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135"/>
    </row>
    <row r="129" spans="1:30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27"/>
        <v>81000</v>
      </c>
      <c r="O129" s="73">
        <f t="shared" si="27"/>
        <v>99880</v>
      </c>
      <c r="P129" s="74">
        <f t="shared" si="13"/>
        <v>27000</v>
      </c>
      <c r="Q129" s="74">
        <f t="shared" si="13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137"/>
    </row>
    <row r="130" spans="1:30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28">ROUND(SUM(H125:H129),5)</f>
        <v>172910</v>
      </c>
      <c r="I130" s="63">
        <f t="shared" si="28"/>
        <v>222395</v>
      </c>
      <c r="J130" s="64">
        <f t="shared" si="28"/>
        <v>180035</v>
      </c>
      <c r="K130" s="64">
        <f t="shared" si="28"/>
        <v>178545</v>
      </c>
      <c r="L130" s="65">
        <f t="shared" si="28"/>
        <v>189400</v>
      </c>
      <c r="M130" s="65">
        <f t="shared" si="28"/>
        <v>182490</v>
      </c>
      <c r="N130" s="66">
        <f t="shared" si="27"/>
        <v>542345</v>
      </c>
      <c r="O130" s="66">
        <f t="shared" si="27"/>
        <v>583430</v>
      </c>
      <c r="P130" s="69">
        <f t="shared" si="13"/>
        <v>180781.66666666666</v>
      </c>
      <c r="Q130" s="69">
        <f t="shared" si="13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>ROUND(SUM(AB125:AB129),5)</f>
        <v>0</v>
      </c>
      <c r="AC130" s="66">
        <f>ROUND(SUM(AC125:AC129),5)</f>
        <v>0</v>
      </c>
      <c r="AD130" s="135">
        <f>ROUND(SUM(AD125:AD129),5)</f>
        <v>0</v>
      </c>
    </row>
    <row r="131" spans="1:30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13"/>
        <v>0</v>
      </c>
      <c r="Q131" s="69">
        <f t="shared" si="13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135"/>
    </row>
    <row r="132" spans="1:30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29">ROUND(H132+J132+L132,5)</f>
        <v>59355</v>
      </c>
      <c r="O132" s="66">
        <f t="shared" si="29"/>
        <v>117110</v>
      </c>
      <c r="P132" s="69">
        <f t="shared" si="13"/>
        <v>19785</v>
      </c>
      <c r="Q132" s="69">
        <f t="shared" si="13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135"/>
    </row>
    <row r="133" spans="1:30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29"/>
        <v>22765</v>
      </c>
      <c r="O133" s="66">
        <f t="shared" si="29"/>
        <v>58385</v>
      </c>
      <c r="P133" s="69">
        <f t="shared" si="13"/>
        <v>7588.333333333333</v>
      </c>
      <c r="Q133" s="69">
        <f t="shared" si="13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135"/>
    </row>
    <row r="134" spans="1:30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29"/>
        <v>55100</v>
      </c>
      <c r="O134" s="73">
        <f t="shared" si="29"/>
        <v>63285</v>
      </c>
      <c r="P134" s="74">
        <f t="shared" si="13"/>
        <v>18366.666666666668</v>
      </c>
      <c r="Q134" s="74">
        <f t="shared" si="13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137"/>
    </row>
    <row r="135" spans="1:30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30">ROUND(SUM(H131:H134),5)</f>
        <v>47660</v>
      </c>
      <c r="I135" s="63">
        <f t="shared" si="30"/>
        <v>89480</v>
      </c>
      <c r="J135" s="64">
        <f t="shared" si="30"/>
        <v>50325</v>
      </c>
      <c r="K135" s="64">
        <f t="shared" si="30"/>
        <v>95015</v>
      </c>
      <c r="L135" s="65">
        <f t="shared" si="30"/>
        <v>39235</v>
      </c>
      <c r="M135" s="65">
        <f t="shared" si="30"/>
        <v>54285</v>
      </c>
      <c r="N135" s="66">
        <f t="shared" si="29"/>
        <v>137220</v>
      </c>
      <c r="O135" s="66">
        <f t="shared" si="29"/>
        <v>238780</v>
      </c>
      <c r="P135" s="69">
        <f t="shared" si="13"/>
        <v>45740</v>
      </c>
      <c r="Q135" s="69">
        <f t="shared" si="13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>ROUND(SUM(AB131:AB134),5)</f>
        <v>0</v>
      </c>
      <c r="AC135" s="66">
        <f>ROUND(SUM(AC131:AC134),5)</f>
        <v>0</v>
      </c>
      <c r="AD135" s="135">
        <f>ROUND(SUM(AD131:AD134),5)</f>
        <v>0</v>
      </c>
    </row>
    <row r="136" spans="1:30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13"/>
        <v>0</v>
      </c>
      <c r="Q136" s="69">
        <f t="shared" si="13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135"/>
    </row>
    <row r="137" spans="1:30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31">ROUND(H137+J137+L137,5)</f>
        <v>139495</v>
      </c>
      <c r="O137" s="66">
        <f t="shared" si="31"/>
        <v>160315</v>
      </c>
      <c r="P137" s="69">
        <f t="shared" si="13"/>
        <v>46498.333333333336</v>
      </c>
      <c r="Q137" s="69">
        <f t="shared" si="13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135"/>
    </row>
    <row r="138" spans="1:30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31"/>
        <v>11925</v>
      </c>
      <c r="O138" s="66">
        <f t="shared" si="31"/>
        <v>57525</v>
      </c>
      <c r="P138" s="69">
        <f t="shared" ref="P138:Q198" si="32">N138/3</f>
        <v>3975</v>
      </c>
      <c r="Q138" s="69">
        <f t="shared" si="32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135"/>
    </row>
    <row r="139" spans="1:30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31"/>
        <v>54560</v>
      </c>
      <c r="O139" s="66">
        <f t="shared" si="31"/>
        <v>80605</v>
      </c>
      <c r="P139" s="69">
        <f t="shared" si="32"/>
        <v>18186.666666666668</v>
      </c>
      <c r="Q139" s="69">
        <f t="shared" si="32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135"/>
    </row>
    <row r="140" spans="1:30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31"/>
        <v>35915</v>
      </c>
      <c r="O140" s="73">
        <f t="shared" si="31"/>
        <v>52710</v>
      </c>
      <c r="P140" s="74">
        <f t="shared" si="32"/>
        <v>11971.666666666666</v>
      </c>
      <c r="Q140" s="74">
        <f t="shared" si="32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137"/>
    </row>
    <row r="141" spans="1:30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33">ROUND(SUM(H136:H140),5)</f>
        <v>92055</v>
      </c>
      <c r="I141" s="63">
        <f t="shared" si="33"/>
        <v>121215</v>
      </c>
      <c r="J141" s="64">
        <f t="shared" si="33"/>
        <v>73370</v>
      </c>
      <c r="K141" s="64">
        <f t="shared" si="33"/>
        <v>124725</v>
      </c>
      <c r="L141" s="65">
        <f t="shared" si="33"/>
        <v>76470</v>
      </c>
      <c r="M141" s="65">
        <f t="shared" si="33"/>
        <v>105215</v>
      </c>
      <c r="N141" s="66">
        <f t="shared" si="31"/>
        <v>241895</v>
      </c>
      <c r="O141" s="66">
        <f t="shared" si="31"/>
        <v>351155</v>
      </c>
      <c r="P141" s="69">
        <f t="shared" si="32"/>
        <v>80631.666666666672</v>
      </c>
      <c r="Q141" s="69">
        <f t="shared" si="32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>ROUND(SUM(AB136:AB140),5)</f>
        <v>0</v>
      </c>
      <c r="AC141" s="66">
        <f>ROUND(SUM(AC136:AC140),5)</f>
        <v>0</v>
      </c>
      <c r="AD141" s="135">
        <f>ROUND(SUM(AD136:AD140),5)</f>
        <v>0</v>
      </c>
    </row>
    <row r="142" spans="1:30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32"/>
        <v>0</v>
      </c>
      <c r="Q142" s="69">
        <f t="shared" si="32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135"/>
    </row>
    <row r="143" spans="1:30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32"/>
        <v>-129721.66666666667</v>
      </c>
      <c r="Q143" s="74">
        <f t="shared" si="32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137">
        <v>-116261.69</v>
      </c>
    </row>
    <row r="144" spans="1:30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34">ROUND(SUM(H142:H143),5)</f>
        <v>-125650</v>
      </c>
      <c r="I144" s="63">
        <f t="shared" si="34"/>
        <v>-126150</v>
      </c>
      <c r="J144" s="64">
        <f t="shared" si="34"/>
        <v>-133460</v>
      </c>
      <c r="K144" s="64">
        <f t="shared" si="34"/>
        <v>-130115.02</v>
      </c>
      <c r="L144" s="65">
        <f t="shared" si="34"/>
        <v>-130055</v>
      </c>
      <c r="M144" s="65">
        <f t="shared" si="34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32"/>
        <v>-129721.66666666667</v>
      </c>
      <c r="Q144" s="69">
        <f t="shared" si="32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>ROUND(SUM(AB142:AB143),5)</f>
        <v>-116261.69</v>
      </c>
      <c r="AC144" s="66">
        <f>ROUND(SUM(AC142:AC143),5)</f>
        <v>-116261.69</v>
      </c>
      <c r="AD144" s="135">
        <f>ROUND(SUM(AD142:AD143),5)</f>
        <v>-116261.69</v>
      </c>
    </row>
    <row r="145" spans="1:32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32"/>
        <v>0</v>
      </c>
      <c r="Q145" s="69">
        <f t="shared" si="32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135"/>
      <c r="AF145" s="81"/>
    </row>
    <row r="146" spans="1:32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35">ROUND(H146+J146+L146,5)</f>
        <v>15355</v>
      </c>
      <c r="O146" s="66">
        <f t="shared" si="35"/>
        <v>40980</v>
      </c>
      <c r="P146" s="69">
        <f t="shared" si="32"/>
        <v>5118.333333333333</v>
      </c>
      <c r="Q146" s="69">
        <f t="shared" si="32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135"/>
    </row>
    <row r="147" spans="1:32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35"/>
        <v>11325</v>
      </c>
      <c r="O147" s="66">
        <f t="shared" si="35"/>
        <v>40155</v>
      </c>
      <c r="P147" s="69">
        <f t="shared" si="32"/>
        <v>3775</v>
      </c>
      <c r="Q147" s="69">
        <f t="shared" si="32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135"/>
    </row>
    <row r="148" spans="1:32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35"/>
        <v>13910</v>
      </c>
      <c r="O148" s="66">
        <f t="shared" si="35"/>
        <v>41310</v>
      </c>
      <c r="P148" s="69">
        <f t="shared" si="32"/>
        <v>4636.666666666667</v>
      </c>
      <c r="Q148" s="69">
        <f t="shared" si="32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135"/>
    </row>
    <row r="149" spans="1:32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35"/>
        <v>14095</v>
      </c>
      <c r="O149" s="66">
        <f t="shared" si="35"/>
        <v>40355</v>
      </c>
      <c r="P149" s="69">
        <f t="shared" si="32"/>
        <v>4698.333333333333</v>
      </c>
      <c r="Q149" s="69">
        <f t="shared" si="32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135"/>
    </row>
    <row r="150" spans="1:32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35"/>
        <v>25215</v>
      </c>
      <c r="O150" s="73">
        <f t="shared" si="35"/>
        <v>66355</v>
      </c>
      <c r="P150" s="74">
        <f t="shared" si="32"/>
        <v>8405</v>
      </c>
      <c r="Q150" s="74">
        <f t="shared" si="32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137"/>
    </row>
    <row r="151" spans="1:32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36">ROUND(SUM(H145:H150),5)</f>
        <v>28635</v>
      </c>
      <c r="I151" s="63">
        <f t="shared" si="36"/>
        <v>84725</v>
      </c>
      <c r="J151" s="64">
        <f t="shared" si="36"/>
        <v>25420</v>
      </c>
      <c r="K151" s="64">
        <f t="shared" si="36"/>
        <v>100435</v>
      </c>
      <c r="L151" s="65">
        <f t="shared" si="36"/>
        <v>25845</v>
      </c>
      <c r="M151" s="65">
        <f t="shared" si="36"/>
        <v>43995</v>
      </c>
      <c r="N151" s="66">
        <f t="shared" si="35"/>
        <v>79900</v>
      </c>
      <c r="O151" s="66">
        <f t="shared" si="35"/>
        <v>229155</v>
      </c>
      <c r="P151" s="69">
        <f t="shared" si="32"/>
        <v>26633.333333333332</v>
      </c>
      <c r="Q151" s="69">
        <f t="shared" si="32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>ROUND(SUM(AB145:AB150),5)</f>
        <v>0</v>
      </c>
      <c r="AC151" s="66">
        <f>ROUND(SUM(AC145:AC150),5)</f>
        <v>0</v>
      </c>
      <c r="AD151" s="135">
        <f>ROUND(SUM(AD145:AD150),5)</f>
        <v>0</v>
      </c>
    </row>
    <row r="152" spans="1:32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32"/>
        <v>0</v>
      </c>
      <c r="Q152" s="69">
        <f t="shared" si="32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135"/>
    </row>
    <row r="153" spans="1:32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37">ROUND(H153+J153+L153,5)</f>
        <v>158780</v>
      </c>
      <c r="O153" s="66">
        <f t="shared" si="37"/>
        <v>106120</v>
      </c>
      <c r="P153" s="69">
        <f t="shared" si="32"/>
        <v>52926.666666666664</v>
      </c>
      <c r="Q153" s="69">
        <f t="shared" si="32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135"/>
    </row>
    <row r="154" spans="1:32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37"/>
        <v>0</v>
      </c>
      <c r="O154" s="66">
        <f t="shared" si="37"/>
        <v>0</v>
      </c>
      <c r="P154" s="69">
        <f t="shared" si="32"/>
        <v>0</v>
      </c>
      <c r="Q154" s="69">
        <f t="shared" si="32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135"/>
    </row>
    <row r="155" spans="1:32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37"/>
        <v>20005</v>
      </c>
      <c r="O155" s="73">
        <f t="shared" si="37"/>
        <v>57720</v>
      </c>
      <c r="P155" s="74">
        <f t="shared" si="32"/>
        <v>6668.333333333333</v>
      </c>
      <c r="Q155" s="74">
        <f t="shared" si="32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137"/>
    </row>
    <row r="156" spans="1:32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38">ROUND(SUM(H152:H155),5)</f>
        <v>49410</v>
      </c>
      <c r="I156" s="63">
        <f t="shared" si="38"/>
        <v>53770</v>
      </c>
      <c r="J156" s="64">
        <f t="shared" si="38"/>
        <v>64775</v>
      </c>
      <c r="K156" s="64">
        <f t="shared" si="38"/>
        <v>53565</v>
      </c>
      <c r="L156" s="65">
        <f t="shared" si="38"/>
        <v>64600</v>
      </c>
      <c r="M156" s="65">
        <f t="shared" si="38"/>
        <v>56505</v>
      </c>
      <c r="N156" s="66">
        <f t="shared" si="37"/>
        <v>178785</v>
      </c>
      <c r="O156" s="66">
        <f t="shared" si="37"/>
        <v>163840</v>
      </c>
      <c r="P156" s="69">
        <f t="shared" si="32"/>
        <v>59595</v>
      </c>
      <c r="Q156" s="69">
        <f t="shared" si="32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>ROUND(SUM(AB152:AB155),5)</f>
        <v>0</v>
      </c>
      <c r="AC156" s="66">
        <f>ROUND(SUM(AC152:AC155),5)</f>
        <v>0</v>
      </c>
      <c r="AD156" s="135">
        <f>ROUND(SUM(AD152:AD155),5)</f>
        <v>0</v>
      </c>
    </row>
    <row r="157" spans="1:32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32"/>
        <v>0</v>
      </c>
      <c r="Q157" s="69">
        <f t="shared" si="32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135"/>
    </row>
    <row r="158" spans="1:32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32"/>
        <v>44666.666666666664</v>
      </c>
      <c r="Q158" s="74">
        <f t="shared" si="32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137"/>
    </row>
    <row r="159" spans="1:32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39">ROUND(SUM(H157:H158),5)</f>
        <v>40160</v>
      </c>
      <c r="I159" s="63">
        <f t="shared" si="39"/>
        <v>39540</v>
      </c>
      <c r="J159" s="64">
        <f t="shared" si="39"/>
        <v>42655</v>
      </c>
      <c r="K159" s="64">
        <f t="shared" si="39"/>
        <v>40060</v>
      </c>
      <c r="L159" s="65">
        <f t="shared" si="39"/>
        <v>51185</v>
      </c>
      <c r="M159" s="65">
        <f t="shared" si="39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32"/>
        <v>44666.666666666664</v>
      </c>
      <c r="Q159" s="69">
        <f t="shared" si="32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>ROUND(SUM(AB157:AB158),5)</f>
        <v>0</v>
      </c>
      <c r="AC159" s="66">
        <f>ROUND(SUM(AC157:AC158),5)</f>
        <v>0</v>
      </c>
      <c r="AD159" s="135">
        <f>ROUND(SUM(AD157:AD158),5)</f>
        <v>0</v>
      </c>
    </row>
    <row r="160" spans="1:32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32"/>
        <v>0</v>
      </c>
      <c r="Q160" s="69">
        <f t="shared" si="32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135"/>
    </row>
    <row r="161" spans="1:32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40">ROUND(H161+J161+L161,5)</f>
        <v>246750</v>
      </c>
      <c r="O161" s="66">
        <f t="shared" si="40"/>
        <v>185670</v>
      </c>
      <c r="P161" s="69">
        <f t="shared" si="32"/>
        <v>82250</v>
      </c>
      <c r="Q161" s="69">
        <f t="shared" si="32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135"/>
    </row>
    <row r="162" spans="1:32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40"/>
        <v>151865</v>
      </c>
      <c r="O162" s="66">
        <f t="shared" si="40"/>
        <v>108245</v>
      </c>
      <c r="P162" s="69">
        <f t="shared" si="32"/>
        <v>50621.666666666664</v>
      </c>
      <c r="Q162" s="69">
        <f t="shared" si="32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135"/>
    </row>
    <row r="163" spans="1:32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40"/>
        <v>110740</v>
      </c>
      <c r="O163" s="73">
        <f t="shared" si="40"/>
        <v>97550</v>
      </c>
      <c r="P163" s="74">
        <f t="shared" si="32"/>
        <v>36913.333333333336</v>
      </c>
      <c r="Q163" s="74">
        <f t="shared" si="32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137"/>
    </row>
    <row r="164" spans="1:32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41">ROUND(SUM(H160:H163),5)</f>
        <v>154940</v>
      </c>
      <c r="I164" s="63">
        <f t="shared" si="41"/>
        <v>123940</v>
      </c>
      <c r="J164" s="64">
        <f t="shared" si="41"/>
        <v>167910</v>
      </c>
      <c r="K164" s="64">
        <f t="shared" si="41"/>
        <v>108130</v>
      </c>
      <c r="L164" s="65">
        <f t="shared" si="41"/>
        <v>186505</v>
      </c>
      <c r="M164" s="65">
        <f t="shared" si="41"/>
        <v>159395</v>
      </c>
      <c r="N164" s="66">
        <f t="shared" si="40"/>
        <v>509355</v>
      </c>
      <c r="O164" s="66">
        <f t="shared" si="40"/>
        <v>391465</v>
      </c>
      <c r="P164" s="69">
        <f t="shared" si="32"/>
        <v>169785</v>
      </c>
      <c r="Q164" s="69">
        <f t="shared" si="32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>ROUND(SUM(AB160:AB163),5)</f>
        <v>0</v>
      </c>
      <c r="AC164" s="66">
        <f>ROUND(SUM(AC160:AC163),5)</f>
        <v>0</v>
      </c>
      <c r="AD164" s="135">
        <f>ROUND(SUM(AD160:AD163),5)</f>
        <v>0</v>
      </c>
    </row>
    <row r="165" spans="1:32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32"/>
        <v>0</v>
      </c>
      <c r="Q165" s="69">
        <f t="shared" si="32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135"/>
    </row>
    <row r="166" spans="1:32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42">ROUND(H166+J166+L166,5)</f>
        <v>223285</v>
      </c>
      <c r="O166" s="66">
        <f t="shared" si="42"/>
        <v>112600</v>
      </c>
      <c r="P166" s="69">
        <f t="shared" si="32"/>
        <v>74428.333333333328</v>
      </c>
      <c r="Q166" s="69">
        <f t="shared" si="32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135"/>
    </row>
    <row r="167" spans="1:32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42"/>
        <v>1035</v>
      </c>
      <c r="O167" s="73">
        <f t="shared" si="42"/>
        <v>10779.56</v>
      </c>
      <c r="P167" s="74">
        <f t="shared" si="32"/>
        <v>345</v>
      </c>
      <c r="Q167" s="74">
        <f t="shared" si="32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137"/>
    </row>
    <row r="168" spans="1:32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43">ROUND(SUM(H165:H167),5)</f>
        <v>66205</v>
      </c>
      <c r="I168" s="63">
        <f t="shared" si="43"/>
        <v>36000</v>
      </c>
      <c r="J168" s="64">
        <f t="shared" si="43"/>
        <v>76590</v>
      </c>
      <c r="K168" s="64">
        <f t="shared" si="43"/>
        <v>32349.56</v>
      </c>
      <c r="L168" s="65">
        <f t="shared" si="43"/>
        <v>81525</v>
      </c>
      <c r="M168" s="65">
        <f t="shared" si="43"/>
        <v>55030</v>
      </c>
      <c r="N168" s="66">
        <f t="shared" si="42"/>
        <v>224320</v>
      </c>
      <c r="O168" s="66">
        <f t="shared" si="42"/>
        <v>123379.56</v>
      </c>
      <c r="P168" s="69">
        <f t="shared" si="32"/>
        <v>74773.333333333328</v>
      </c>
      <c r="Q168" s="69">
        <f t="shared" si="32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>ROUND(SUM(AB165:AB167),5)</f>
        <v>0</v>
      </c>
      <c r="AC168" s="66">
        <f>ROUND(SUM(AC165:AC167),5)</f>
        <v>0</v>
      </c>
      <c r="AD168" s="135">
        <f>ROUND(SUM(AD165:AD167),5)</f>
        <v>0</v>
      </c>
    </row>
    <row r="169" spans="1:32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42"/>
        <v>0</v>
      </c>
      <c r="O169" s="73">
        <f t="shared" si="42"/>
        <v>0</v>
      </c>
      <c r="P169" s="74">
        <f t="shared" si="32"/>
        <v>0</v>
      </c>
      <c r="Q169" s="74">
        <f t="shared" si="32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137">
        <v>0</v>
      </c>
    </row>
    <row r="170" spans="1:32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44">ROUND(H117+H124+H130+H135+H141+H144+H151+H156+H159+H164+SUM(H168:H169),5)</f>
        <v>849140</v>
      </c>
      <c r="I170" s="63">
        <f t="shared" si="44"/>
        <v>925000</v>
      </c>
      <c r="J170" s="64">
        <f t="shared" si="44"/>
        <v>875015</v>
      </c>
      <c r="K170" s="64">
        <f t="shared" si="44"/>
        <v>833784.54</v>
      </c>
      <c r="L170" s="65">
        <f t="shared" si="44"/>
        <v>921335</v>
      </c>
      <c r="M170" s="65">
        <f t="shared" si="44"/>
        <v>890121</v>
      </c>
      <c r="N170" s="66">
        <f t="shared" si="42"/>
        <v>2645490</v>
      </c>
      <c r="O170" s="66">
        <f t="shared" si="42"/>
        <v>2648905.54</v>
      </c>
      <c r="P170" s="69">
        <f t="shared" si="32"/>
        <v>881830</v>
      </c>
      <c r="Q170" s="69">
        <f t="shared" si="32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>ROUND(AB117+AB124+AB130+AB135+AB141+AB144+AB151+AB156+AB159+AB164+SUM(AB168:AB169),5)</f>
        <v>927688.31</v>
      </c>
      <c r="AC170" s="80">
        <f>ROUND(AC117+AC124+AC130+AC135+AC141+AC144+AC151+AC156+AC159+AC164+SUM(AC168:AC169),5)</f>
        <v>927688.31</v>
      </c>
      <c r="AD170" s="80">
        <f>ROUND(AD117+AD124+AD130+AD135+AD141+AD144+AD151+AD156+AD159+AD164+SUM(AD168:AD169),5)</f>
        <v>927688.31</v>
      </c>
      <c r="AE170" s="144"/>
    </row>
    <row r="171" spans="1:32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32"/>
        <v>0</v>
      </c>
      <c r="Q171" s="69">
        <f t="shared" si="32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</row>
    <row r="172" spans="1:32" ht="43.5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45">ROUND(H172+J172+L172,5)</f>
        <v>322169.82</v>
      </c>
      <c r="O172" s="66">
        <f t="shared" si="45"/>
        <v>137000</v>
      </c>
      <c r="P172" s="69">
        <f t="shared" si="32"/>
        <v>107389.94</v>
      </c>
      <c r="Q172" s="69">
        <f t="shared" si="32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144"/>
      <c r="AF172" s="102" t="s">
        <v>881</v>
      </c>
    </row>
    <row r="173" spans="1:32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45"/>
        <v>242478.99</v>
      </c>
      <c r="O173" s="66">
        <f t="shared" si="45"/>
        <v>253000</v>
      </c>
      <c r="P173" s="69">
        <f>N173/3</f>
        <v>80826.33</v>
      </c>
      <c r="Q173" s="69">
        <f t="shared" si="32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>26750+29750+19500+10625</f>
        <v>86625</v>
      </c>
      <c r="AC173" s="66">
        <f>26750+29750+19500+10625</f>
        <v>86625</v>
      </c>
      <c r="AD173" s="66">
        <f>26750+29750+19500+10625</f>
        <v>86625</v>
      </c>
      <c r="AE173" s="144"/>
    </row>
    <row r="174" spans="1:32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45"/>
        <v>7072</v>
      </c>
      <c r="O174" s="66">
        <f t="shared" si="45"/>
        <v>8000</v>
      </c>
      <c r="P174" s="69">
        <f t="shared" si="32"/>
        <v>2357.3333333333335</v>
      </c>
      <c r="Q174" s="69">
        <f t="shared" si="32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</row>
    <row r="175" spans="1:32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45"/>
        <v>0</v>
      </c>
      <c r="O175" s="66">
        <f t="shared" si="45"/>
        <v>0</v>
      </c>
      <c r="P175" s="69">
        <f t="shared" si="32"/>
        <v>0</v>
      </c>
      <c r="Q175" s="69">
        <f t="shared" si="32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</row>
    <row r="176" spans="1:32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45"/>
        <v>11385</v>
      </c>
      <c r="O176" s="66">
        <f t="shared" si="45"/>
        <v>39800</v>
      </c>
      <c r="P176" s="69">
        <f t="shared" si="32"/>
        <v>3795</v>
      </c>
      <c r="Q176" s="69">
        <f t="shared" si="32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144"/>
      <c r="AF176" s="46" t="s">
        <v>895</v>
      </c>
    </row>
    <row r="177" spans="1:34" ht="26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45"/>
        <v>0</v>
      </c>
      <c r="O177" s="66">
        <f t="shared" si="45"/>
        <v>15000</v>
      </c>
      <c r="P177" s="69">
        <f t="shared" si="32"/>
        <v>0</v>
      </c>
      <c r="Q177" s="69">
        <f t="shared" si="32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F177" s="138" t="s">
        <v>897</v>
      </c>
      <c r="AG177" s="46">
        <v>1000</v>
      </c>
    </row>
    <row r="178" spans="1:34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45"/>
        <v>3000</v>
      </c>
      <c r="O178" s="66">
        <f t="shared" si="45"/>
        <v>11000</v>
      </c>
      <c r="P178" s="69">
        <f t="shared" si="32"/>
        <v>1000</v>
      </c>
      <c r="Q178" s="69">
        <f t="shared" si="32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G178" s="111">
        <v>265</v>
      </c>
    </row>
    <row r="179" spans="1:34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45"/>
        <v>56296.39</v>
      </c>
      <c r="O179" s="66">
        <f t="shared" si="45"/>
        <v>28065</v>
      </c>
      <c r="P179" s="69">
        <f t="shared" si="32"/>
        <v>18765.463333333333</v>
      </c>
      <c r="Q179" s="69">
        <f t="shared" si="32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144"/>
      <c r="AG179" s="111">
        <f>AG177*AG178</f>
        <v>265000</v>
      </c>
    </row>
    <row r="180" spans="1:34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45"/>
        <v>9375</v>
      </c>
      <c r="O180" s="66">
        <f t="shared" si="45"/>
        <v>18070</v>
      </c>
      <c r="P180" s="69">
        <f t="shared" si="32"/>
        <v>3125</v>
      </c>
      <c r="Q180" s="69">
        <f t="shared" si="32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144"/>
    </row>
    <row r="181" spans="1:34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45"/>
        <v>5322.15</v>
      </c>
      <c r="O181" s="66">
        <f t="shared" si="45"/>
        <v>4200</v>
      </c>
      <c r="P181" s="69">
        <f t="shared" si="32"/>
        <v>1774.05</v>
      </c>
      <c r="Q181" s="69">
        <f t="shared" si="32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144"/>
    </row>
    <row r="182" spans="1:34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46">ROUND(SUM(H171:H181),5)</f>
        <v>94478.28</v>
      </c>
      <c r="I182" s="83">
        <f t="shared" si="46"/>
        <v>186755</v>
      </c>
      <c r="J182" s="84">
        <f t="shared" si="46"/>
        <v>252523.42</v>
      </c>
      <c r="K182" s="84">
        <f t="shared" si="46"/>
        <v>146000</v>
      </c>
      <c r="L182" s="85">
        <f t="shared" si="46"/>
        <v>310097.65000000002</v>
      </c>
      <c r="M182" s="85">
        <f t="shared" si="46"/>
        <v>181380</v>
      </c>
      <c r="N182" s="86">
        <f t="shared" si="45"/>
        <v>657099.35</v>
      </c>
      <c r="O182" s="86">
        <f t="shared" si="45"/>
        <v>514135</v>
      </c>
      <c r="P182" s="87">
        <f t="shared" si="32"/>
        <v>219033.11666666667</v>
      </c>
      <c r="Q182" s="87">
        <f t="shared" si="32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>ROUND(SUM(AB171:AB181),5)</f>
        <v>385875</v>
      </c>
      <c r="AC182" s="88">
        <f>ROUND(SUM(AC171:AC181),5)</f>
        <v>385875</v>
      </c>
      <c r="AD182" s="88">
        <f>ROUND(SUM(AD171:AD181),5)</f>
        <v>385875</v>
      </c>
    </row>
    <row r="183" spans="1:34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47">ROUND(H7+H116+H170+H182,5)</f>
        <v>1704028.01</v>
      </c>
      <c r="I183" s="63">
        <f t="shared" si="47"/>
        <v>2024739</v>
      </c>
      <c r="J183" s="64">
        <f t="shared" si="47"/>
        <v>1983347.64</v>
      </c>
      <c r="K183" s="64">
        <f t="shared" si="47"/>
        <v>1884399.92</v>
      </c>
      <c r="L183" s="65">
        <f t="shared" si="47"/>
        <v>2267674.2599999998</v>
      </c>
      <c r="M183" s="65">
        <f t="shared" si="47"/>
        <v>1998330</v>
      </c>
      <c r="N183" s="66">
        <f t="shared" si="45"/>
        <v>5955049.9100000001</v>
      </c>
      <c r="O183" s="66">
        <f t="shared" si="45"/>
        <v>5907468.9199999999</v>
      </c>
      <c r="P183" s="69">
        <f t="shared" si="32"/>
        <v>1985016.6366666667</v>
      </c>
      <c r="Q183" s="69">
        <f t="shared" si="32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>ROUND(AB7+AB116+AB170+AB182,5)</f>
        <v>2274348.11</v>
      </c>
      <c r="AC183" s="66">
        <f>ROUND(AC7+AC116+AC170+AC182,5)</f>
        <v>2274348.11</v>
      </c>
      <c r="AD183" s="66">
        <f>ROUND(AD7+AD116+AD170+AD182,5)</f>
        <v>2339617.5099999998</v>
      </c>
    </row>
    <row r="184" spans="1:34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32"/>
        <v>0</v>
      </c>
      <c r="Q184" s="69">
        <f t="shared" si="32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</row>
    <row r="185" spans="1:34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48">ROUND(H185+J185+L185,5)</f>
        <v>465847.8</v>
      </c>
      <c r="O185" s="66">
        <f t="shared" si="48"/>
        <v>521768</v>
      </c>
      <c r="P185" s="69">
        <f t="shared" si="32"/>
        <v>155282.6</v>
      </c>
      <c r="Q185" s="69">
        <f t="shared" si="32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>ROUND(94796.75, 0)</f>
        <v>94797</v>
      </c>
      <c r="AC185" s="66">
        <f>ROUND(94796.75, 0)</f>
        <v>94797</v>
      </c>
      <c r="AD185" s="66">
        <f>ROUND(94796.75, 0)</f>
        <v>94797</v>
      </c>
      <c r="AE185" s="144"/>
      <c r="AF185" s="115" t="s">
        <v>900</v>
      </c>
    </row>
    <row r="186" spans="1:34" ht="26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48"/>
        <v>77592.62</v>
      </c>
      <c r="O186" s="66">
        <f t="shared" si="48"/>
        <v>92000</v>
      </c>
      <c r="P186" s="69">
        <f t="shared" si="32"/>
        <v>25864.206666666665</v>
      </c>
      <c r="Q186" s="69">
        <f t="shared" si="32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149">
        <v>15000</v>
      </c>
      <c r="AF186" s="138" t="s">
        <v>897</v>
      </c>
      <c r="AG186" s="111">
        <v>15000</v>
      </c>
      <c r="AH186" s="46" t="s">
        <v>899</v>
      </c>
    </row>
    <row r="187" spans="1:34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48"/>
        <v>15133.13</v>
      </c>
      <c r="O187" s="66">
        <f t="shared" si="48"/>
        <v>61000</v>
      </c>
      <c r="P187" s="69">
        <f t="shared" si="32"/>
        <v>5044.3766666666661</v>
      </c>
      <c r="Q187" s="69">
        <f t="shared" si="32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144"/>
    </row>
    <row r="188" spans="1:34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49">ROUND(SUM(H184:H187),5)</f>
        <v>213369.38</v>
      </c>
      <c r="I188" s="75">
        <f t="shared" si="49"/>
        <v>213000</v>
      </c>
      <c r="J188" s="76">
        <f t="shared" si="49"/>
        <v>193755.57</v>
      </c>
      <c r="K188" s="76">
        <f t="shared" si="49"/>
        <v>240000</v>
      </c>
      <c r="L188" s="77">
        <f t="shared" si="49"/>
        <v>151448.6</v>
      </c>
      <c r="M188" s="77">
        <f t="shared" si="49"/>
        <v>221768</v>
      </c>
      <c r="N188" s="78">
        <f t="shared" si="48"/>
        <v>558573.55000000005</v>
      </c>
      <c r="O188" s="78">
        <f t="shared" si="48"/>
        <v>674768</v>
      </c>
      <c r="P188" s="79">
        <f t="shared" si="32"/>
        <v>186191.18333333335</v>
      </c>
      <c r="Q188" s="79">
        <f t="shared" si="32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>ROUND(SUM(AB184:AB187),5)</f>
        <v>124797</v>
      </c>
      <c r="AC188" s="80">
        <f>ROUND(SUM(AC184:AC187),5)</f>
        <v>124797</v>
      </c>
      <c r="AD188" s="80">
        <f>ROUND(SUM(AD184:AD187),5)</f>
        <v>124797</v>
      </c>
      <c r="AF188"/>
    </row>
    <row r="189" spans="1:34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32"/>
        <v>0</v>
      </c>
      <c r="Q189" s="69">
        <f t="shared" si="32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</row>
    <row r="190" spans="1:34" ht="26.5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32"/>
        <v>96804.536666666667</v>
      </c>
      <c r="Q190" s="74">
        <f t="shared" si="32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149">
        <v>90000</v>
      </c>
      <c r="AF190" s="138" t="s">
        <v>897</v>
      </c>
    </row>
    <row r="191" spans="1:34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50">ROUND(SUM(H189:H190),5)</f>
        <v>61772.91</v>
      </c>
      <c r="I191" s="63">
        <f t="shared" si="50"/>
        <v>30000</v>
      </c>
      <c r="J191" s="64">
        <f t="shared" si="50"/>
        <v>114884.79</v>
      </c>
      <c r="K191" s="64">
        <f t="shared" si="50"/>
        <v>60000</v>
      </c>
      <c r="L191" s="65">
        <f t="shared" si="50"/>
        <v>113755.91</v>
      </c>
      <c r="M191" s="65">
        <f t="shared" si="50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32"/>
        <v>96804.536666666667</v>
      </c>
      <c r="Q191" s="69">
        <f t="shared" si="32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>ROUND(SUM(AB189:AB190),5)</f>
        <v>100000</v>
      </c>
      <c r="AC191" s="80">
        <f>ROUND(SUM(AC189:AC190),5)</f>
        <v>100000</v>
      </c>
      <c r="AD191" s="80">
        <f>ROUND(SUM(AD189:AD190),5)</f>
        <v>100000</v>
      </c>
    </row>
    <row r="192" spans="1:34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</row>
    <row r="193" spans="1:32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51">ROUND(H193+J193+L193,5)</f>
        <v>333403.68</v>
      </c>
      <c r="O193" s="66">
        <f t="shared" si="51"/>
        <v>338929</v>
      </c>
      <c r="P193" s="69">
        <f t="shared" si="32"/>
        <v>111134.56</v>
      </c>
      <c r="Q193" s="69">
        <f t="shared" si="32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>ROUND(142010.17, 0)</f>
        <v>142010</v>
      </c>
      <c r="AC193" s="66">
        <f>ROUND(142010.17, 0)</f>
        <v>142010</v>
      </c>
      <c r="AD193" s="66">
        <f>ROUND(142010.17, 0)</f>
        <v>142010</v>
      </c>
    </row>
    <row r="194" spans="1:32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51"/>
        <v>694468.19</v>
      </c>
      <c r="O194" s="66">
        <f t="shared" si="51"/>
        <v>750379</v>
      </c>
      <c r="P194" s="69">
        <f t="shared" si="32"/>
        <v>231489.39666666664</v>
      </c>
      <c r="Q194" s="69">
        <f t="shared" si="32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</row>
    <row r="195" spans="1:32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51"/>
        <v>76944.899999999994</v>
      </c>
      <c r="O195" s="66">
        <f t="shared" si="51"/>
        <v>54756</v>
      </c>
      <c r="P195" s="69">
        <f t="shared" si="32"/>
        <v>25648.3</v>
      </c>
      <c r="Q195" s="69">
        <f t="shared" si="32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>(88*12)*25</f>
        <v>26400</v>
      </c>
      <c r="AC195" s="66">
        <f>(88*12)*25</f>
        <v>26400</v>
      </c>
      <c r="AD195" s="66">
        <f>(88*12)*25</f>
        <v>26400</v>
      </c>
      <c r="AF195" s="46" t="s">
        <v>849</v>
      </c>
    </row>
    <row r="196" spans="1:32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51"/>
        <v>582630.68999999994</v>
      </c>
      <c r="O196" s="66">
        <f t="shared" si="51"/>
        <v>470773.25</v>
      </c>
      <c r="P196" s="69">
        <f t="shared" si="32"/>
        <v>194210.22999999998</v>
      </c>
      <c r="Q196" s="69">
        <f t="shared" si="32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F196" s="110" t="s">
        <v>850</v>
      </c>
    </row>
    <row r="197" spans="1:32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51"/>
        <v>3315663.86</v>
      </c>
      <c r="O197" s="66">
        <f t="shared" si="51"/>
        <v>3738792</v>
      </c>
      <c r="P197" s="69">
        <f t="shared" si="32"/>
        <v>1105221.2866666666</v>
      </c>
      <c r="Q197" s="69">
        <f t="shared" si="32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</row>
    <row r="198" spans="1:32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52">ROUND(SUM(H192:H197),5)</f>
        <v>1617990.72</v>
      </c>
      <c r="I198" s="75">
        <f t="shared" si="52"/>
        <v>1764843.75</v>
      </c>
      <c r="J198" s="76">
        <f t="shared" si="52"/>
        <v>1649149.39</v>
      </c>
      <c r="K198" s="76">
        <f t="shared" si="52"/>
        <v>1716700</v>
      </c>
      <c r="L198" s="77">
        <f t="shared" si="52"/>
        <v>1735971.21</v>
      </c>
      <c r="M198" s="77">
        <f t="shared" si="52"/>
        <v>1872085.5</v>
      </c>
      <c r="N198" s="78">
        <f t="shared" si="51"/>
        <v>5003111.32</v>
      </c>
      <c r="O198" s="78">
        <f t="shared" si="51"/>
        <v>5353629.25</v>
      </c>
      <c r="P198" s="79">
        <f t="shared" si="32"/>
        <v>1667703.7733333334</v>
      </c>
      <c r="Q198" s="79">
        <f t="shared" si="32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>ROUND(SUM(AB192:AB197),5)</f>
        <v>1916936</v>
      </c>
      <c r="AC198" s="80">
        <f>ROUND(SUM(AC192:AC197),5)</f>
        <v>1916936</v>
      </c>
      <c r="AD198" s="80">
        <f>ROUND(SUM(AD192:AD197),5)</f>
        <v>1916936</v>
      </c>
      <c r="AF198" s="81">
        <f>Z198-AB198</f>
        <v>21289</v>
      </c>
    </row>
    <row r="199" spans="1:32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</row>
    <row r="200" spans="1:32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53">N200/3</f>
        <v>5375.666666666667</v>
      </c>
      <c r="Q200" s="74">
        <f t="shared" si="53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F200" s="111">
        <f>AB196+AB197</f>
        <v>1449526</v>
      </c>
    </row>
    <row r="201" spans="1:32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54">ROUND(SUM(H199:H200),5)</f>
        <v>5928</v>
      </c>
      <c r="I201" s="63">
        <f t="shared" si="54"/>
        <v>6321</v>
      </c>
      <c r="J201" s="64">
        <f t="shared" si="54"/>
        <v>4164</v>
      </c>
      <c r="K201" s="64">
        <f t="shared" si="54"/>
        <v>7265</v>
      </c>
      <c r="L201" s="65">
        <f t="shared" si="54"/>
        <v>6035</v>
      </c>
      <c r="M201" s="65">
        <f t="shared" si="54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53"/>
        <v>5375.666666666667</v>
      </c>
      <c r="Q201" s="69">
        <f t="shared" si="53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>ROUND(SUM(AB199:AB200),5)</f>
        <v>6980</v>
      </c>
      <c r="AC201" s="80">
        <f>ROUND(SUM(AC199:AC200),5)</f>
        <v>6980</v>
      </c>
      <c r="AD201" s="80">
        <f>ROUND(SUM(AD199:AD200),5)</f>
        <v>6980</v>
      </c>
      <c r="AF201" s="111">
        <f>AF200*0.86</f>
        <v>1246592.3599999999</v>
      </c>
    </row>
    <row r="202" spans="1:32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</row>
    <row r="203" spans="1:32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53"/>
        <v>4066.6533333333332</v>
      </c>
      <c r="Q203" s="69">
        <f t="shared" si="53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</row>
    <row r="204" spans="1:32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53"/>
        <v>666.66666666666663</v>
      </c>
      <c r="Q204" s="69">
        <f t="shared" si="53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</row>
    <row r="205" spans="1:32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53"/>
        <v>330</v>
      </c>
      <c r="Q205" s="69">
        <f t="shared" si="53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</row>
    <row r="206" spans="1:32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53"/>
        <v>11731.87</v>
      </c>
      <c r="Q206" s="69">
        <f t="shared" si="53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</row>
    <row r="207" spans="1:32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55">ROUND(SUM(H202:H206),5)</f>
        <v>22749.62</v>
      </c>
      <c r="I207" s="75">
        <f t="shared" si="55"/>
        <v>7950</v>
      </c>
      <c r="J207" s="76">
        <f t="shared" si="55"/>
        <v>10219.52</v>
      </c>
      <c r="K207" s="76">
        <f t="shared" si="55"/>
        <v>2840</v>
      </c>
      <c r="L207" s="77">
        <f t="shared" si="55"/>
        <v>17416.43</v>
      </c>
      <c r="M207" s="77">
        <f t="shared" si="5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53"/>
        <v>16795.189999999999</v>
      </c>
      <c r="Q207" s="79">
        <f t="shared" si="53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>ROUND(SUM(AB202:AB206),5)</f>
        <v>12610</v>
      </c>
      <c r="AC207" s="80">
        <f>ROUND(SUM(AC202:AC206),5)</f>
        <v>12610</v>
      </c>
      <c r="AD207" s="80">
        <f>ROUND(SUM(AD202:AD206),5)</f>
        <v>12610</v>
      </c>
    </row>
    <row r="208" spans="1:32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</row>
    <row r="209" spans="1:32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</row>
    <row r="210" spans="1:32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53"/>
        <v>4434.333333333333</v>
      </c>
      <c r="Q210" s="69">
        <f t="shared" si="53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F210" s="46" t="s">
        <v>901</v>
      </c>
    </row>
    <row r="211" spans="1:32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53"/>
        <v>78916.666666666672</v>
      </c>
      <c r="Q211" s="69">
        <f t="shared" si="53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F211" s="46" t="s">
        <v>854</v>
      </c>
    </row>
    <row r="212" spans="1:32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53"/>
        <v>1180</v>
      </c>
      <c r="Q212" s="69">
        <f t="shared" si="53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</row>
    <row r="213" spans="1:32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53"/>
        <v>725696</v>
      </c>
      <c r="Q213" s="69">
        <f t="shared" si="53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F213" s="46" t="s">
        <v>853</v>
      </c>
    </row>
    <row r="214" spans="1:32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53"/>
        <v>114800</v>
      </c>
      <c r="Q214" s="69">
        <f t="shared" si="53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F214" s="46" t="s">
        <v>855</v>
      </c>
    </row>
    <row r="215" spans="1:32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56">ROUND(SUM(H209:H214),5)</f>
        <v>884166</v>
      </c>
      <c r="I215" s="75">
        <f t="shared" si="56"/>
        <v>788300</v>
      </c>
      <c r="J215" s="76">
        <f t="shared" si="56"/>
        <v>968225</v>
      </c>
      <c r="K215" s="76">
        <f t="shared" si="56"/>
        <v>966375</v>
      </c>
      <c r="L215" s="77">
        <f t="shared" si="56"/>
        <v>922690</v>
      </c>
      <c r="M215" s="77">
        <f t="shared" si="56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53"/>
        <v>925027</v>
      </c>
      <c r="Q215" s="79">
        <f t="shared" si="53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>ROUND(SUM(AB209:AB214),5)</f>
        <v>876000</v>
      </c>
      <c r="AC215" s="80">
        <f>ROUND(SUM(AC209:AC214),5)</f>
        <v>876000</v>
      </c>
      <c r="AD215" s="80">
        <f>ROUND(SUM(AD209:AD214),5)</f>
        <v>876000</v>
      </c>
      <c r="AF215" s="127">
        <f>AB215-AB423</f>
        <v>-28046</v>
      </c>
    </row>
    <row r="216" spans="1:32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F216" s="128" t="s">
        <v>892</v>
      </c>
    </row>
    <row r="217" spans="1:32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53"/>
        <v>4578.333333333333</v>
      </c>
      <c r="Q217" s="69">
        <f t="shared" si="53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</row>
    <row r="218" spans="1:32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53"/>
        <v>4578.333333333333</v>
      </c>
      <c r="Q218" s="79">
        <f t="shared" si="53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</row>
    <row r="219" spans="1:32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57">ROUND(H208+H215+H218,5)</f>
        <v>884166</v>
      </c>
      <c r="I219" s="83">
        <f t="shared" si="57"/>
        <v>788300</v>
      </c>
      <c r="J219" s="84">
        <f t="shared" si="57"/>
        <v>981960</v>
      </c>
      <c r="K219" s="84">
        <f t="shared" si="57"/>
        <v>966375</v>
      </c>
      <c r="L219" s="85">
        <f t="shared" si="57"/>
        <v>922690</v>
      </c>
      <c r="M219" s="85">
        <f t="shared" si="57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53"/>
        <v>929605.33333333337</v>
      </c>
      <c r="Q219" s="87">
        <f t="shared" si="53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>ROUND(AB208+AB215+AB218,5)</f>
        <v>876000</v>
      </c>
      <c r="AC219" s="88">
        <f>ROUND(AC208+AC215+AC218,5)</f>
        <v>876000</v>
      </c>
      <c r="AD219" s="88">
        <f>ROUND(AD208+AD215+AD218,5)</f>
        <v>876000</v>
      </c>
    </row>
    <row r="220" spans="1:32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58">ROUND(H6+H183+H188+H191+H198+H201+H207+H219,5)</f>
        <v>4510004.6399999997</v>
      </c>
      <c r="I220" s="63">
        <f t="shared" si="58"/>
        <v>4835153.75</v>
      </c>
      <c r="J220" s="64">
        <f t="shared" si="58"/>
        <v>4937480.91</v>
      </c>
      <c r="K220" s="64">
        <f t="shared" si="58"/>
        <v>4877579.92</v>
      </c>
      <c r="L220" s="65">
        <f t="shared" si="58"/>
        <v>5214991.41</v>
      </c>
      <c r="M220" s="65">
        <f t="shared" si="58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53"/>
        <v>4887492.32</v>
      </c>
      <c r="Q220" s="69">
        <f t="shared" si="53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>ROUND(AB6+AB183+AB188+AB191+AB198+AB201+AB207+AB219,5)</f>
        <v>5311671.1100000003</v>
      </c>
      <c r="AC220" s="66">
        <f>ROUND(AC6+AC183+AC188+AC191+AC198+AC201+AC207+AC219,5)</f>
        <v>5311671.1100000003</v>
      </c>
      <c r="AD220" s="66">
        <f>ROUND(AD6+AD183+AD188+AD191+AD198+AD201+AD207+AD219,5)</f>
        <v>5376940.5099999998</v>
      </c>
      <c r="AF220" s="111">
        <f>AB220-Z220</f>
        <v>35303.919999999925</v>
      </c>
    </row>
    <row r="221" spans="1:32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</row>
    <row r="222" spans="1:32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</row>
    <row r="223" spans="1:32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59">ROUND(H223+J223+L223,5)</f>
        <v>14645.71</v>
      </c>
      <c r="O223" s="66">
        <f t="shared" si="59"/>
        <v>15644.98</v>
      </c>
      <c r="P223" s="69">
        <f t="shared" si="53"/>
        <v>4881.9033333333327</v>
      </c>
      <c r="Q223" s="69">
        <f t="shared" si="53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>ROUND(5691.67, 0)</f>
        <v>5692</v>
      </c>
      <c r="AC223" s="66">
        <f>ROUND(5691.67, 0)</f>
        <v>5692</v>
      </c>
      <c r="AD223" s="66">
        <f>ROUND(5691.67, 0)</f>
        <v>5692</v>
      </c>
    </row>
    <row r="224" spans="1:32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59"/>
        <v>3195.19</v>
      </c>
      <c r="O224" s="66">
        <f t="shared" si="59"/>
        <v>7437.44</v>
      </c>
      <c r="P224" s="69">
        <f t="shared" si="53"/>
        <v>1065.0633333333333</v>
      </c>
      <c r="Q224" s="69">
        <f t="shared" si="53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</row>
    <row r="225" spans="1:32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60">ROUND(SUM(H222:H224),5)</f>
        <v>5911.22</v>
      </c>
      <c r="I225" s="75">
        <f t="shared" si="60"/>
        <v>5833.45</v>
      </c>
      <c r="J225" s="76">
        <f t="shared" si="60"/>
        <v>5605.52</v>
      </c>
      <c r="K225" s="76">
        <f t="shared" si="60"/>
        <v>5849.17</v>
      </c>
      <c r="L225" s="77">
        <f t="shared" si="60"/>
        <v>6324.16</v>
      </c>
      <c r="M225" s="77">
        <f t="shared" si="60"/>
        <v>11399.8</v>
      </c>
      <c r="N225" s="78">
        <f t="shared" si="59"/>
        <v>17840.900000000001</v>
      </c>
      <c r="O225" s="78">
        <f t="shared" si="59"/>
        <v>23082.42</v>
      </c>
      <c r="P225" s="79">
        <f t="shared" si="53"/>
        <v>5946.9666666666672</v>
      </c>
      <c r="Q225" s="79">
        <f t="shared" si="53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>ROUND(SUM(AB222:AB224),5)</f>
        <v>9040</v>
      </c>
      <c r="AC225" s="80">
        <f>ROUND(SUM(AC222:AC224),5)</f>
        <v>9040</v>
      </c>
      <c r="AD225" s="80">
        <f>ROUND(SUM(AD222:AD224),5)</f>
        <v>9040</v>
      </c>
    </row>
    <row r="226" spans="1:32" ht="26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F226" s="138" t="s">
        <v>897</v>
      </c>
    </row>
    <row r="227" spans="1:32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</row>
    <row r="228" spans="1:32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53"/>
        <v>621.57000000000005</v>
      </c>
      <c r="Q228" s="69">
        <f t="shared" si="53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</row>
    <row r="229" spans="1:32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53"/>
        <v>0</v>
      </c>
      <c r="Q229" s="69">
        <f t="shared" si="53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</row>
    <row r="230" spans="1:32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61">ROUND(H230+J230+L230,5)</f>
        <v>160678.19</v>
      </c>
      <c r="O230" s="66">
        <f t="shared" si="61"/>
        <v>76847.710000000006</v>
      </c>
      <c r="P230" s="69">
        <f t="shared" si="53"/>
        <v>53559.396666666667</v>
      </c>
      <c r="Q230" s="69">
        <f t="shared" si="53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</row>
    <row r="231" spans="1:32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61"/>
        <v>4393.6000000000004</v>
      </c>
      <c r="O231" s="66">
        <f t="shared" si="61"/>
        <v>3748.32</v>
      </c>
      <c r="P231" s="69">
        <f t="shared" si="53"/>
        <v>1464.5333333333335</v>
      </c>
      <c r="Q231" s="69">
        <f t="shared" si="53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</row>
    <row r="232" spans="1:32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61"/>
        <v>3931.71</v>
      </c>
      <c r="O232" s="66">
        <f t="shared" si="61"/>
        <v>1056.04</v>
      </c>
      <c r="P232" s="69">
        <f t="shared" si="53"/>
        <v>1310.57</v>
      </c>
      <c r="Q232" s="69">
        <f t="shared" si="53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</row>
    <row r="233" spans="1:32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61"/>
        <v>1953.44</v>
      </c>
      <c r="O233" s="73">
        <f t="shared" si="61"/>
        <v>100</v>
      </c>
      <c r="P233" s="74">
        <f t="shared" si="53"/>
        <v>651.14666666666665</v>
      </c>
      <c r="Q233" s="74">
        <f t="shared" si="53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</row>
    <row r="234" spans="1:32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62">ROUND(SUM(H229:H233),5)</f>
        <v>66004.350000000006</v>
      </c>
      <c r="I234" s="63">
        <f t="shared" si="62"/>
        <v>0</v>
      </c>
      <c r="J234" s="64">
        <f t="shared" si="62"/>
        <v>53975.49</v>
      </c>
      <c r="K234" s="64">
        <f t="shared" si="62"/>
        <v>13281.84</v>
      </c>
      <c r="L234" s="65">
        <f t="shared" si="62"/>
        <v>50977.1</v>
      </c>
      <c r="M234" s="65">
        <f t="shared" si="62"/>
        <v>68470.23</v>
      </c>
      <c r="N234" s="66">
        <f t="shared" si="61"/>
        <v>170956.94</v>
      </c>
      <c r="O234" s="66">
        <f t="shared" si="61"/>
        <v>81752.070000000007</v>
      </c>
      <c r="P234" s="69">
        <f t="shared" si="53"/>
        <v>56985.646666666667</v>
      </c>
      <c r="Q234" s="69">
        <f t="shared" si="53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>ROUND(SUM(AB229:AB233),5)</f>
        <v>0</v>
      </c>
      <c r="AC234" s="66">
        <f>ROUND(SUM(AC229:AC233),5)</f>
        <v>0</v>
      </c>
      <c r="AD234" s="66">
        <f>ROUND(SUM(AD229:AD233),5)</f>
        <v>0</v>
      </c>
    </row>
    <row r="235" spans="1:32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</row>
    <row r="236" spans="1:32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63">ROUND(H236+J236+L236,5)</f>
        <v>10300.370000000001</v>
      </c>
      <c r="O236" s="66">
        <f t="shared" si="63"/>
        <v>7978.18</v>
      </c>
      <c r="P236" s="69">
        <f t="shared" si="53"/>
        <v>3433.4566666666669</v>
      </c>
      <c r="Q236" s="69">
        <f t="shared" si="53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</row>
    <row r="237" spans="1:32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63"/>
        <v>265.04000000000002</v>
      </c>
      <c r="O237" s="66">
        <f t="shared" si="63"/>
        <v>2079.58</v>
      </c>
      <c r="P237" s="69">
        <f t="shared" si="53"/>
        <v>88.346666666666678</v>
      </c>
      <c r="Q237" s="69">
        <f t="shared" si="53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</row>
    <row r="238" spans="1:32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63"/>
        <v>291.58999999999997</v>
      </c>
      <c r="O238" s="66">
        <f t="shared" si="63"/>
        <v>6330.08</v>
      </c>
      <c r="P238" s="69">
        <f t="shared" si="53"/>
        <v>97.196666666666658</v>
      </c>
      <c r="Q238" s="69">
        <f t="shared" si="53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</row>
    <row r="239" spans="1:32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63"/>
        <v>1002.62</v>
      </c>
      <c r="O239" s="66">
        <f t="shared" si="63"/>
        <v>3299.3</v>
      </c>
      <c r="P239" s="69">
        <f t="shared" si="53"/>
        <v>334.20666666666665</v>
      </c>
      <c r="Q239" s="69">
        <f t="shared" si="53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</row>
    <row r="240" spans="1:32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63"/>
        <v>384.28</v>
      </c>
      <c r="O240" s="66">
        <f t="shared" si="63"/>
        <v>0</v>
      </c>
      <c r="P240" s="69">
        <f t="shared" si="53"/>
        <v>128.09333333333333</v>
      </c>
      <c r="Q240" s="69">
        <f t="shared" si="53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</row>
    <row r="241" spans="1:30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63"/>
        <v>1703.01</v>
      </c>
      <c r="O241" s="66">
        <f t="shared" si="63"/>
        <v>6458.46</v>
      </c>
      <c r="P241" s="69">
        <f t="shared" si="53"/>
        <v>567.66999999999996</v>
      </c>
      <c r="Q241" s="69">
        <f t="shared" si="53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</row>
    <row r="242" spans="1:30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63"/>
        <v>844.98</v>
      </c>
      <c r="O242" s="66">
        <f t="shared" si="63"/>
        <v>4878.88</v>
      </c>
      <c r="P242" s="69">
        <f t="shared" si="53"/>
        <v>281.66000000000003</v>
      </c>
      <c r="Q242" s="69">
        <f t="shared" si="53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</row>
    <row r="243" spans="1:30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63"/>
        <v>952.7</v>
      </c>
      <c r="O243" s="66">
        <f t="shared" si="63"/>
        <v>759.86</v>
      </c>
      <c r="P243" s="69">
        <f t="shared" si="53"/>
        <v>317.56666666666666</v>
      </c>
      <c r="Q243" s="69">
        <f t="shared" si="53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</row>
    <row r="244" spans="1:30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63"/>
        <v>-279.7</v>
      </c>
      <c r="O244" s="66">
        <v>0</v>
      </c>
      <c r="P244" s="69">
        <f t="shared" si="53"/>
        <v>-93.233333333333334</v>
      </c>
      <c r="Q244" s="69">
        <f t="shared" si="53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</row>
    <row r="245" spans="1:30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63"/>
        <v>2068.73</v>
      </c>
      <c r="O245" s="66">
        <f>ROUND(I245+K245+M245,5)</f>
        <v>600</v>
      </c>
      <c r="P245" s="69">
        <f t="shared" si="53"/>
        <v>689.57666666666671</v>
      </c>
      <c r="Q245" s="69">
        <f t="shared" si="53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</row>
    <row r="246" spans="1:30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63"/>
        <v>126.77</v>
      </c>
      <c r="O246" s="66">
        <f>ROUND(I246+K246+M246,5)</f>
        <v>100</v>
      </c>
      <c r="P246" s="69">
        <f t="shared" si="53"/>
        <v>42.256666666666668</v>
      </c>
      <c r="Q246" s="69">
        <f t="shared" si="53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</row>
    <row r="247" spans="1:30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63"/>
        <v>4683.93</v>
      </c>
      <c r="O247" s="66">
        <f>ROUND(I247+K247+M247,5)</f>
        <v>7118.32</v>
      </c>
      <c r="P247" s="69">
        <f t="shared" si="53"/>
        <v>1561.3100000000002</v>
      </c>
      <c r="Q247" s="69">
        <f t="shared" si="53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</row>
    <row r="248" spans="1:30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63"/>
        <v>2913.09</v>
      </c>
      <c r="O248" s="66">
        <f>ROUND(I248+K248+M248,5)</f>
        <v>4719.0200000000004</v>
      </c>
      <c r="P248" s="69">
        <f t="shared" si="53"/>
        <v>971.03000000000009</v>
      </c>
      <c r="Q248" s="69">
        <f t="shared" si="53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</row>
    <row r="249" spans="1:30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63"/>
        <v>4608.63</v>
      </c>
      <c r="O249" s="66">
        <f>ROUND(I249+K249+M249,5)</f>
        <v>1619.72</v>
      </c>
      <c r="P249" s="69">
        <f t="shared" si="53"/>
        <v>1536.21</v>
      </c>
      <c r="Q249" s="69">
        <f t="shared" si="53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</row>
    <row r="250" spans="1:30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63"/>
        <v>78.989999999999995</v>
      </c>
      <c r="O250" s="66">
        <v>0</v>
      </c>
      <c r="P250" s="69">
        <f t="shared" si="53"/>
        <v>26.33</v>
      </c>
      <c r="Q250" s="69">
        <f t="shared" si="53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</row>
    <row r="251" spans="1:30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63"/>
        <v>0</v>
      </c>
      <c r="O251" s="66">
        <f>ROUND(I251+K251+M251,5)</f>
        <v>1219.72</v>
      </c>
      <c r="P251" s="69">
        <f t="shared" si="53"/>
        <v>0</v>
      </c>
      <c r="Q251" s="69">
        <f t="shared" si="53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</row>
    <row r="252" spans="1:30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64">ROUND(H252+J252+L252,5)</f>
        <v>469.32</v>
      </c>
      <c r="O252" s="66">
        <f>ROUND(I252+K252+M252,5)</f>
        <v>356.04</v>
      </c>
      <c r="P252" s="69">
        <f t="shared" si="53"/>
        <v>156.44</v>
      </c>
      <c r="Q252" s="69">
        <f t="shared" si="53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</row>
    <row r="253" spans="1:30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64"/>
        <v>0</v>
      </c>
      <c r="O253" s="66">
        <f>ROUND(I253+K253+M253,5)</f>
        <v>1524.16</v>
      </c>
      <c r="P253" s="69">
        <f t="shared" si="53"/>
        <v>0</v>
      </c>
      <c r="Q253" s="69">
        <f t="shared" si="53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</row>
    <row r="254" spans="1:30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64"/>
        <v>295.95</v>
      </c>
      <c r="O254" s="66">
        <v>0</v>
      </c>
      <c r="P254" s="69">
        <f t="shared" si="53"/>
        <v>98.649999999999991</v>
      </c>
      <c r="Q254" s="69">
        <f t="shared" si="53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</row>
    <row r="255" spans="1:30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64"/>
        <v>0</v>
      </c>
      <c r="O255" s="66">
        <f>ROUND(I255+K255+M255,5)</f>
        <v>0</v>
      </c>
      <c r="P255" s="69">
        <f t="shared" si="53"/>
        <v>0</v>
      </c>
      <c r="Q255" s="69">
        <f t="shared" si="53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</row>
    <row r="256" spans="1:30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64"/>
        <v>0</v>
      </c>
      <c r="O256" s="73">
        <f>ROUND(I256+K256+M256,5)</f>
        <v>0</v>
      </c>
      <c r="P256" s="74">
        <f t="shared" si="53"/>
        <v>0</v>
      </c>
      <c r="Q256" s="74">
        <f t="shared" si="53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</row>
    <row r="257" spans="1:30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65">ROUND(SUM(H235:H256),5)</f>
        <v>9952.77</v>
      </c>
      <c r="I257" s="63">
        <f t="shared" si="65"/>
        <v>0</v>
      </c>
      <c r="J257" s="64">
        <f t="shared" si="65"/>
        <v>12257.65</v>
      </c>
      <c r="K257" s="64">
        <f t="shared" si="65"/>
        <v>43741.32</v>
      </c>
      <c r="L257" s="65">
        <f t="shared" si="65"/>
        <v>8499.8799999999992</v>
      </c>
      <c r="M257" s="65">
        <f t="shared" si="65"/>
        <v>5300</v>
      </c>
      <c r="N257" s="66">
        <f t="shared" si="64"/>
        <v>30710.3</v>
      </c>
      <c r="O257" s="66">
        <f>ROUND(I257+K257+M257,5)</f>
        <v>49041.32</v>
      </c>
      <c r="P257" s="69">
        <f t="shared" si="53"/>
        <v>10236.766666666666</v>
      </c>
      <c r="Q257" s="69">
        <f t="shared" si="53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>ROUND(SUM(AB235:AB256),5)</f>
        <v>0</v>
      </c>
      <c r="AC257" s="66">
        <f>ROUND(SUM(AC235:AC256),5)</f>
        <v>0</v>
      </c>
      <c r="AD257" s="66">
        <f>ROUND(SUM(AD235:AD256),5)</f>
        <v>0</v>
      </c>
    </row>
    <row r="258" spans="1:30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53"/>
        <v>0</v>
      </c>
      <c r="Q258" s="69">
        <f t="shared" si="53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</row>
    <row r="259" spans="1:30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66">ROUND(H259+J259+L259,5)</f>
        <v>292.07</v>
      </c>
      <c r="O259" s="66">
        <f t="shared" si="66"/>
        <v>3559.16</v>
      </c>
      <c r="P259" s="69">
        <f t="shared" si="53"/>
        <v>97.356666666666669</v>
      </c>
      <c r="Q259" s="69">
        <f t="shared" si="53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</row>
    <row r="260" spans="1:30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66"/>
        <v>0</v>
      </c>
      <c r="O260" s="66">
        <f t="shared" si="66"/>
        <v>0</v>
      </c>
      <c r="P260" s="69">
        <f t="shared" ref="P260:Q323" si="67">N260/3</f>
        <v>0</v>
      </c>
      <c r="Q260" s="69">
        <f t="shared" si="67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</row>
    <row r="261" spans="1:30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66"/>
        <v>414.94</v>
      </c>
      <c r="O261" s="66">
        <f t="shared" si="66"/>
        <v>1624.16</v>
      </c>
      <c r="P261" s="69">
        <f t="shared" si="67"/>
        <v>138.31333333333333</v>
      </c>
      <c r="Q261" s="69">
        <f t="shared" si="67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</row>
    <row r="262" spans="1:30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66"/>
        <v>0</v>
      </c>
      <c r="O262" s="73">
        <f t="shared" si="66"/>
        <v>0</v>
      </c>
      <c r="P262" s="74">
        <f t="shared" si="67"/>
        <v>0</v>
      </c>
      <c r="Q262" s="74">
        <f t="shared" si="67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</row>
    <row r="263" spans="1:30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68">ROUND(SUM(H258:H262),5)</f>
        <v>414.94</v>
      </c>
      <c r="I263" s="63">
        <f t="shared" si="68"/>
        <v>0</v>
      </c>
      <c r="J263" s="64">
        <f t="shared" si="68"/>
        <v>73.44</v>
      </c>
      <c r="K263" s="64">
        <f t="shared" si="68"/>
        <v>4783.32</v>
      </c>
      <c r="L263" s="65">
        <f t="shared" si="68"/>
        <v>218.63</v>
      </c>
      <c r="M263" s="65">
        <f t="shared" si="68"/>
        <v>400</v>
      </c>
      <c r="N263" s="66">
        <f t="shared" si="66"/>
        <v>707.01</v>
      </c>
      <c r="O263" s="66">
        <f t="shared" si="66"/>
        <v>5183.32</v>
      </c>
      <c r="P263" s="69">
        <f t="shared" si="67"/>
        <v>235.67</v>
      </c>
      <c r="Q263" s="69">
        <f t="shared" si="67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>ROUND(SUM(AB258:AB262),5)</f>
        <v>0</v>
      </c>
      <c r="AC263" s="66">
        <f>ROUND(SUM(AC258:AC262),5)</f>
        <v>0</v>
      </c>
      <c r="AD263" s="66">
        <f>ROUND(SUM(AD258:AD262),5)</f>
        <v>0</v>
      </c>
    </row>
    <row r="264" spans="1:30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</row>
    <row r="265" spans="1:30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69">ROUND(H265+J265+L265,5)</f>
        <v>9233.0499999999993</v>
      </c>
      <c r="O265" s="66">
        <f t="shared" si="69"/>
        <v>5438.74</v>
      </c>
      <c r="P265" s="69">
        <f t="shared" si="67"/>
        <v>3077.6833333333329</v>
      </c>
      <c r="Q265" s="69">
        <f t="shared" si="67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</row>
    <row r="266" spans="1:30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69"/>
        <v>173.59</v>
      </c>
      <c r="O266" s="66">
        <f t="shared" si="69"/>
        <v>2539.44</v>
      </c>
      <c r="P266" s="69">
        <f t="shared" si="67"/>
        <v>57.863333333333337</v>
      </c>
      <c r="Q266" s="69">
        <f t="shared" si="67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</row>
    <row r="267" spans="1:30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69"/>
        <v>99.76</v>
      </c>
      <c r="O267" s="66">
        <f t="shared" si="69"/>
        <v>1980.2</v>
      </c>
      <c r="P267" s="69">
        <f t="shared" si="67"/>
        <v>33.253333333333337</v>
      </c>
      <c r="Q267" s="69">
        <f t="shared" si="67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</row>
    <row r="268" spans="1:30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69"/>
        <v>2756.34</v>
      </c>
      <c r="O268" s="66">
        <f t="shared" si="69"/>
        <v>956.04</v>
      </c>
      <c r="P268" s="69">
        <f t="shared" si="67"/>
        <v>918.78000000000009</v>
      </c>
      <c r="Q268" s="69">
        <f t="shared" si="67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</row>
    <row r="269" spans="1:30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69"/>
        <v>62</v>
      </c>
      <c r="O269" s="66">
        <f t="shared" si="69"/>
        <v>718</v>
      </c>
      <c r="P269" s="69">
        <f t="shared" si="67"/>
        <v>20.666666666666668</v>
      </c>
      <c r="Q269" s="69">
        <f t="shared" si="67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</row>
    <row r="270" spans="1:30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69"/>
        <v>5017.79</v>
      </c>
      <c r="O270" s="66">
        <f t="shared" si="69"/>
        <v>1535.1</v>
      </c>
      <c r="P270" s="69">
        <f t="shared" si="67"/>
        <v>1672.5966666666666</v>
      </c>
      <c r="Q270" s="69">
        <f t="shared" si="67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</row>
    <row r="271" spans="1:30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69"/>
        <v>0</v>
      </c>
      <c r="O271" s="66">
        <f t="shared" si="69"/>
        <v>1880.2</v>
      </c>
      <c r="P271" s="69">
        <f t="shared" si="67"/>
        <v>0</v>
      </c>
      <c r="Q271" s="69">
        <f t="shared" si="67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</row>
    <row r="272" spans="1:30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69"/>
        <v>1851.6</v>
      </c>
      <c r="O272" s="66">
        <f t="shared" si="69"/>
        <v>1624.16</v>
      </c>
      <c r="P272" s="69">
        <f t="shared" si="67"/>
        <v>617.19999999999993</v>
      </c>
      <c r="Q272" s="69">
        <f t="shared" si="67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</row>
    <row r="273" spans="1:30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69"/>
        <v>0</v>
      </c>
      <c r="O273" s="66">
        <f t="shared" si="69"/>
        <v>6709.32</v>
      </c>
      <c r="P273" s="69">
        <f t="shared" si="67"/>
        <v>0</v>
      </c>
      <c r="Q273" s="69">
        <f t="shared" si="67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</row>
    <row r="274" spans="1:30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69"/>
        <v>0</v>
      </c>
      <c r="O274" s="66">
        <f t="shared" si="69"/>
        <v>1983.36</v>
      </c>
      <c r="P274" s="69">
        <f t="shared" si="67"/>
        <v>0</v>
      </c>
      <c r="Q274" s="69">
        <f t="shared" si="67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</row>
    <row r="275" spans="1:30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69"/>
        <v>0</v>
      </c>
      <c r="O275" s="66">
        <f t="shared" si="69"/>
        <v>4759.01</v>
      </c>
      <c r="P275" s="69">
        <f t="shared" si="67"/>
        <v>0</v>
      </c>
      <c r="Q275" s="69">
        <f t="shared" si="67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</row>
    <row r="276" spans="1:30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69"/>
        <v>8987.11</v>
      </c>
      <c r="O276" s="66">
        <f t="shared" si="69"/>
        <v>17088.16</v>
      </c>
      <c r="P276" s="69">
        <f t="shared" si="67"/>
        <v>2995.7033333333334</v>
      </c>
      <c r="Q276" s="69">
        <f t="shared" si="67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</row>
    <row r="277" spans="1:30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69"/>
        <v>170.91</v>
      </c>
      <c r="O277" s="66">
        <f t="shared" si="69"/>
        <v>4097.04</v>
      </c>
      <c r="P277" s="69">
        <f t="shared" si="67"/>
        <v>56.97</v>
      </c>
      <c r="Q277" s="69">
        <f t="shared" si="67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</row>
    <row r="278" spans="1:30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69"/>
        <v>1914.86</v>
      </c>
      <c r="O278" s="66">
        <f t="shared" si="69"/>
        <v>1668.12</v>
      </c>
      <c r="P278" s="69">
        <f t="shared" si="67"/>
        <v>638.28666666666663</v>
      </c>
      <c r="Q278" s="69">
        <f t="shared" si="67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</row>
    <row r="279" spans="1:30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69"/>
        <v>581.79999999999995</v>
      </c>
      <c r="O279" s="73">
        <f t="shared" si="69"/>
        <v>0</v>
      </c>
      <c r="P279" s="74">
        <f t="shared" si="67"/>
        <v>193.93333333333331</v>
      </c>
      <c r="Q279" s="74">
        <f t="shared" si="67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</row>
    <row r="280" spans="1:30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70">ROUND(SUM(H264:H279),5)</f>
        <v>11247.41</v>
      </c>
      <c r="I280" s="63">
        <f t="shared" si="70"/>
        <v>0</v>
      </c>
      <c r="J280" s="64">
        <f t="shared" si="70"/>
        <v>13538.34</v>
      </c>
      <c r="K280" s="64">
        <f t="shared" si="70"/>
        <v>43816.14</v>
      </c>
      <c r="L280" s="65">
        <f t="shared" si="70"/>
        <v>6063.06</v>
      </c>
      <c r="M280" s="65">
        <f t="shared" si="70"/>
        <v>9160.75</v>
      </c>
      <c r="N280" s="66">
        <f t="shared" si="69"/>
        <v>30848.81</v>
      </c>
      <c r="O280" s="66">
        <f t="shared" si="69"/>
        <v>52976.89</v>
      </c>
      <c r="P280" s="69">
        <f t="shared" si="67"/>
        <v>10282.936666666666</v>
      </c>
      <c r="Q280" s="69">
        <f t="shared" si="67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>ROUND(SUM(AB264:AB279),5)</f>
        <v>0</v>
      </c>
      <c r="AC280" s="66">
        <f>ROUND(SUM(AC264:AC279),5)</f>
        <v>0</v>
      </c>
      <c r="AD280" s="66">
        <f>ROUND(SUM(AD264:AD279),5)</f>
        <v>0</v>
      </c>
    </row>
    <row r="281" spans="1:30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67"/>
        <v>0</v>
      </c>
      <c r="Q281" s="69">
        <f t="shared" si="67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</row>
    <row r="282" spans="1:30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71">ROUND(H282+J282+L282,5)</f>
        <v>9840.1</v>
      </c>
      <c r="O282" s="66">
        <f t="shared" si="71"/>
        <v>6658.46</v>
      </c>
      <c r="P282" s="69">
        <f t="shared" si="67"/>
        <v>3280.0333333333333</v>
      </c>
      <c r="Q282" s="69">
        <f t="shared" si="67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</row>
    <row r="283" spans="1:30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71"/>
        <v>9035.52</v>
      </c>
      <c r="O283" s="66">
        <f t="shared" si="71"/>
        <v>7418.32</v>
      </c>
      <c r="P283" s="69">
        <f t="shared" si="67"/>
        <v>3011.84</v>
      </c>
      <c r="Q283" s="69">
        <f t="shared" si="67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</row>
    <row r="284" spans="1:30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71"/>
        <v>0</v>
      </c>
      <c r="O284" s="66">
        <f t="shared" si="71"/>
        <v>656.04</v>
      </c>
      <c r="P284" s="69">
        <f t="shared" si="67"/>
        <v>0</v>
      </c>
      <c r="Q284" s="69">
        <f t="shared" si="67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</row>
    <row r="285" spans="1:30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71"/>
        <v>2620.06</v>
      </c>
      <c r="O285" s="66">
        <f t="shared" si="71"/>
        <v>7118.32</v>
      </c>
      <c r="P285" s="69">
        <f t="shared" si="67"/>
        <v>873.35333333333335</v>
      </c>
      <c r="Q285" s="69">
        <f t="shared" si="67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</row>
    <row r="286" spans="1:30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71"/>
        <v>2099.5700000000002</v>
      </c>
      <c r="O286" s="66">
        <f t="shared" si="71"/>
        <v>1012.08</v>
      </c>
      <c r="P286" s="69">
        <f t="shared" si="67"/>
        <v>699.85666666666668</v>
      </c>
      <c r="Q286" s="69">
        <f t="shared" si="67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</row>
    <row r="287" spans="1:30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71"/>
        <v>1066.75</v>
      </c>
      <c r="O287" s="73">
        <f t="shared" si="71"/>
        <v>6918.32</v>
      </c>
      <c r="P287" s="74">
        <f t="shared" si="67"/>
        <v>355.58333333333331</v>
      </c>
      <c r="Q287" s="74">
        <f t="shared" si="67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</row>
    <row r="288" spans="1:30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72">ROUND(SUM(H281:H287),5)</f>
        <v>5366.39</v>
      </c>
      <c r="I288" s="63">
        <f t="shared" si="72"/>
        <v>0</v>
      </c>
      <c r="J288" s="64">
        <f t="shared" si="72"/>
        <v>9447.02</v>
      </c>
      <c r="K288" s="64">
        <f t="shared" si="72"/>
        <v>27381.54</v>
      </c>
      <c r="L288" s="65">
        <f t="shared" si="72"/>
        <v>9848.59</v>
      </c>
      <c r="M288" s="65">
        <f t="shared" si="72"/>
        <v>2400</v>
      </c>
      <c r="N288" s="66">
        <f t="shared" si="71"/>
        <v>24662</v>
      </c>
      <c r="O288" s="66">
        <f t="shared" si="71"/>
        <v>29781.54</v>
      </c>
      <c r="P288" s="69">
        <f t="shared" si="67"/>
        <v>8220.6666666666661</v>
      </c>
      <c r="Q288" s="69">
        <f t="shared" si="67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>ROUND(SUM(AB281:AB287),5)</f>
        <v>0</v>
      </c>
      <c r="AC288" s="66">
        <f>ROUND(SUM(AC281:AC287),5)</f>
        <v>0</v>
      </c>
      <c r="AD288" s="66">
        <f>ROUND(SUM(AD281:AD287),5)</f>
        <v>0</v>
      </c>
    </row>
    <row r="289" spans="1:30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</row>
    <row r="290" spans="1:30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73">ROUND(H290+J290+L290,5)</f>
        <v>513.95000000000005</v>
      </c>
      <c r="O290" s="66">
        <f t="shared" si="73"/>
        <v>300</v>
      </c>
      <c r="P290" s="69">
        <f t="shared" si="67"/>
        <v>171.31666666666669</v>
      </c>
      <c r="Q290" s="69">
        <f t="shared" si="67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</row>
    <row r="291" spans="1:30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73"/>
        <v>5543.87</v>
      </c>
      <c r="O291" s="66">
        <f t="shared" si="73"/>
        <v>800</v>
      </c>
      <c r="P291" s="69">
        <f t="shared" si="67"/>
        <v>1847.9566666666667</v>
      </c>
      <c r="Q291" s="69">
        <f t="shared" si="67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</row>
    <row r="292" spans="1:30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73"/>
        <v>0</v>
      </c>
      <c r="O292" s="66">
        <f t="shared" si="73"/>
        <v>6718.32</v>
      </c>
      <c r="P292" s="69">
        <f t="shared" si="67"/>
        <v>0</v>
      </c>
      <c r="Q292" s="69">
        <f t="shared" si="67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</row>
    <row r="293" spans="1:30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73"/>
        <v>1829.97</v>
      </c>
      <c r="O293" s="66">
        <f t="shared" si="73"/>
        <v>400</v>
      </c>
      <c r="P293" s="69">
        <f t="shared" si="67"/>
        <v>609.99</v>
      </c>
      <c r="Q293" s="69">
        <f t="shared" si="67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</row>
    <row r="294" spans="1:30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73"/>
        <v>574.11</v>
      </c>
      <c r="O294" s="66">
        <f t="shared" si="73"/>
        <v>200</v>
      </c>
      <c r="P294" s="69">
        <f t="shared" si="67"/>
        <v>191.37</v>
      </c>
      <c r="Q294" s="69">
        <f t="shared" si="67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</row>
    <row r="295" spans="1:30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73"/>
        <v>2094.56</v>
      </c>
      <c r="O295" s="66">
        <f t="shared" si="73"/>
        <v>700</v>
      </c>
      <c r="P295" s="69">
        <f t="shared" si="67"/>
        <v>698.18666666666661</v>
      </c>
      <c r="Q295" s="69">
        <f t="shared" si="67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</row>
    <row r="296" spans="1:30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73"/>
        <v>143.52000000000001</v>
      </c>
      <c r="O296" s="66">
        <f t="shared" si="73"/>
        <v>0</v>
      </c>
      <c r="P296" s="69">
        <f t="shared" si="67"/>
        <v>47.84</v>
      </c>
      <c r="Q296" s="69">
        <f t="shared" si="67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</row>
    <row r="297" spans="1:30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73"/>
        <v>0</v>
      </c>
      <c r="O297" s="66">
        <f t="shared" si="73"/>
        <v>100</v>
      </c>
      <c r="P297" s="69">
        <f t="shared" si="67"/>
        <v>0</v>
      </c>
      <c r="Q297" s="69">
        <f t="shared" si="67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</row>
    <row r="298" spans="1:30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73"/>
        <v>1205.7</v>
      </c>
      <c r="O298" s="66">
        <f t="shared" si="73"/>
        <v>0</v>
      </c>
      <c r="P298" s="69">
        <f t="shared" si="67"/>
        <v>401.90000000000003</v>
      </c>
      <c r="Q298" s="69">
        <f t="shared" si="67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</row>
    <row r="299" spans="1:30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73"/>
        <v>0</v>
      </c>
      <c r="O299" s="66">
        <f t="shared" si="73"/>
        <v>0</v>
      </c>
      <c r="P299" s="69">
        <f t="shared" si="67"/>
        <v>0</v>
      </c>
      <c r="Q299" s="69">
        <f t="shared" si="67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</row>
    <row r="300" spans="1:30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73"/>
        <v>0</v>
      </c>
      <c r="O300" s="73">
        <f t="shared" si="73"/>
        <v>0</v>
      </c>
      <c r="P300" s="74">
        <f t="shared" si="67"/>
        <v>0</v>
      </c>
      <c r="Q300" s="74">
        <f t="shared" si="67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</row>
    <row r="301" spans="1:30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74">ROUND(SUM(H289:H300),5)</f>
        <v>3691.61</v>
      </c>
      <c r="I301" s="63">
        <f t="shared" si="74"/>
        <v>0</v>
      </c>
      <c r="J301" s="64">
        <f t="shared" si="74"/>
        <v>4249.07</v>
      </c>
      <c r="K301" s="64">
        <f t="shared" si="74"/>
        <v>6718.32</v>
      </c>
      <c r="L301" s="65">
        <f t="shared" si="74"/>
        <v>3965</v>
      </c>
      <c r="M301" s="65">
        <f t="shared" si="74"/>
        <v>2500</v>
      </c>
      <c r="N301" s="66">
        <f t="shared" si="73"/>
        <v>11905.68</v>
      </c>
      <c r="O301" s="66">
        <f t="shared" si="73"/>
        <v>9218.32</v>
      </c>
      <c r="P301" s="69">
        <f t="shared" si="67"/>
        <v>3968.56</v>
      </c>
      <c r="Q301" s="69">
        <f t="shared" si="67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>ROUND(SUM(AB289:AB300),5)</f>
        <v>0</v>
      </c>
      <c r="AC301" s="66">
        <f>ROUND(SUM(AC289:AC300),5)</f>
        <v>0</v>
      </c>
      <c r="AD301" s="66">
        <f>ROUND(SUM(AD289:AD300),5)</f>
        <v>0</v>
      </c>
    </row>
    <row r="302" spans="1:30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</row>
    <row r="303" spans="1:30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75">ROUND(H303+J303+L303,5)</f>
        <v>4407.63</v>
      </c>
      <c r="O303" s="66">
        <f t="shared" si="75"/>
        <v>7218.32</v>
      </c>
      <c r="P303" s="69">
        <f t="shared" si="67"/>
        <v>1469.21</v>
      </c>
      <c r="Q303" s="69">
        <f t="shared" si="67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</row>
    <row r="304" spans="1:30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75"/>
        <v>62.18</v>
      </c>
      <c r="O304" s="66">
        <f t="shared" si="75"/>
        <v>659.86</v>
      </c>
      <c r="P304" s="69">
        <f t="shared" si="67"/>
        <v>20.726666666666667</v>
      </c>
      <c r="Q304" s="69">
        <f t="shared" si="67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</row>
    <row r="305" spans="1:30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75"/>
        <v>1422.94</v>
      </c>
      <c r="O305" s="66">
        <f t="shared" si="75"/>
        <v>5438.74</v>
      </c>
      <c r="P305" s="69">
        <f t="shared" si="67"/>
        <v>474.31333333333333</v>
      </c>
      <c r="Q305" s="69">
        <f t="shared" si="67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</row>
    <row r="306" spans="1:30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75"/>
        <v>602.46</v>
      </c>
      <c r="O306" s="73">
        <f t="shared" si="75"/>
        <v>756.04</v>
      </c>
      <c r="P306" s="74">
        <f t="shared" si="67"/>
        <v>200.82000000000002</v>
      </c>
      <c r="Q306" s="74">
        <f t="shared" si="67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</row>
    <row r="307" spans="1:30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76">ROUND(SUM(H302:H306),5)</f>
        <v>358.49</v>
      </c>
      <c r="I307" s="63">
        <f t="shared" si="76"/>
        <v>0</v>
      </c>
      <c r="J307" s="64">
        <f t="shared" si="76"/>
        <v>1711.98</v>
      </c>
      <c r="K307" s="64">
        <f t="shared" si="76"/>
        <v>12672.96</v>
      </c>
      <c r="L307" s="65">
        <f t="shared" si="76"/>
        <v>4424.74</v>
      </c>
      <c r="M307" s="65">
        <f t="shared" si="76"/>
        <v>1400</v>
      </c>
      <c r="N307" s="66">
        <f t="shared" si="75"/>
        <v>6495.21</v>
      </c>
      <c r="O307" s="66">
        <f t="shared" si="75"/>
        <v>14072.96</v>
      </c>
      <c r="P307" s="69">
        <f t="shared" si="67"/>
        <v>2165.0700000000002</v>
      </c>
      <c r="Q307" s="69">
        <f t="shared" si="67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>ROUND(SUM(AB302:AB306),5)</f>
        <v>0</v>
      </c>
      <c r="AC307" s="66">
        <f>ROUND(SUM(AC302:AC306),5)</f>
        <v>0</v>
      </c>
      <c r="AD307" s="66">
        <f>ROUND(SUM(AD302:AD306),5)</f>
        <v>0</v>
      </c>
    </row>
    <row r="308" spans="1:30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</row>
    <row r="309" spans="1:30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77">ROUND(H309+J309+L309,5)</f>
        <v>9703.68</v>
      </c>
      <c r="O309" s="66">
        <f t="shared" si="77"/>
        <v>5278.88</v>
      </c>
      <c r="P309" s="69">
        <f t="shared" si="67"/>
        <v>3234.56</v>
      </c>
      <c r="Q309" s="69">
        <f t="shared" si="67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</row>
    <row r="310" spans="1:30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77"/>
        <v>884.39</v>
      </c>
      <c r="O310" s="66">
        <f t="shared" si="77"/>
        <v>2439.44</v>
      </c>
      <c r="P310" s="69">
        <f t="shared" si="67"/>
        <v>294.79666666666668</v>
      </c>
      <c r="Q310" s="69">
        <f t="shared" si="67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</row>
    <row r="311" spans="1:30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77"/>
        <v>979.97</v>
      </c>
      <c r="O311" s="66">
        <f t="shared" si="77"/>
        <v>6758.46</v>
      </c>
      <c r="P311" s="69">
        <f t="shared" si="67"/>
        <v>326.65666666666669</v>
      </c>
      <c r="Q311" s="69">
        <f t="shared" si="67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</row>
    <row r="312" spans="1:30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77"/>
        <v>404.46</v>
      </c>
      <c r="O312" s="66">
        <f t="shared" si="77"/>
        <v>1679.58</v>
      </c>
      <c r="P312" s="69">
        <f t="shared" si="67"/>
        <v>134.82</v>
      </c>
      <c r="Q312" s="69">
        <f t="shared" si="67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</row>
    <row r="313" spans="1:30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77"/>
        <v>4314.07</v>
      </c>
      <c r="O313" s="66">
        <f t="shared" si="77"/>
        <v>2480.1999999999998</v>
      </c>
      <c r="P313" s="69">
        <f t="shared" si="67"/>
        <v>1438.0233333333333</v>
      </c>
      <c r="Q313" s="69">
        <f t="shared" si="67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</row>
    <row r="314" spans="1:30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77"/>
        <v>487.74</v>
      </c>
      <c r="O314" s="66">
        <f t="shared" si="77"/>
        <v>912.08</v>
      </c>
      <c r="P314" s="69">
        <f t="shared" si="67"/>
        <v>162.58000000000001</v>
      </c>
      <c r="Q314" s="69">
        <f t="shared" si="67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</row>
    <row r="315" spans="1:30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77"/>
        <v>2326.19</v>
      </c>
      <c r="O315" s="66">
        <f t="shared" si="77"/>
        <v>6398.6</v>
      </c>
      <c r="P315" s="69">
        <f t="shared" si="67"/>
        <v>775.39666666666665</v>
      </c>
      <c r="Q315" s="69">
        <f t="shared" si="67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</row>
    <row r="316" spans="1:30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77"/>
        <v>229.23</v>
      </c>
      <c r="O316" s="66">
        <f t="shared" si="77"/>
        <v>2239.44</v>
      </c>
      <c r="P316" s="69">
        <f t="shared" si="67"/>
        <v>76.41</v>
      </c>
      <c r="Q316" s="69">
        <f t="shared" si="67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</row>
    <row r="317" spans="1:30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77"/>
        <v>759.74</v>
      </c>
      <c r="O317" s="66">
        <f t="shared" si="77"/>
        <v>1524.12</v>
      </c>
      <c r="P317" s="69">
        <f t="shared" si="67"/>
        <v>253.24666666666667</v>
      </c>
      <c r="Q317" s="69">
        <f t="shared" si="67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</row>
    <row r="318" spans="1:30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77"/>
        <v>84.4</v>
      </c>
      <c r="O318" s="73">
        <f t="shared" si="77"/>
        <v>0</v>
      </c>
      <c r="P318" s="74">
        <f t="shared" si="67"/>
        <v>28.133333333333336</v>
      </c>
      <c r="Q318" s="74">
        <f t="shared" si="67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</row>
    <row r="319" spans="1:30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78">ROUND(SUM(H308:H318),5)</f>
        <v>5951.81</v>
      </c>
      <c r="I319" s="63">
        <f t="shared" si="78"/>
        <v>0</v>
      </c>
      <c r="J319" s="64">
        <f t="shared" si="78"/>
        <v>9394.2800000000007</v>
      </c>
      <c r="K319" s="64">
        <f t="shared" si="78"/>
        <v>26310.799999999999</v>
      </c>
      <c r="L319" s="65">
        <f t="shared" si="78"/>
        <v>4827.78</v>
      </c>
      <c r="M319" s="65">
        <f t="shared" si="78"/>
        <v>3400</v>
      </c>
      <c r="N319" s="66">
        <f t="shared" si="77"/>
        <v>20173.87</v>
      </c>
      <c r="O319" s="66">
        <f t="shared" si="77"/>
        <v>29710.799999999999</v>
      </c>
      <c r="P319" s="69">
        <f t="shared" si="67"/>
        <v>6724.623333333333</v>
      </c>
      <c r="Q319" s="69">
        <f t="shared" si="67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>ROUND(SUM(AB308:AB318),5)</f>
        <v>0</v>
      </c>
      <c r="AC319" s="66">
        <f>ROUND(SUM(AC308:AC318),5)</f>
        <v>0</v>
      </c>
      <c r="AD319" s="66">
        <f>ROUND(SUM(AD308:AD318),5)</f>
        <v>0</v>
      </c>
    </row>
    <row r="320" spans="1:30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</row>
    <row r="321" spans="1:32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79">ROUND(H321+J321+L321,5)</f>
        <v>17798.97</v>
      </c>
      <c r="O321" s="66">
        <f t="shared" si="79"/>
        <v>26035.49</v>
      </c>
      <c r="P321" s="69">
        <f t="shared" si="67"/>
        <v>5932.9900000000007</v>
      </c>
      <c r="Q321" s="69">
        <f t="shared" si="67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</row>
    <row r="322" spans="1:32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79"/>
        <v>3570.09</v>
      </c>
      <c r="O322" s="66">
        <f t="shared" si="79"/>
        <v>10078.280000000001</v>
      </c>
      <c r="P322" s="69">
        <f t="shared" si="67"/>
        <v>1190.03</v>
      </c>
      <c r="Q322" s="69">
        <f t="shared" si="67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</row>
    <row r="323" spans="1:32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79"/>
        <v>7211.43</v>
      </c>
      <c r="O323" s="66">
        <f t="shared" si="79"/>
        <v>7893.22</v>
      </c>
      <c r="P323" s="69">
        <f t="shared" si="67"/>
        <v>2403.81</v>
      </c>
      <c r="Q323" s="69">
        <f t="shared" si="67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</row>
    <row r="324" spans="1:32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79"/>
        <v>1219.69</v>
      </c>
      <c r="O324" s="66">
        <f t="shared" si="79"/>
        <v>1271.28</v>
      </c>
      <c r="P324" s="69">
        <f t="shared" ref="P324:Q387" si="80">N324/3</f>
        <v>406.56333333333333</v>
      </c>
      <c r="Q324" s="69">
        <f t="shared" si="80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</row>
    <row r="325" spans="1:32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79"/>
        <v>20508.62</v>
      </c>
      <c r="O325" s="66">
        <f t="shared" si="79"/>
        <v>19153.73</v>
      </c>
      <c r="P325" s="69">
        <f t="shared" si="80"/>
        <v>6836.206666666666</v>
      </c>
      <c r="Q325" s="69">
        <f t="shared" si="80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</row>
    <row r="326" spans="1:32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79"/>
        <v>2276.86</v>
      </c>
      <c r="O326" s="66">
        <f t="shared" si="79"/>
        <v>0</v>
      </c>
      <c r="P326" s="69">
        <f t="shared" si="80"/>
        <v>758.95333333333338</v>
      </c>
      <c r="Q326" s="69">
        <f t="shared" si="80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</row>
    <row r="327" spans="1:32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</row>
    <row r="328" spans="1:32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81">ROUND(SUM(H320:H326),5)</f>
        <v>14703.25</v>
      </c>
      <c r="I328" s="63">
        <f t="shared" si="81"/>
        <v>0</v>
      </c>
      <c r="J328" s="64">
        <f t="shared" si="81"/>
        <v>19844.400000000001</v>
      </c>
      <c r="K328" s="64">
        <f t="shared" si="81"/>
        <v>9669.84</v>
      </c>
      <c r="L328" s="65">
        <f t="shared" si="81"/>
        <v>18038.009999999998</v>
      </c>
      <c r="M328" s="65">
        <f t="shared" si="81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80"/>
        <v>17528.553333333333</v>
      </c>
      <c r="Q328" s="69">
        <f t="shared" si="80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>ROUND(SUM(AB320:AB327),5)</f>
        <v>0</v>
      </c>
      <c r="AC328" s="66">
        <f>ROUND(SUM(AC320:AC327),5)</f>
        <v>0</v>
      </c>
      <c r="AD328" s="66">
        <f>ROUND(SUM(AD320:AD327),5)</f>
        <v>0</v>
      </c>
    </row>
    <row r="329" spans="1:32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</row>
    <row r="330" spans="1:32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82">ROUND(H330+J330+L330,5)</f>
        <v>291196.26</v>
      </c>
      <c r="O330" s="73">
        <f t="shared" si="82"/>
        <v>74045.47</v>
      </c>
      <c r="P330" s="74">
        <f t="shared" si="80"/>
        <v>97065.42</v>
      </c>
      <c r="Q330" s="74">
        <f t="shared" si="80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</row>
    <row r="331" spans="1:32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83">ROUND(SUM(H329:H330),5)</f>
        <v>70479.55</v>
      </c>
      <c r="I331" s="63">
        <f t="shared" si="83"/>
        <v>74045.47</v>
      </c>
      <c r="J331" s="64">
        <f t="shared" si="83"/>
        <v>78550</v>
      </c>
      <c r="K331" s="64">
        <f t="shared" si="83"/>
        <v>0</v>
      </c>
      <c r="L331" s="65">
        <f t="shared" si="83"/>
        <v>142166.71</v>
      </c>
      <c r="M331" s="65">
        <f t="shared" si="83"/>
        <v>0</v>
      </c>
      <c r="N331" s="66">
        <f t="shared" si="82"/>
        <v>291196.26</v>
      </c>
      <c r="O331" s="66">
        <f t="shared" si="82"/>
        <v>74045.47</v>
      </c>
      <c r="P331" s="69">
        <f t="shared" si="80"/>
        <v>97065.42</v>
      </c>
      <c r="Q331" s="69">
        <f t="shared" si="80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C331" si="84">ROUND(SUM(Z329:Z330),5)</f>
        <v>0</v>
      </c>
      <c r="AA331" s="140"/>
      <c r="AB331" s="66">
        <f t="shared" si="84"/>
        <v>0</v>
      </c>
      <c r="AC331" s="66">
        <f t="shared" si="84"/>
        <v>0</v>
      </c>
      <c r="AD331" s="66">
        <f t="shared" ref="AD331" si="85">ROUND(SUM(AD329:AD330),5)</f>
        <v>0</v>
      </c>
    </row>
    <row r="332" spans="1:32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82"/>
        <v>0</v>
      </c>
      <c r="O332" s="73">
        <f t="shared" si="82"/>
        <v>61404.95</v>
      </c>
      <c r="P332" s="74">
        <f t="shared" si="80"/>
        <v>0</v>
      </c>
      <c r="Q332" s="74">
        <f t="shared" si="80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</row>
    <row r="333" spans="1:32" ht="26" x14ac:dyDescent="0.6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86">ROUND(SUM(H227:H228)+H234+H257+H263+H280+H288+H301+H307+H319+H328+SUM(H331:H332),5)</f>
        <v>188585.61</v>
      </c>
      <c r="I333" s="63">
        <f t="shared" si="86"/>
        <v>138009</v>
      </c>
      <c r="J333" s="64">
        <f t="shared" si="86"/>
        <v>203924.74</v>
      </c>
      <c r="K333" s="64">
        <f t="shared" si="86"/>
        <v>194923.04</v>
      </c>
      <c r="L333" s="65">
        <f t="shared" si="86"/>
        <v>249596.1</v>
      </c>
      <c r="M333" s="65">
        <f t="shared" si="86"/>
        <v>148293.14000000001</v>
      </c>
      <c r="N333" s="66">
        <f t="shared" si="82"/>
        <v>642106.44999999995</v>
      </c>
      <c r="O333" s="66">
        <f t="shared" si="82"/>
        <v>481225.18</v>
      </c>
      <c r="P333" s="69">
        <f t="shared" si="80"/>
        <v>214035.48333333331</v>
      </c>
      <c r="Q333" s="69">
        <f t="shared" si="80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>ROUND(SUM(AB227:AB228)+AB234+AB257+AB263+AB280+AB288+AB301+AB307+AB319+AB328+SUM(AB331:AB332),5)</f>
        <v>227894.31142000001</v>
      </c>
      <c r="AC333" s="80">
        <f>ROUND(SUM(AC227:AC228)+AC234+AC257+AC263+AC280+AC288+AC301+AC307+AC319+AC328+SUM(AC331:AC332),5)</f>
        <v>227894.31142000001</v>
      </c>
      <c r="AD333" s="80">
        <f>ROUND(SUM(AD227:AD228)+AD234+AD257+AD263+AD280+AD288+AD301+AD307+AD319+AD328+SUM(AD331:AD332),5)</f>
        <v>243375.95202</v>
      </c>
      <c r="AE333" s="148">
        <v>0.2</v>
      </c>
      <c r="AF333" s="46" t="s">
        <v>846</v>
      </c>
    </row>
    <row r="334" spans="1:32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146" t="s">
        <v>902</v>
      </c>
      <c r="AF334" s="145">
        <f>L333/L116</f>
        <v>0.2408667028918092</v>
      </c>
    </row>
    <row r="335" spans="1:32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146" t="s">
        <v>903</v>
      </c>
      <c r="AF335" s="145">
        <f>52529.23/295911.24</f>
        <v>0.17751684592988087</v>
      </c>
    </row>
    <row r="336" spans="1:32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87">ROUND(H336+J336+L336,5)</f>
        <v>21365</v>
      </c>
      <c r="O336" s="66">
        <v>0</v>
      </c>
      <c r="P336" s="69">
        <f t="shared" si="80"/>
        <v>7121.666666666667</v>
      </c>
      <c r="Q336" s="69">
        <f t="shared" si="80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</row>
    <row r="337" spans="1:32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87"/>
        <v>97979.59</v>
      </c>
      <c r="O337" s="66">
        <f>ROUND(I337+K337+M337,5)</f>
        <v>40000</v>
      </c>
      <c r="P337" s="69">
        <f t="shared" si="80"/>
        <v>32659.863333333331</v>
      </c>
      <c r="Q337" s="69">
        <f t="shared" si="80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</row>
    <row r="338" spans="1:32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87"/>
        <v>22480.97</v>
      </c>
      <c r="O338" s="66">
        <v>0</v>
      </c>
      <c r="P338" s="69">
        <f t="shared" si="80"/>
        <v>7493.6566666666668</v>
      </c>
      <c r="Q338" s="69">
        <f t="shared" si="80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</row>
    <row r="339" spans="1:32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87"/>
        <v>680</v>
      </c>
      <c r="O339" s="66">
        <f>ROUND(I339+K339+M339,5)</f>
        <v>0</v>
      </c>
      <c r="P339" s="69">
        <f t="shared" si="80"/>
        <v>226.66666666666666</v>
      </c>
      <c r="Q339" s="69">
        <f t="shared" si="80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07">
        <v>50000</v>
      </c>
      <c r="AC339" s="107">
        <v>50000</v>
      </c>
      <c r="AD339" s="107">
        <v>50000</v>
      </c>
    </row>
    <row r="340" spans="1:32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07">
        <v>50000</v>
      </c>
      <c r="AC340" s="107">
        <v>50000</v>
      </c>
      <c r="AD340" s="107">
        <v>50000</v>
      </c>
    </row>
    <row r="341" spans="1:32" ht="16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87"/>
        <v>6830</v>
      </c>
      <c r="O341" s="73">
        <f>ROUND(I341+K341+M341,5)</f>
        <v>26000</v>
      </c>
      <c r="P341" s="74">
        <f t="shared" si="80"/>
        <v>2276.6666666666665</v>
      </c>
      <c r="Q341" s="74">
        <f t="shared" si="80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</row>
    <row r="342" spans="1:32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88">ROUND(SUM(H335:H341),5)</f>
        <v>19670</v>
      </c>
      <c r="I342" s="63">
        <f t="shared" si="88"/>
        <v>0</v>
      </c>
      <c r="J342" s="64">
        <f t="shared" si="88"/>
        <v>94715.56</v>
      </c>
      <c r="K342" s="64">
        <f t="shared" si="88"/>
        <v>26000</v>
      </c>
      <c r="L342" s="65">
        <f t="shared" si="88"/>
        <v>34950</v>
      </c>
      <c r="M342" s="65">
        <f t="shared" si="88"/>
        <v>40000</v>
      </c>
      <c r="N342" s="66">
        <f t="shared" si="87"/>
        <v>149335.56</v>
      </c>
      <c r="O342" s="66">
        <f>ROUND(I342+K342+M342,5)</f>
        <v>66000</v>
      </c>
      <c r="P342" s="69">
        <f t="shared" si="80"/>
        <v>49778.52</v>
      </c>
      <c r="Q342" s="69">
        <f t="shared" si="80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>ROUND(SUM(AB335:AB341),5)</f>
        <v>100000</v>
      </c>
      <c r="AC342" s="80">
        <f>ROUND(SUM(AC335:AC341),5)</f>
        <v>100000</v>
      </c>
      <c r="AD342" s="80">
        <f>ROUND(SUM(AD335:AD341),5)</f>
        <v>100000</v>
      </c>
    </row>
    <row r="343" spans="1:32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87"/>
        <v>110000</v>
      </c>
      <c r="O343" s="66">
        <f>ROUND(I343+K343+M343,5)</f>
        <v>135000</v>
      </c>
      <c r="P343" s="69">
        <f t="shared" si="80"/>
        <v>36666.666666666664</v>
      </c>
      <c r="Q343" s="69">
        <f t="shared" si="80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</row>
    <row r="344" spans="1:32" x14ac:dyDescent="0.35">
      <c r="A344" s="66"/>
      <c r="B344" s="66"/>
      <c r="C344" s="49"/>
      <c r="D344" s="49"/>
      <c r="E344" s="49"/>
      <c r="F344" s="49" t="s">
        <v>341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87"/>
        <v>2807</v>
      </c>
      <c r="O344" s="66">
        <f>ROUND(I344+K344+M344,5)</f>
        <v>71745</v>
      </c>
      <c r="P344" s="69">
        <f t="shared" si="80"/>
        <v>935.66666666666663</v>
      </c>
      <c r="Q344" s="69">
        <f t="shared" si="80"/>
        <v>23915</v>
      </c>
      <c r="R344" s="54"/>
      <c r="S344" s="49"/>
      <c r="T344" s="49"/>
      <c r="U344" s="49"/>
      <c r="V344" s="49"/>
      <c r="W344" s="49"/>
      <c r="X344" s="49" t="s">
        <v>341</v>
      </c>
      <c r="Y344" s="49"/>
      <c r="Z344" s="66">
        <v>0</v>
      </c>
      <c r="AA344" s="140"/>
      <c r="AB344" s="82"/>
      <c r="AC344" s="82"/>
      <c r="AD344" s="82"/>
    </row>
    <row r="345" spans="1:32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87"/>
        <v>600</v>
      </c>
      <c r="O345" s="66">
        <v>0</v>
      </c>
      <c r="P345" s="69">
        <f t="shared" si="80"/>
        <v>200</v>
      </c>
      <c r="Q345" s="69">
        <f t="shared" si="80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</row>
    <row r="346" spans="1:32" ht="26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87"/>
        <v>4601.16</v>
      </c>
      <c r="O346" s="66">
        <f t="shared" si="87"/>
        <v>5000</v>
      </c>
      <c r="P346" s="69">
        <f t="shared" si="80"/>
        <v>1533.72</v>
      </c>
      <c r="Q346" s="69">
        <f t="shared" si="80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149">
        <v>1500</v>
      </c>
      <c r="AF346" s="138" t="s">
        <v>897</v>
      </c>
    </row>
    <row r="347" spans="1:32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87"/>
        <v>0</v>
      </c>
      <c r="O347" s="66">
        <f t="shared" si="87"/>
        <v>0</v>
      </c>
      <c r="P347" s="69">
        <f t="shared" si="80"/>
        <v>0</v>
      </c>
      <c r="Q347" s="69">
        <f t="shared" si="80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</row>
    <row r="348" spans="1:32" ht="26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87"/>
        <v>55866.65</v>
      </c>
      <c r="O348" s="66">
        <f t="shared" si="87"/>
        <v>39369.230000000003</v>
      </c>
      <c r="P348" s="69">
        <f t="shared" si="80"/>
        <v>18622.216666666667</v>
      </c>
      <c r="Q348" s="69">
        <f t="shared" si="80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F348" s="138" t="s">
        <v>897</v>
      </c>
    </row>
    <row r="349" spans="1:32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87"/>
        <v>12578.7</v>
      </c>
      <c r="O349" s="66">
        <f t="shared" si="87"/>
        <v>11353.85</v>
      </c>
      <c r="P349" s="69">
        <f t="shared" si="80"/>
        <v>4192.9000000000005</v>
      </c>
      <c r="Q349" s="69">
        <f t="shared" si="80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</row>
    <row r="350" spans="1:32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87"/>
        <v>43549.17</v>
      </c>
      <c r="O350" s="66">
        <f t="shared" si="87"/>
        <v>35000</v>
      </c>
      <c r="P350" s="69">
        <f t="shared" si="80"/>
        <v>14516.39</v>
      </c>
      <c r="Q350" s="69">
        <f t="shared" si="80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F350" s="46" t="s">
        <v>895</v>
      </c>
    </row>
    <row r="351" spans="1:32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87"/>
        <v>7760.69</v>
      </c>
      <c r="O351" s="66">
        <f t="shared" si="87"/>
        <v>20000</v>
      </c>
      <c r="P351" s="69">
        <f t="shared" si="80"/>
        <v>2586.8966666666665</v>
      </c>
      <c r="Q351" s="69">
        <f t="shared" si="80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</row>
    <row r="352" spans="1:32" ht="26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87"/>
        <v>44149.02</v>
      </c>
      <c r="O352" s="66">
        <f t="shared" si="87"/>
        <v>34250.04</v>
      </c>
      <c r="P352" s="69">
        <f t="shared" si="80"/>
        <v>14716.339999999998</v>
      </c>
      <c r="Q352" s="69">
        <f t="shared" si="80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F352" s="138" t="s">
        <v>897</v>
      </c>
    </row>
    <row r="353" spans="1:31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87"/>
        <v>1956.11</v>
      </c>
      <c r="O353" s="66">
        <f t="shared" si="87"/>
        <v>22500</v>
      </c>
      <c r="P353" s="69">
        <f t="shared" si="80"/>
        <v>652.03666666666663</v>
      </c>
      <c r="Q353" s="69">
        <f t="shared" si="80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</row>
    <row r="354" spans="1:31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87"/>
        <v>34446</v>
      </c>
      <c r="O354" s="66">
        <f t="shared" si="87"/>
        <v>20748</v>
      </c>
      <c r="P354" s="69">
        <f t="shared" si="80"/>
        <v>11482</v>
      </c>
      <c r="Q354" s="69">
        <f t="shared" si="80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</row>
    <row r="355" spans="1:31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87"/>
        <v>2154.44</v>
      </c>
      <c r="O355" s="66">
        <f t="shared" si="87"/>
        <v>3605</v>
      </c>
      <c r="P355" s="69">
        <f t="shared" si="80"/>
        <v>718.14666666666665</v>
      </c>
      <c r="Q355" s="69">
        <f t="shared" si="80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</row>
    <row r="356" spans="1:31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87"/>
        <v>20339.71</v>
      </c>
      <c r="O356" s="66">
        <f t="shared" si="87"/>
        <v>13000</v>
      </c>
      <c r="P356" s="69">
        <f t="shared" si="80"/>
        <v>6779.9033333333327</v>
      </c>
      <c r="Q356" s="69">
        <f t="shared" si="80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</row>
    <row r="357" spans="1:31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87"/>
        <v>500</v>
      </c>
      <c r="O357" s="66">
        <f t="shared" si="87"/>
        <v>0</v>
      </c>
      <c r="P357" s="69">
        <f t="shared" si="80"/>
        <v>166.66666666666666</v>
      </c>
      <c r="Q357" s="69">
        <f t="shared" si="80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</row>
    <row r="358" spans="1:31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</row>
    <row r="359" spans="1:31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89">ROUND(H359+J359+L359,5)</f>
        <v>84190</v>
      </c>
      <c r="O359" s="66">
        <f t="shared" si="89"/>
        <v>49784.88</v>
      </c>
      <c r="P359" s="69">
        <f t="shared" si="80"/>
        <v>28063.333333333332</v>
      </c>
      <c r="Q359" s="69">
        <f t="shared" si="80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</row>
    <row r="360" spans="1:31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89"/>
        <v>0</v>
      </c>
      <c r="O360" s="73">
        <f t="shared" si="89"/>
        <v>15000</v>
      </c>
      <c r="P360" s="74">
        <f t="shared" si="80"/>
        <v>0</v>
      </c>
      <c r="Q360" s="74">
        <f t="shared" si="80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</row>
    <row r="361" spans="1:31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90">ROUND(SUM(H358:H360),5)</f>
        <v>31425</v>
      </c>
      <c r="I361" s="63">
        <f t="shared" si="90"/>
        <v>15000</v>
      </c>
      <c r="J361" s="64">
        <f t="shared" si="90"/>
        <v>27367.5</v>
      </c>
      <c r="K361" s="64">
        <f t="shared" si="90"/>
        <v>28917.38</v>
      </c>
      <c r="L361" s="65">
        <f t="shared" si="90"/>
        <v>25397.5</v>
      </c>
      <c r="M361" s="65">
        <f t="shared" si="90"/>
        <v>20867.5</v>
      </c>
      <c r="N361" s="66">
        <f t="shared" si="89"/>
        <v>84190</v>
      </c>
      <c r="O361" s="66">
        <f t="shared" si="89"/>
        <v>64784.88</v>
      </c>
      <c r="P361" s="69">
        <f t="shared" si="80"/>
        <v>28063.333333333332</v>
      </c>
      <c r="Q361" s="69">
        <f t="shared" si="80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>ROUND(SUM(AB358:AB360),5)</f>
        <v>0</v>
      </c>
      <c r="AC361" s="80">
        <f>ROUND(SUM(AC358:AC360),5)</f>
        <v>0</v>
      </c>
      <c r="AD361" s="80">
        <f>ROUND(SUM(AD358:AD360),5)</f>
        <v>0</v>
      </c>
    </row>
    <row r="362" spans="1:31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89"/>
        <v>0</v>
      </c>
      <c r="O362" s="66">
        <f t="shared" si="89"/>
        <v>0</v>
      </c>
      <c r="P362" s="69">
        <f t="shared" si="80"/>
        <v>0</v>
      </c>
      <c r="Q362" s="69">
        <f t="shared" si="80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</row>
    <row r="363" spans="1:31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91">ROUND(H334+SUM(H342:H357)+SUM(H361:H362),5)</f>
        <v>166149.76999999999</v>
      </c>
      <c r="I363" s="83">
        <f t="shared" si="91"/>
        <v>161924.6</v>
      </c>
      <c r="J363" s="84">
        <f t="shared" si="91"/>
        <v>213318.06</v>
      </c>
      <c r="K363" s="84">
        <f t="shared" si="91"/>
        <v>155784.65</v>
      </c>
      <c r="L363" s="85">
        <f t="shared" si="91"/>
        <v>195366.38</v>
      </c>
      <c r="M363" s="85">
        <f t="shared" si="91"/>
        <v>224646.75</v>
      </c>
      <c r="N363" s="86">
        <f t="shared" si="89"/>
        <v>574834.21</v>
      </c>
      <c r="O363" s="86">
        <f t="shared" si="89"/>
        <v>542356</v>
      </c>
      <c r="P363" s="87">
        <f t="shared" si="80"/>
        <v>191611.40333333332</v>
      </c>
      <c r="Q363" s="87">
        <f t="shared" si="80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>ROUND(AB334+SUM(AB342:AB357)+SUM(AB361:AB362),5)</f>
        <v>199017.1</v>
      </c>
      <c r="AC363" s="88">
        <f>ROUND(AC334+SUM(AC342:AC357)+SUM(AC361:AC362),5)</f>
        <v>199017.1</v>
      </c>
      <c r="AD363" s="88">
        <f>ROUND(AD334+SUM(AD342:AD357)+SUM(AD361:AD362),5)</f>
        <v>202281.4</v>
      </c>
    </row>
    <row r="364" spans="1:31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92">ROUND(H226+H333+H363,5)</f>
        <v>354735.38</v>
      </c>
      <c r="I364" s="63">
        <f t="shared" si="92"/>
        <v>299933.59999999998</v>
      </c>
      <c r="J364" s="64">
        <f t="shared" si="92"/>
        <v>417242.8</v>
      </c>
      <c r="K364" s="64">
        <f t="shared" si="92"/>
        <v>350707.69</v>
      </c>
      <c r="L364" s="65">
        <f t="shared" si="92"/>
        <v>444962.48</v>
      </c>
      <c r="M364" s="65">
        <f t="shared" si="92"/>
        <v>372939.89</v>
      </c>
      <c r="N364" s="66">
        <f t="shared" si="89"/>
        <v>1216940.6599999999</v>
      </c>
      <c r="O364" s="66">
        <f t="shared" si="89"/>
        <v>1023581.18</v>
      </c>
      <c r="P364" s="69">
        <f t="shared" si="80"/>
        <v>405646.88666666666</v>
      </c>
      <c r="Q364" s="69">
        <f t="shared" si="80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>ROUND(AB226+AB333+AB363,5)</f>
        <v>426911.41142000002</v>
      </c>
      <c r="AC364" s="66">
        <f>ROUND(AC226+AC333+AC363,5)</f>
        <v>426911.41142000002</v>
      </c>
      <c r="AD364" s="66">
        <f>ROUND(AD226+AD333+AD363,5)</f>
        <v>445657.35201999999</v>
      </c>
    </row>
    <row r="365" spans="1:31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</row>
    <row r="366" spans="1:31" ht="37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93">ROUND(H366+J366+L366,5)</f>
        <v>65072</v>
      </c>
      <c r="O366" s="66">
        <f t="shared" si="93"/>
        <v>51375.6</v>
      </c>
      <c r="P366" s="69">
        <f t="shared" si="80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151" t="s">
        <v>908</v>
      </c>
    </row>
    <row r="367" spans="1:31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93"/>
        <v>111140.02</v>
      </c>
      <c r="O367" s="66">
        <f t="shared" si="93"/>
        <v>112544.8</v>
      </c>
      <c r="P367" s="69">
        <f t="shared" si="80"/>
        <v>37046.673333333332</v>
      </c>
      <c r="Q367" s="69">
        <f t="shared" si="80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>ROUND(37896.24, 0)</f>
        <v>37896</v>
      </c>
      <c r="AC367" s="66">
        <f>ROUND(37896.24, 0)</f>
        <v>37896</v>
      </c>
      <c r="AD367" s="66">
        <f>ROUND(37896.24, 0)</f>
        <v>37896</v>
      </c>
    </row>
    <row r="368" spans="1:31" ht="37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93"/>
        <v>73064.12</v>
      </c>
      <c r="O368" s="66">
        <f t="shared" si="93"/>
        <v>69064.929999999993</v>
      </c>
      <c r="P368" s="69">
        <f t="shared" si="80"/>
        <v>24354.706666666665</v>
      </c>
      <c r="Q368" s="69">
        <f t="shared" si="80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151" t="s">
        <v>907</v>
      </c>
    </row>
    <row r="369" spans="1:32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93"/>
        <v>83751.37</v>
      </c>
      <c r="O369" s="66">
        <f t="shared" si="93"/>
        <v>83288.960000000006</v>
      </c>
      <c r="P369" s="69">
        <f t="shared" si="80"/>
        <v>27917.123333333333</v>
      </c>
      <c r="Q369" s="69">
        <f t="shared" si="80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</row>
    <row r="370" spans="1:32" ht="29.5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93"/>
        <v>28135.19</v>
      </c>
      <c r="O370" s="66">
        <f t="shared" si="93"/>
        <v>34600</v>
      </c>
      <c r="P370" s="69">
        <f t="shared" si="80"/>
        <v>9378.3966666666656</v>
      </c>
      <c r="Q370" s="69">
        <f t="shared" si="80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147" t="s">
        <v>904</v>
      </c>
      <c r="AF370" s="138" t="s">
        <v>897</v>
      </c>
    </row>
    <row r="371" spans="1:32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94">ROUND(SUM(H365:H370),5)</f>
        <v>114632.84</v>
      </c>
      <c r="I371" s="75">
        <f t="shared" si="94"/>
        <v>107960.9</v>
      </c>
      <c r="J371" s="76">
        <f t="shared" si="94"/>
        <v>123159.01</v>
      </c>
      <c r="K371" s="76">
        <f t="shared" si="94"/>
        <v>112474.39</v>
      </c>
      <c r="L371" s="77">
        <f t="shared" si="94"/>
        <v>123370.85</v>
      </c>
      <c r="M371" s="77">
        <f t="shared" si="94"/>
        <v>130439</v>
      </c>
      <c r="N371" s="78">
        <f t="shared" si="93"/>
        <v>361162.7</v>
      </c>
      <c r="O371" s="78">
        <f t="shared" si="93"/>
        <v>350874.29</v>
      </c>
      <c r="P371" s="79">
        <f t="shared" si="80"/>
        <v>120387.56666666667</v>
      </c>
      <c r="Q371" s="79">
        <f t="shared" si="80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>ROUND(SUM(AB365:AB370),5)</f>
        <v>129087</v>
      </c>
      <c r="AC371" s="80">
        <f>ROUND(SUM(AC365:AC370),5)</f>
        <v>129087</v>
      </c>
      <c r="AD371" s="80">
        <f>ROUND(SUM(AD365:AD370),5)</f>
        <v>129087</v>
      </c>
    </row>
    <row r="372" spans="1:32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80"/>
        <v>0</v>
      </c>
      <c r="Q372" s="69">
        <f t="shared" si="80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</row>
    <row r="373" spans="1:32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95">ROUND(H373+J373+L373,5)</f>
        <v>4736691.54</v>
      </c>
      <c r="O373" s="66">
        <f t="shared" si="95"/>
        <v>4809206.6399999997</v>
      </c>
      <c r="P373" s="69">
        <f t="shared" si="80"/>
        <v>1578897.18</v>
      </c>
      <c r="Q373" s="69">
        <f t="shared" si="80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F373" s="46" t="s">
        <v>889</v>
      </c>
    </row>
    <row r="374" spans="1:32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95"/>
        <v>186600.3</v>
      </c>
      <c r="O374" s="66">
        <f t="shared" si="95"/>
        <v>192368.27</v>
      </c>
      <c r="P374" s="69">
        <f t="shared" si="80"/>
        <v>62200.1</v>
      </c>
      <c r="Q374" s="69">
        <f t="shared" si="80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F374" s="46" t="s">
        <v>891</v>
      </c>
    </row>
    <row r="375" spans="1:32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95"/>
        <v>1242428.6000000001</v>
      </c>
      <c r="O375" s="66">
        <f t="shared" si="95"/>
        <v>1421274.67</v>
      </c>
      <c r="P375" s="69">
        <f t="shared" si="80"/>
        <v>414142.8666666667</v>
      </c>
      <c r="Q375" s="69">
        <f t="shared" si="80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F375" s="46" t="s">
        <v>890</v>
      </c>
    </row>
    <row r="376" spans="1:32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96">ROUND(SUM(H372:H375),5)</f>
        <v>1912297.24</v>
      </c>
      <c r="I376" s="75">
        <f t="shared" si="96"/>
        <v>2105179.7200000002</v>
      </c>
      <c r="J376" s="76">
        <f t="shared" si="96"/>
        <v>2104075.4500000002</v>
      </c>
      <c r="K376" s="76">
        <f t="shared" si="96"/>
        <v>2112580.67</v>
      </c>
      <c r="L376" s="77">
        <f t="shared" si="96"/>
        <v>2149347.75</v>
      </c>
      <c r="M376" s="77">
        <f t="shared" si="96"/>
        <v>2205089.19</v>
      </c>
      <c r="N376" s="78">
        <f t="shared" si="95"/>
        <v>6165720.4400000004</v>
      </c>
      <c r="O376" s="78">
        <f t="shared" si="95"/>
        <v>6422849.5800000001</v>
      </c>
      <c r="P376" s="79">
        <f t="shared" si="80"/>
        <v>2055240.1466666667</v>
      </c>
      <c r="Q376" s="79">
        <f t="shared" si="80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>ROUND(SUM(AB372:AB375),5)</f>
        <v>2291617</v>
      </c>
      <c r="AC376" s="80">
        <f>ROUND(SUM(AC372:AC375),5)</f>
        <v>2252385</v>
      </c>
      <c r="AD376" s="80">
        <f>ROUND(SUM(AD372:AD375),5)</f>
        <v>2252385</v>
      </c>
    </row>
    <row r="377" spans="1:32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</row>
    <row r="378" spans="1:32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</row>
    <row r="379" spans="1:32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97">ROUND(H379+J379+L379,5)</f>
        <v>4046.28</v>
      </c>
      <c r="O379" s="66">
        <f t="shared" si="97"/>
        <v>3800</v>
      </c>
      <c r="P379" s="69">
        <f t="shared" si="80"/>
        <v>1348.76</v>
      </c>
      <c r="Q379" s="69">
        <f t="shared" si="80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F379" s="81"/>
    </row>
    <row r="380" spans="1:32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97"/>
        <v>614951.03</v>
      </c>
      <c r="O380" s="66">
        <f t="shared" si="97"/>
        <v>486000</v>
      </c>
      <c r="P380" s="69">
        <f t="shared" si="80"/>
        <v>204983.67666666667</v>
      </c>
      <c r="Q380" s="69">
        <f t="shared" si="80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F380" s="81"/>
    </row>
    <row r="381" spans="1:32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97"/>
        <v>8559.83</v>
      </c>
      <c r="O381" s="66">
        <f t="shared" si="97"/>
        <v>12510</v>
      </c>
      <c r="P381" s="69">
        <f t="shared" si="80"/>
        <v>2853.2766666666666</v>
      </c>
      <c r="Q381" s="69">
        <f t="shared" si="80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F381" s="81"/>
    </row>
    <row r="382" spans="1:32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97"/>
        <v>309582.38</v>
      </c>
      <c r="O382" s="66">
        <f t="shared" si="97"/>
        <v>255250</v>
      </c>
      <c r="P382" s="69">
        <f t="shared" si="80"/>
        <v>103194.12666666666</v>
      </c>
      <c r="Q382" s="69">
        <f t="shared" si="80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F382" s="81"/>
    </row>
    <row r="383" spans="1:32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97"/>
        <v>0</v>
      </c>
      <c r="O383" s="66">
        <v>0</v>
      </c>
      <c r="P383" s="69">
        <f t="shared" si="80"/>
        <v>0</v>
      </c>
      <c r="Q383" s="69">
        <f t="shared" si="80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F383" s="81"/>
    </row>
    <row r="384" spans="1:32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97"/>
        <v>563757.04</v>
      </c>
      <c r="O384" s="66">
        <f t="shared" si="97"/>
        <v>385395</v>
      </c>
      <c r="P384" s="69">
        <f t="shared" si="80"/>
        <v>187919.01333333334</v>
      </c>
      <c r="Q384" s="69">
        <f t="shared" si="80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F384" s="81"/>
    </row>
    <row r="385" spans="1:32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97"/>
        <v>1218</v>
      </c>
      <c r="O385" s="66">
        <f t="shared" si="97"/>
        <v>18000</v>
      </c>
      <c r="P385" s="69">
        <f t="shared" si="80"/>
        <v>406</v>
      </c>
      <c r="Q385" s="69">
        <f t="shared" si="80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F385" s="81"/>
    </row>
    <row r="386" spans="1:32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/>
      <c r="AA386" s="140"/>
      <c r="AB386" s="82"/>
      <c r="AC386" s="82"/>
      <c r="AD386" s="82"/>
      <c r="AF386" s="81"/>
    </row>
    <row r="387" spans="1:32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97"/>
        <v>3483</v>
      </c>
      <c r="O387" s="66">
        <f t="shared" si="97"/>
        <v>13000</v>
      </c>
      <c r="P387" s="69">
        <f t="shared" si="80"/>
        <v>1161</v>
      </c>
      <c r="Q387" s="69">
        <f t="shared" si="80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F387" s="81"/>
    </row>
    <row r="388" spans="1:32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97"/>
        <v>2892.1</v>
      </c>
      <c r="O388" s="66">
        <f t="shared" si="97"/>
        <v>18250</v>
      </c>
      <c r="P388" s="69">
        <f t="shared" ref="P388:Q450" si="98">N388/3</f>
        <v>964.0333333333333</v>
      </c>
      <c r="Q388" s="69">
        <f t="shared" si="98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F388" s="81"/>
    </row>
    <row r="389" spans="1:32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97"/>
        <v>59350</v>
      </c>
      <c r="O389" s="66">
        <f t="shared" si="97"/>
        <v>38500</v>
      </c>
      <c r="P389" s="69">
        <f t="shared" si="98"/>
        <v>19783.333333333332</v>
      </c>
      <c r="Q389" s="69">
        <f t="shared" si="98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F389" s="81"/>
    </row>
    <row r="390" spans="1:32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97"/>
        <v>123607.99</v>
      </c>
      <c r="O390" s="66">
        <f t="shared" si="97"/>
        <v>94000</v>
      </c>
      <c r="P390" s="69">
        <f t="shared" si="98"/>
        <v>41202.663333333338</v>
      </c>
      <c r="Q390" s="69">
        <f t="shared" si="98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F390" s="81"/>
    </row>
    <row r="391" spans="1:32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97"/>
        <v>1886.2</v>
      </c>
      <c r="O391" s="66">
        <f t="shared" si="97"/>
        <v>3000</v>
      </c>
      <c r="P391" s="69">
        <f t="shared" si="98"/>
        <v>628.73333333333335</v>
      </c>
      <c r="Q391" s="69">
        <f t="shared" si="98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F391" s="81"/>
    </row>
    <row r="392" spans="1:32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97"/>
        <v>103295.59</v>
      </c>
      <c r="O392" s="66">
        <f t="shared" si="97"/>
        <v>55000</v>
      </c>
      <c r="P392" s="69">
        <f t="shared" si="98"/>
        <v>34431.863333333335</v>
      </c>
      <c r="Q392" s="69">
        <f t="shared" si="98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F392" s="81"/>
    </row>
    <row r="393" spans="1:32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97"/>
        <v>35000</v>
      </c>
      <c r="O393" s="66">
        <f t="shared" si="97"/>
        <v>35000</v>
      </c>
      <c r="P393" s="69">
        <f t="shared" si="98"/>
        <v>11666.666666666666</v>
      </c>
      <c r="Q393" s="69">
        <f t="shared" si="98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F393" s="81"/>
    </row>
    <row r="394" spans="1:32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97"/>
        <v>37071.82</v>
      </c>
      <c r="O394" s="66">
        <f t="shared" si="97"/>
        <v>21012</v>
      </c>
      <c r="P394" s="69">
        <f t="shared" si="98"/>
        <v>12357.273333333333</v>
      </c>
      <c r="Q394" s="69">
        <f t="shared" si="98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F394" s="81"/>
    </row>
    <row r="395" spans="1:32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99">ROUND(H395+J395+L395,5)</f>
        <v>8975</v>
      </c>
      <c r="O395" s="66">
        <f t="shared" si="99"/>
        <v>9000</v>
      </c>
      <c r="P395" s="69">
        <f t="shared" si="98"/>
        <v>2991.6666666666665</v>
      </c>
      <c r="Q395" s="69">
        <f t="shared" si="98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F395" s="81"/>
    </row>
    <row r="396" spans="1:32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99"/>
        <v>52589.599999999999</v>
      </c>
      <c r="O396" s="66">
        <f t="shared" si="99"/>
        <v>30000</v>
      </c>
      <c r="P396" s="69">
        <f t="shared" si="98"/>
        <v>17529.866666666665</v>
      </c>
      <c r="Q396" s="69">
        <f t="shared" si="98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F396" s="81"/>
    </row>
    <row r="397" spans="1:32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99"/>
        <v>7521.01</v>
      </c>
      <c r="O397" s="66">
        <f t="shared" si="99"/>
        <v>33000</v>
      </c>
      <c r="P397" s="69">
        <f t="shared" si="98"/>
        <v>2507.0033333333336</v>
      </c>
      <c r="Q397" s="69">
        <f t="shared" si="98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F397" s="81"/>
    </row>
    <row r="398" spans="1:32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99"/>
        <v>0</v>
      </c>
      <c r="O398" s="66">
        <f t="shared" si="99"/>
        <v>600</v>
      </c>
      <c r="P398" s="69">
        <f t="shared" si="98"/>
        <v>0</v>
      </c>
      <c r="Q398" s="69">
        <f t="shared" si="98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F398" s="81"/>
    </row>
    <row r="399" spans="1:32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99"/>
        <v>0</v>
      </c>
      <c r="O399" s="66">
        <f t="shared" si="99"/>
        <v>2000</v>
      </c>
      <c r="P399" s="69">
        <f t="shared" si="98"/>
        <v>0</v>
      </c>
      <c r="Q399" s="69">
        <f t="shared" si="98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F399" s="81"/>
    </row>
    <row r="400" spans="1:32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99"/>
        <v>17586.919999999998</v>
      </c>
      <c r="O400" s="66">
        <f t="shared" si="99"/>
        <v>14000</v>
      </c>
      <c r="P400" s="69">
        <f t="shared" si="98"/>
        <v>5862.3066666666664</v>
      </c>
      <c r="Q400" s="69">
        <f t="shared" si="98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F400" s="81"/>
    </row>
    <row r="401" spans="1:32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99"/>
        <v>263874.56</v>
      </c>
      <c r="O401" s="66">
        <f t="shared" si="99"/>
        <v>238680</v>
      </c>
      <c r="P401" s="69">
        <f t="shared" si="98"/>
        <v>87958.186666666661</v>
      </c>
      <c r="Q401" s="69">
        <f t="shared" si="98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F401" s="81"/>
    </row>
    <row r="402" spans="1:32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99"/>
        <v>40633.14</v>
      </c>
      <c r="O402" s="66">
        <f t="shared" si="99"/>
        <v>30000</v>
      </c>
      <c r="P402" s="69">
        <f t="shared" si="98"/>
        <v>13544.38</v>
      </c>
      <c r="Q402" s="69">
        <f t="shared" si="98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F402" s="81"/>
    </row>
    <row r="403" spans="1:32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F403" s="81"/>
    </row>
    <row r="404" spans="1:32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98"/>
        <v>6954.9000000000005</v>
      </c>
      <c r="Q404" s="74">
        <f t="shared" si="98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F404" s="81"/>
    </row>
    <row r="405" spans="1:32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100">ROUND(SUM(H403:H404),5)</f>
        <v>4300</v>
      </c>
      <c r="I405" s="63">
        <f t="shared" si="100"/>
        <v>5000</v>
      </c>
      <c r="J405" s="64">
        <f t="shared" si="100"/>
        <v>13564.7</v>
      </c>
      <c r="K405" s="64">
        <f t="shared" si="100"/>
        <v>5000</v>
      </c>
      <c r="L405" s="65">
        <f t="shared" si="100"/>
        <v>3000</v>
      </c>
      <c r="M405" s="65">
        <f t="shared" si="100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98"/>
        <v>6954.9000000000005</v>
      </c>
      <c r="Q405" s="69">
        <f t="shared" si="98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F405" s="81"/>
    </row>
    <row r="406" spans="1:32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101">ROUND(H406+J406+L406,5)</f>
        <v>105788.02</v>
      </c>
      <c r="O406" s="66"/>
      <c r="P406" s="69">
        <f t="shared" si="98"/>
        <v>35262.673333333332</v>
      </c>
      <c r="Q406" s="69">
        <f t="shared" si="98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F406" s="81"/>
    </row>
    <row r="407" spans="1:32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101"/>
        <v>27888.79</v>
      </c>
      <c r="O407" s="66">
        <f t="shared" si="101"/>
        <v>14500</v>
      </c>
      <c r="P407" s="69">
        <f t="shared" si="98"/>
        <v>9296.2633333333342</v>
      </c>
      <c r="Q407" s="69">
        <f t="shared" si="98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F407" s="81"/>
    </row>
    <row r="408" spans="1:32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101"/>
        <v>1953.33</v>
      </c>
      <c r="O408" s="66">
        <f t="shared" si="101"/>
        <v>6000</v>
      </c>
      <c r="P408" s="69">
        <f t="shared" si="98"/>
        <v>651.11</v>
      </c>
      <c r="Q408" s="69">
        <f t="shared" si="98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F408" s="81"/>
    </row>
    <row r="409" spans="1:32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101"/>
        <v>30325</v>
      </c>
      <c r="O409" s="66">
        <f t="shared" si="101"/>
        <v>48125</v>
      </c>
      <c r="P409" s="69">
        <f t="shared" si="98"/>
        <v>10108.333333333334</v>
      </c>
      <c r="Q409" s="69">
        <f t="shared" si="98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F409" s="81"/>
    </row>
    <row r="410" spans="1:32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101"/>
        <v>27786.38</v>
      </c>
      <c r="O410" s="66">
        <f t="shared" si="101"/>
        <v>28000</v>
      </c>
      <c r="P410" s="69">
        <f t="shared" si="98"/>
        <v>9262.126666666667</v>
      </c>
      <c r="Q410" s="69">
        <f t="shared" si="98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F410" s="81"/>
    </row>
    <row r="411" spans="1:32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101"/>
        <v>26434.84</v>
      </c>
      <c r="O411" s="66">
        <f t="shared" si="101"/>
        <v>22000</v>
      </c>
      <c r="P411" s="69">
        <f t="shared" si="98"/>
        <v>8811.6133333333328</v>
      </c>
      <c r="Q411" s="69">
        <f t="shared" si="98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F411" s="81"/>
    </row>
    <row r="412" spans="1:32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101"/>
        <v>345.05</v>
      </c>
      <c r="O412" s="66">
        <f t="shared" si="101"/>
        <v>5000</v>
      </c>
      <c r="P412" s="69">
        <f t="shared" si="98"/>
        <v>115.01666666666667</v>
      </c>
      <c r="Q412" s="69">
        <f t="shared" si="98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F412" s="81"/>
    </row>
    <row r="413" spans="1:32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101"/>
        <v>3188.14</v>
      </c>
      <c r="O413" s="66">
        <v>0</v>
      </c>
      <c r="P413" s="69">
        <f t="shared" si="98"/>
        <v>1062.7133333333334</v>
      </c>
      <c r="Q413" s="69">
        <f t="shared" si="98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F413" s="81"/>
    </row>
    <row r="414" spans="1:32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101"/>
        <v>15583.87</v>
      </c>
      <c r="O414" s="66">
        <f t="shared" si="101"/>
        <v>20000</v>
      </c>
      <c r="P414" s="69">
        <f t="shared" si="98"/>
        <v>5194.6233333333339</v>
      </c>
      <c r="Q414" s="69">
        <f t="shared" si="98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F414" s="81"/>
    </row>
    <row r="415" spans="1:32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101"/>
        <v>4107.4799999999996</v>
      </c>
      <c r="O415" s="66">
        <f t="shared" si="101"/>
        <v>8000</v>
      </c>
      <c r="P415" s="69">
        <f t="shared" si="98"/>
        <v>1369.1599999999999</v>
      </c>
      <c r="Q415" s="69">
        <f t="shared" si="98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F415" s="81"/>
    </row>
    <row r="416" spans="1:32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101"/>
        <v>10387.33</v>
      </c>
      <c r="O416" s="66">
        <f t="shared" si="101"/>
        <v>11000</v>
      </c>
      <c r="P416" s="69">
        <f t="shared" si="98"/>
        <v>3462.4433333333332</v>
      </c>
      <c r="Q416" s="69">
        <f t="shared" si="98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F416" s="81"/>
    </row>
    <row r="417" spans="1:37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101"/>
        <v>123299.08</v>
      </c>
      <c r="O417" s="66">
        <f t="shared" si="101"/>
        <v>180000</v>
      </c>
      <c r="P417" s="69">
        <f t="shared" si="98"/>
        <v>41099.693333333336</v>
      </c>
      <c r="Q417" s="69">
        <f t="shared" si="98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F417" s="81"/>
    </row>
    <row r="418" spans="1:37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101"/>
        <v>53539.32</v>
      </c>
      <c r="O418" s="66">
        <f t="shared" si="101"/>
        <v>120000</v>
      </c>
      <c r="P418" s="69">
        <f t="shared" si="98"/>
        <v>17846.439999999999</v>
      </c>
      <c r="Q418" s="69">
        <f t="shared" si="98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F418" s="81"/>
    </row>
    <row r="419" spans="1:37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101"/>
        <v>81778</v>
      </c>
      <c r="O419" s="66">
        <f t="shared" si="101"/>
        <v>99652</v>
      </c>
      <c r="P419" s="69">
        <f t="shared" si="98"/>
        <v>27259.333333333332</v>
      </c>
      <c r="Q419" s="69">
        <f t="shared" si="98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F419" s="81"/>
    </row>
    <row r="420" spans="1:37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101"/>
        <v>148630.20000000001</v>
      </c>
      <c r="O420" s="66">
        <f t="shared" si="101"/>
        <v>100000</v>
      </c>
      <c r="P420" s="69">
        <f t="shared" si="98"/>
        <v>49543.4</v>
      </c>
      <c r="Q420" s="69">
        <f t="shared" si="98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F420" s="81"/>
    </row>
    <row r="421" spans="1:37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101"/>
        <v>1435.5</v>
      </c>
      <c r="O421" s="66">
        <f t="shared" si="101"/>
        <v>10500</v>
      </c>
      <c r="P421" s="69">
        <f t="shared" si="98"/>
        <v>478.5</v>
      </c>
      <c r="Q421" s="69">
        <f t="shared" si="98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F421" s="81"/>
    </row>
    <row r="422" spans="1:37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101"/>
        <v>32871.629999999997</v>
      </c>
      <c r="O422" s="66">
        <f t="shared" si="101"/>
        <v>58400</v>
      </c>
      <c r="P422" s="69">
        <f t="shared" si="98"/>
        <v>10957.21</v>
      </c>
      <c r="Q422" s="69">
        <f t="shared" si="98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F422" s="81"/>
    </row>
    <row r="423" spans="1:37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102">ROUND(SUM(H378:H402)+SUM(H405:H422),5)</f>
        <v>971394.67</v>
      </c>
      <c r="I423" s="75">
        <f t="shared" si="102"/>
        <v>759280</v>
      </c>
      <c r="J423" s="76">
        <f t="shared" si="102"/>
        <v>1081537.1200000001</v>
      </c>
      <c r="K423" s="76">
        <f t="shared" si="102"/>
        <v>896198</v>
      </c>
      <c r="L423" s="77">
        <f t="shared" si="102"/>
        <v>923156.36</v>
      </c>
      <c r="M423" s="77">
        <f t="shared" si="102"/>
        <v>887696</v>
      </c>
      <c r="N423" s="78">
        <f t="shared" si="101"/>
        <v>2976088.15</v>
      </c>
      <c r="O423" s="78">
        <f t="shared" si="101"/>
        <v>2543174</v>
      </c>
      <c r="P423" s="79">
        <f t="shared" si="98"/>
        <v>992029.3833333333</v>
      </c>
      <c r="Q423" s="79">
        <f t="shared" si="98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>ROUND(SUM(AB378:AB422),5)</f>
        <v>904046</v>
      </c>
      <c r="AC423" s="80">
        <f>ROUND(SUM(AC378:AC422),5)</f>
        <v>904046</v>
      </c>
      <c r="AD423" s="80">
        <f>ROUND(SUM(AD378:AD422),5)</f>
        <v>904046</v>
      </c>
      <c r="AF423" s="127">
        <f>AB215-AB423</f>
        <v>-28046</v>
      </c>
    </row>
    <row r="424" spans="1:37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F424" s="128" t="s">
        <v>892</v>
      </c>
    </row>
    <row r="425" spans="1:37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98"/>
        <v>3054.66</v>
      </c>
      <c r="Q425" s="69">
        <f t="shared" si="98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</row>
    <row r="426" spans="1:37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98"/>
        <v>1456.0866666666668</v>
      </c>
      <c r="Q426" s="69">
        <f t="shared" si="98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</row>
    <row r="427" spans="1:37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98"/>
        <v>4510.7466666666669</v>
      </c>
      <c r="Q427" s="87">
        <f t="shared" si="98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>ROUND(SUM(AB424:AB426),5)</f>
        <v>0</v>
      </c>
      <c r="AC427" s="88">
        <f>ROUND(SUM(AC424:AC426),5)</f>
        <v>0</v>
      </c>
      <c r="AD427" s="88">
        <f>ROUND(SUM(AD424:AD426),5)</f>
        <v>0</v>
      </c>
    </row>
    <row r="428" spans="1:37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103">ROUND(H377+H423+H427,5)</f>
        <v>971394.67</v>
      </c>
      <c r="I428" s="63">
        <f t="shared" si="103"/>
        <v>759280</v>
      </c>
      <c r="J428" s="64">
        <f t="shared" si="103"/>
        <v>1094481.01</v>
      </c>
      <c r="K428" s="64">
        <f t="shared" si="103"/>
        <v>896198</v>
      </c>
      <c r="L428" s="65">
        <f t="shared" si="103"/>
        <v>923744.71</v>
      </c>
      <c r="M428" s="65">
        <f t="shared" si="103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98"/>
        <v>996540.13</v>
      </c>
      <c r="Q428" s="69">
        <f t="shared" si="98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>ROUND(AB377+AB423+AB427,5)</f>
        <v>904046</v>
      </c>
      <c r="AC428" s="66">
        <f>ROUND(AC377+AC423+AC427,5)</f>
        <v>904046</v>
      </c>
      <c r="AD428" s="66">
        <f>ROUND(AD377+AD423+AD427,5)</f>
        <v>904046</v>
      </c>
    </row>
    <row r="429" spans="1:37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98"/>
        <v>0</v>
      </c>
      <c r="Q429" s="69">
        <f t="shared" si="98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</row>
    <row r="430" spans="1:37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98"/>
        <v>0</v>
      </c>
      <c r="Q430" s="69">
        <f t="shared" si="98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F430" s="111">
        <v>20000</v>
      </c>
    </row>
    <row r="431" spans="1:37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104">ROUND(H431+J431+L431,5)</f>
        <v>22454.45</v>
      </c>
      <c r="O431" s="66">
        <f t="shared" si="104"/>
        <v>22500</v>
      </c>
      <c r="P431" s="69">
        <f t="shared" si="98"/>
        <v>7484.8166666666666</v>
      </c>
      <c r="Q431" s="69">
        <f t="shared" si="98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f>AF431</f>
        <v>8862.5</v>
      </c>
      <c r="AD431" s="66">
        <f>AF431</f>
        <v>8862.5</v>
      </c>
      <c r="AF431" s="112">
        <f>4800+AK431</f>
        <v>8862.5</v>
      </c>
      <c r="AG431" s="81">
        <f>AB431-Z431</f>
        <v>0</v>
      </c>
      <c r="AH431" s="81">
        <f>AC431-AB431</f>
        <v>-137.5</v>
      </c>
      <c r="AI431" s="46">
        <v>13</v>
      </c>
      <c r="AJ431" s="131">
        <f>AI431/$AI$441</f>
        <v>0.203125</v>
      </c>
      <c r="AK431" s="111">
        <f>$AF$430*AJ431</f>
        <v>4062.5</v>
      </c>
    </row>
    <row r="432" spans="1:37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104"/>
        <v>13414.87</v>
      </c>
      <c r="O432" s="66">
        <f t="shared" si="104"/>
        <v>22500</v>
      </c>
      <c r="P432" s="69">
        <f t="shared" si="98"/>
        <v>4471.6233333333339</v>
      </c>
      <c r="Q432" s="69">
        <f t="shared" si="98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f t="shared" ref="AC432:AC440" si="105">AF432</f>
        <v>6987.5</v>
      </c>
      <c r="AD432" s="66">
        <f t="shared" ref="AD432:AD440" si="106">AF432</f>
        <v>6987.5</v>
      </c>
      <c r="AF432" s="112">
        <f t="shared" ref="AF432:AF440" si="107">4800+AK432</f>
        <v>6987.5</v>
      </c>
      <c r="AG432" s="81">
        <f t="shared" ref="AG432:AG489" si="108">AB432-Z432</f>
        <v>0</v>
      </c>
      <c r="AH432" s="81">
        <f t="shared" ref="AH432:AH495" si="109">AC432-AB432</f>
        <v>-2012.5</v>
      </c>
      <c r="AI432" s="46">
        <v>7</v>
      </c>
      <c r="AJ432" s="131">
        <f t="shared" ref="AJ432:AJ440" si="110">AI432/$AI$441</f>
        <v>0.109375</v>
      </c>
      <c r="AK432" s="111">
        <f t="shared" ref="AK432:AK440" si="111">$AF$430*AJ432</f>
        <v>2187.5</v>
      </c>
    </row>
    <row r="433" spans="1:37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104"/>
        <v>14590.26</v>
      </c>
      <c r="O433" s="66">
        <f t="shared" si="104"/>
        <v>22500</v>
      </c>
      <c r="P433" s="69">
        <f t="shared" si="98"/>
        <v>4863.42</v>
      </c>
      <c r="Q433" s="69">
        <f t="shared" si="98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f t="shared" si="105"/>
        <v>6675</v>
      </c>
      <c r="AD433" s="66">
        <f t="shared" si="106"/>
        <v>6675</v>
      </c>
      <c r="AF433" s="112">
        <f t="shared" si="107"/>
        <v>6675</v>
      </c>
      <c r="AG433" s="81">
        <f t="shared" si="108"/>
        <v>0</v>
      </c>
      <c r="AH433" s="81">
        <f t="shared" si="109"/>
        <v>-2325</v>
      </c>
      <c r="AI433" s="46">
        <v>6</v>
      </c>
      <c r="AJ433" s="131">
        <f t="shared" si="110"/>
        <v>9.375E-2</v>
      </c>
      <c r="AK433" s="111">
        <f t="shared" si="111"/>
        <v>1875</v>
      </c>
    </row>
    <row r="434" spans="1:37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104"/>
        <v>11509.98</v>
      </c>
      <c r="O434" s="66">
        <f t="shared" si="104"/>
        <v>22500</v>
      </c>
      <c r="P434" s="69">
        <f t="shared" si="98"/>
        <v>3836.66</v>
      </c>
      <c r="Q434" s="69">
        <f t="shared" si="98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f t="shared" si="105"/>
        <v>6987.5</v>
      </c>
      <c r="AD434" s="66">
        <f t="shared" si="106"/>
        <v>6987.5</v>
      </c>
      <c r="AF434" s="112">
        <f t="shared" si="107"/>
        <v>6987.5</v>
      </c>
      <c r="AG434" s="81">
        <f t="shared" si="108"/>
        <v>0</v>
      </c>
      <c r="AH434" s="81">
        <f t="shared" si="109"/>
        <v>-2012.5</v>
      </c>
      <c r="AI434" s="46">
        <v>7</v>
      </c>
      <c r="AJ434" s="131">
        <f t="shared" si="110"/>
        <v>0.109375</v>
      </c>
      <c r="AK434" s="111">
        <f t="shared" si="111"/>
        <v>2187.5</v>
      </c>
    </row>
    <row r="435" spans="1:37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104"/>
        <v>19031.37</v>
      </c>
      <c r="O435" s="66">
        <f t="shared" si="104"/>
        <v>22500</v>
      </c>
      <c r="P435" s="69">
        <f t="shared" si="98"/>
        <v>6343.79</v>
      </c>
      <c r="Q435" s="69">
        <f t="shared" si="98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f t="shared" si="105"/>
        <v>7300</v>
      </c>
      <c r="AD435" s="66">
        <f t="shared" si="106"/>
        <v>7300</v>
      </c>
      <c r="AF435" s="112">
        <f t="shared" si="107"/>
        <v>7300</v>
      </c>
      <c r="AG435" s="81">
        <f t="shared" si="108"/>
        <v>0</v>
      </c>
      <c r="AH435" s="81">
        <f t="shared" si="109"/>
        <v>-1700</v>
      </c>
      <c r="AI435" s="46">
        <v>8</v>
      </c>
      <c r="AJ435" s="131">
        <f t="shared" si="110"/>
        <v>0.125</v>
      </c>
      <c r="AK435" s="111">
        <f t="shared" si="111"/>
        <v>2500</v>
      </c>
    </row>
    <row r="436" spans="1:37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104"/>
        <v>19829.439999999999</v>
      </c>
      <c r="O436" s="66">
        <f t="shared" si="104"/>
        <v>22500</v>
      </c>
      <c r="P436" s="69">
        <f t="shared" si="98"/>
        <v>6609.8133333333326</v>
      </c>
      <c r="Q436" s="69">
        <f t="shared" si="98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f t="shared" si="105"/>
        <v>6987.5</v>
      </c>
      <c r="AD436" s="66">
        <f t="shared" si="106"/>
        <v>6987.5</v>
      </c>
      <c r="AF436" s="112">
        <f t="shared" si="107"/>
        <v>6987.5</v>
      </c>
      <c r="AG436" s="81">
        <f t="shared" si="108"/>
        <v>0</v>
      </c>
      <c r="AH436" s="81">
        <f t="shared" si="109"/>
        <v>-2012.5</v>
      </c>
      <c r="AI436" s="46">
        <v>7</v>
      </c>
      <c r="AJ436" s="131">
        <f t="shared" si="110"/>
        <v>0.109375</v>
      </c>
      <c r="AK436" s="111">
        <f t="shared" si="111"/>
        <v>2187.5</v>
      </c>
    </row>
    <row r="437" spans="1:37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104"/>
        <v>6373.1</v>
      </c>
      <c r="O437" s="66">
        <f t="shared" si="104"/>
        <v>22500</v>
      </c>
      <c r="P437" s="69">
        <f t="shared" si="98"/>
        <v>2124.3666666666668</v>
      </c>
      <c r="Q437" s="69">
        <f t="shared" si="98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f t="shared" si="105"/>
        <v>6675</v>
      </c>
      <c r="AD437" s="66">
        <f t="shared" si="106"/>
        <v>6675</v>
      </c>
      <c r="AF437" s="112">
        <f t="shared" si="107"/>
        <v>6675</v>
      </c>
      <c r="AG437" s="81">
        <f t="shared" si="108"/>
        <v>0</v>
      </c>
      <c r="AH437" s="81">
        <f t="shared" si="109"/>
        <v>-2325</v>
      </c>
      <c r="AI437" s="46">
        <v>6</v>
      </c>
      <c r="AJ437" s="131">
        <f t="shared" si="110"/>
        <v>9.375E-2</v>
      </c>
      <c r="AK437" s="111">
        <f t="shared" si="111"/>
        <v>1875</v>
      </c>
    </row>
    <row r="438" spans="1:37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104"/>
        <v>18080.3</v>
      </c>
      <c r="O438" s="66">
        <f t="shared" si="104"/>
        <v>22500</v>
      </c>
      <c r="P438" s="69">
        <f t="shared" si="98"/>
        <v>6026.7666666666664</v>
      </c>
      <c r="Q438" s="69">
        <f t="shared" si="98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f t="shared" si="105"/>
        <v>5737.5</v>
      </c>
      <c r="AD438" s="66">
        <f t="shared" si="106"/>
        <v>5737.5</v>
      </c>
      <c r="AF438" s="112">
        <f t="shared" si="107"/>
        <v>5737.5</v>
      </c>
      <c r="AG438" s="81">
        <f t="shared" si="108"/>
        <v>0</v>
      </c>
      <c r="AH438" s="81">
        <f t="shared" si="109"/>
        <v>-3262.5</v>
      </c>
      <c r="AI438" s="46">
        <v>3</v>
      </c>
      <c r="AJ438" s="131">
        <f t="shared" si="110"/>
        <v>4.6875E-2</v>
      </c>
      <c r="AK438" s="111">
        <f t="shared" si="111"/>
        <v>937.5</v>
      </c>
    </row>
    <row r="439" spans="1:37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104"/>
        <v>7603.5</v>
      </c>
      <c r="O439" s="66">
        <f t="shared" si="104"/>
        <v>22500</v>
      </c>
      <c r="P439" s="69">
        <f t="shared" si="98"/>
        <v>2534.5</v>
      </c>
      <c r="Q439" s="69">
        <f t="shared" si="98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f t="shared" si="105"/>
        <v>5737.5</v>
      </c>
      <c r="AD439" s="66">
        <f t="shared" si="106"/>
        <v>5737.5</v>
      </c>
      <c r="AF439" s="112">
        <f t="shared" si="107"/>
        <v>5737.5</v>
      </c>
      <c r="AG439" s="81">
        <f t="shared" si="108"/>
        <v>0</v>
      </c>
      <c r="AH439" s="81">
        <f t="shared" si="109"/>
        <v>-3262.5</v>
      </c>
      <c r="AI439" s="46">
        <v>3</v>
      </c>
      <c r="AJ439" s="131">
        <f t="shared" si="110"/>
        <v>4.6875E-2</v>
      </c>
      <c r="AK439" s="111">
        <f t="shared" si="111"/>
        <v>937.5</v>
      </c>
    </row>
    <row r="440" spans="1:37" ht="16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104"/>
        <v>10711.38</v>
      </c>
      <c r="O440" s="73">
        <f t="shared" si="104"/>
        <v>22500</v>
      </c>
      <c r="P440" s="74">
        <f t="shared" si="98"/>
        <v>3570.4599999999996</v>
      </c>
      <c r="Q440" s="74">
        <f t="shared" si="98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f t="shared" si="105"/>
        <v>6050</v>
      </c>
      <c r="AD440" s="66">
        <f t="shared" si="106"/>
        <v>6050</v>
      </c>
      <c r="AF440" s="112">
        <f t="shared" si="107"/>
        <v>6050</v>
      </c>
      <c r="AG440" s="81">
        <f t="shared" si="108"/>
        <v>0</v>
      </c>
      <c r="AH440" s="81">
        <f t="shared" si="109"/>
        <v>-2950</v>
      </c>
      <c r="AI440" s="46">
        <v>4</v>
      </c>
      <c r="AJ440" s="131">
        <f t="shared" si="110"/>
        <v>6.25E-2</v>
      </c>
      <c r="AK440" s="111">
        <f t="shared" si="111"/>
        <v>1250</v>
      </c>
    </row>
    <row r="441" spans="1:37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112">ROUND(SUM(H430:H440),5)</f>
        <v>39609.57</v>
      </c>
      <c r="I441" s="63">
        <f t="shared" si="112"/>
        <v>75000</v>
      </c>
      <c r="J441" s="64">
        <f t="shared" si="112"/>
        <v>50436.92</v>
      </c>
      <c r="K441" s="64">
        <f t="shared" si="112"/>
        <v>75000</v>
      </c>
      <c r="L441" s="65">
        <f t="shared" si="112"/>
        <v>53552.160000000003</v>
      </c>
      <c r="M441" s="65">
        <f t="shared" si="112"/>
        <v>75000</v>
      </c>
      <c r="N441" s="66">
        <f t="shared" si="104"/>
        <v>143598.65</v>
      </c>
      <c r="O441" s="66">
        <f t="shared" si="104"/>
        <v>225000</v>
      </c>
      <c r="P441" s="69">
        <f t="shared" si="98"/>
        <v>47866.216666666667</v>
      </c>
      <c r="Q441" s="69">
        <f t="shared" si="98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>ROUND(SUM(AB430:AB440),5)</f>
        <v>90000</v>
      </c>
      <c r="AC441" s="80">
        <f>ROUND(SUM(AC430:AC440),5)</f>
        <v>68000</v>
      </c>
      <c r="AD441" s="80">
        <f>ROUND(SUM(AD430:AD440),5)</f>
        <v>88000</v>
      </c>
      <c r="AF441" s="112">
        <f>SUM(AF431:AF440)</f>
        <v>68000</v>
      </c>
      <c r="AG441" s="81">
        <f t="shared" si="108"/>
        <v>0</v>
      </c>
      <c r="AH441" s="81">
        <f t="shared" si="109"/>
        <v>-22000</v>
      </c>
      <c r="AI441" s="46">
        <f>SUM(AI431:AI440)</f>
        <v>64</v>
      </c>
      <c r="AK441" s="111">
        <f>SUM(AK431:AK440)</f>
        <v>20000</v>
      </c>
    </row>
    <row r="442" spans="1:37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G442" s="81"/>
      <c r="AH442" s="81"/>
    </row>
    <row r="443" spans="1:37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G443" s="81"/>
      <c r="AH443" s="81"/>
    </row>
    <row r="444" spans="1:37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113">ROUND(H444+J444+L444,5)</f>
        <v>3082.32</v>
      </c>
      <c r="O444" s="66">
        <f t="shared" si="113"/>
        <v>6500</v>
      </c>
      <c r="P444" s="69">
        <f t="shared" si="98"/>
        <v>1027.44</v>
      </c>
      <c r="Q444" s="69">
        <f t="shared" si="98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G444" s="81">
        <f t="shared" si="108"/>
        <v>200</v>
      </c>
      <c r="AH444" s="81">
        <f t="shared" si="109"/>
        <v>0</v>
      </c>
      <c r="AI444" s="81">
        <f>AD444-AC444</f>
        <v>0</v>
      </c>
    </row>
    <row r="445" spans="1:37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113"/>
        <v>4346.18</v>
      </c>
      <c r="O445" s="66">
        <f t="shared" si="113"/>
        <v>6500</v>
      </c>
      <c r="P445" s="69">
        <f t="shared" si="98"/>
        <v>1448.7266666666667</v>
      </c>
      <c r="Q445" s="69">
        <f t="shared" si="98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G445" s="81">
        <f t="shared" si="108"/>
        <v>200</v>
      </c>
      <c r="AH445" s="81">
        <f t="shared" si="109"/>
        <v>0</v>
      </c>
      <c r="AI445" s="81">
        <f t="shared" ref="AI445:AI508" si="114">AD445-AC445</f>
        <v>0</v>
      </c>
    </row>
    <row r="446" spans="1:37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113"/>
        <v>1181.1600000000001</v>
      </c>
      <c r="O446" s="66">
        <f t="shared" si="113"/>
        <v>6500</v>
      </c>
      <c r="P446" s="69">
        <f t="shared" si="98"/>
        <v>393.72</v>
      </c>
      <c r="Q446" s="69">
        <f t="shared" si="98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F446" s="89"/>
      <c r="AG446" s="81">
        <f t="shared" si="108"/>
        <v>200</v>
      </c>
      <c r="AH446" s="81">
        <f t="shared" si="109"/>
        <v>0</v>
      </c>
      <c r="AI446" s="81">
        <f t="shared" si="114"/>
        <v>0</v>
      </c>
    </row>
    <row r="447" spans="1:37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113"/>
        <v>1117.28</v>
      </c>
      <c r="O447" s="66">
        <f t="shared" si="113"/>
        <v>3500</v>
      </c>
      <c r="P447" s="69">
        <f t="shared" si="98"/>
        <v>372.42666666666668</v>
      </c>
      <c r="Q447" s="69">
        <f t="shared" si="98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F447" s="89"/>
      <c r="AG447" s="81">
        <f t="shared" si="108"/>
        <v>200</v>
      </c>
      <c r="AH447" s="81">
        <f t="shared" si="109"/>
        <v>0</v>
      </c>
      <c r="AI447" s="81">
        <f t="shared" si="114"/>
        <v>0</v>
      </c>
    </row>
    <row r="448" spans="1:37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113"/>
        <v>5060.6499999999996</v>
      </c>
      <c r="O448" s="66">
        <f t="shared" si="113"/>
        <v>6500</v>
      </c>
      <c r="P448" s="69">
        <f t="shared" si="98"/>
        <v>1686.8833333333332</v>
      </c>
      <c r="Q448" s="69">
        <f t="shared" si="98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F448" s="89"/>
      <c r="AG448" s="81">
        <f t="shared" si="108"/>
        <v>200</v>
      </c>
      <c r="AH448" s="81">
        <f t="shared" si="109"/>
        <v>0</v>
      </c>
      <c r="AI448" s="81">
        <f t="shared" si="114"/>
        <v>0</v>
      </c>
    </row>
    <row r="449" spans="1:35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113"/>
        <v>2560.85</v>
      </c>
      <c r="O449" s="66">
        <f t="shared" si="113"/>
        <v>3500</v>
      </c>
      <c r="P449" s="69">
        <f t="shared" si="98"/>
        <v>853.61666666666667</v>
      </c>
      <c r="Q449" s="69">
        <f t="shared" si="98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5">
        <f>Travel!$T$153</f>
        <v>3700</v>
      </c>
      <c r="AC449" s="65">
        <f>Travel!$T$153</f>
        <v>3700</v>
      </c>
      <c r="AD449" s="65">
        <f>Travel!$T$153</f>
        <v>3700</v>
      </c>
      <c r="AF449" s="116" t="s">
        <v>862</v>
      </c>
      <c r="AG449" s="81">
        <f t="shared" si="108"/>
        <v>200</v>
      </c>
      <c r="AH449" s="81">
        <f t="shared" si="109"/>
        <v>0</v>
      </c>
      <c r="AI449" s="81">
        <f t="shared" si="114"/>
        <v>0</v>
      </c>
    </row>
    <row r="450" spans="1:35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113"/>
        <v>4712.95</v>
      </c>
      <c r="O450" s="66">
        <f t="shared" si="113"/>
        <v>6500</v>
      </c>
      <c r="P450" s="69">
        <f t="shared" si="98"/>
        <v>1570.9833333333333</v>
      </c>
      <c r="Q450" s="69">
        <f t="shared" si="98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F450" s="89"/>
      <c r="AG450" s="81">
        <f t="shared" si="108"/>
        <v>200</v>
      </c>
      <c r="AH450" s="81">
        <f t="shared" si="109"/>
        <v>0</v>
      </c>
      <c r="AI450" s="81">
        <f t="shared" si="114"/>
        <v>0</v>
      </c>
    </row>
    <row r="451" spans="1:35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113"/>
        <v>10623.42</v>
      </c>
      <c r="O451" s="66">
        <f t="shared" si="113"/>
        <v>6500</v>
      </c>
      <c r="P451" s="69">
        <f t="shared" ref="P451:Q508" si="115">N451/3</f>
        <v>3541.14</v>
      </c>
      <c r="Q451" s="69">
        <f t="shared" si="115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5">
        <f>Travel!$T$157</f>
        <v>3700</v>
      </c>
      <c r="AC451" s="65">
        <f>Travel!$T$157</f>
        <v>3700</v>
      </c>
      <c r="AD451" s="65">
        <f>Travel!$T$157</f>
        <v>3700</v>
      </c>
      <c r="AF451" s="116" t="s">
        <v>863</v>
      </c>
      <c r="AG451" s="81">
        <f t="shared" si="108"/>
        <v>200</v>
      </c>
      <c r="AH451" s="81">
        <f t="shared" si="109"/>
        <v>0</v>
      </c>
      <c r="AI451" s="81">
        <f t="shared" si="114"/>
        <v>0</v>
      </c>
    </row>
    <row r="452" spans="1:35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113"/>
        <v>4606.37</v>
      </c>
      <c r="O452" s="66">
        <f t="shared" si="113"/>
        <v>6500</v>
      </c>
      <c r="P452" s="69">
        <f t="shared" si="115"/>
        <v>1535.4566666666667</v>
      </c>
      <c r="Q452" s="69">
        <f t="shared" si="115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F452" s="89"/>
      <c r="AG452" s="81">
        <f t="shared" si="108"/>
        <v>200</v>
      </c>
      <c r="AH452" s="81">
        <f t="shared" si="109"/>
        <v>0</v>
      </c>
      <c r="AI452" s="81">
        <f t="shared" si="114"/>
        <v>0</v>
      </c>
    </row>
    <row r="453" spans="1:35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113"/>
        <v>0</v>
      </c>
      <c r="O453" s="66">
        <f t="shared" si="113"/>
        <v>79500</v>
      </c>
      <c r="P453" s="69">
        <f t="shared" si="115"/>
        <v>0</v>
      </c>
      <c r="Q453" s="69">
        <f t="shared" si="115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5">
        <f>Travel!$R$160</f>
        <v>10000</v>
      </c>
      <c r="AC453" s="65">
        <v>10000</v>
      </c>
      <c r="AD453" s="65">
        <v>10000</v>
      </c>
      <c r="AF453" s="116" t="s">
        <v>865</v>
      </c>
      <c r="AG453" s="81">
        <f t="shared" si="108"/>
        <v>-12000</v>
      </c>
      <c r="AH453" s="81">
        <f t="shared" si="109"/>
        <v>0</v>
      </c>
      <c r="AI453" s="81">
        <f t="shared" si="114"/>
        <v>0</v>
      </c>
    </row>
    <row r="454" spans="1:35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116">ROUND(SUM(H443:H453),5)</f>
        <v>8532.3799999999992</v>
      </c>
      <c r="I454" s="75">
        <f t="shared" si="116"/>
        <v>49500</v>
      </c>
      <c r="J454" s="76">
        <f t="shared" si="116"/>
        <v>10517.83</v>
      </c>
      <c r="K454" s="76">
        <f t="shared" si="116"/>
        <v>31000</v>
      </c>
      <c r="L454" s="77">
        <f t="shared" si="116"/>
        <v>18240.97</v>
      </c>
      <c r="M454" s="77">
        <f t="shared" si="116"/>
        <v>51500</v>
      </c>
      <c r="N454" s="78">
        <f t="shared" si="113"/>
        <v>37291.18</v>
      </c>
      <c r="O454" s="78">
        <f t="shared" si="113"/>
        <v>132000</v>
      </c>
      <c r="P454" s="79">
        <f t="shared" si="115"/>
        <v>12430.393333333333</v>
      </c>
      <c r="Q454" s="79">
        <f t="shared" si="115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>ROUND(SUM(AB443:AB453),5)</f>
        <v>43300</v>
      </c>
      <c r="AC454" s="88">
        <f>ROUND(SUM(AC443:AC453),5)</f>
        <v>43300</v>
      </c>
      <c r="AD454" s="88">
        <f>ROUND(SUM(AD443:AD453),5)</f>
        <v>43300</v>
      </c>
      <c r="AF454" s="89"/>
      <c r="AG454" s="81">
        <f t="shared" si="108"/>
        <v>-10200</v>
      </c>
      <c r="AH454" s="81">
        <f t="shared" si="109"/>
        <v>0</v>
      </c>
      <c r="AI454" s="81">
        <f t="shared" si="114"/>
        <v>0</v>
      </c>
    </row>
    <row r="455" spans="1:35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117">ROUND(H442+SUM(H454:H454),5)</f>
        <v>8532.3799999999992</v>
      </c>
      <c r="I455" s="75">
        <f t="shared" si="117"/>
        <v>49500</v>
      </c>
      <c r="J455" s="76">
        <f t="shared" si="117"/>
        <v>10517.83</v>
      </c>
      <c r="K455" s="76">
        <f t="shared" si="117"/>
        <v>31000</v>
      </c>
      <c r="L455" s="77">
        <f t="shared" si="117"/>
        <v>18240.97</v>
      </c>
      <c r="M455" s="77">
        <f t="shared" si="117"/>
        <v>51500</v>
      </c>
      <c r="N455" s="78">
        <f t="shared" si="113"/>
        <v>37291.18</v>
      </c>
      <c r="O455" s="78">
        <f t="shared" si="113"/>
        <v>132000</v>
      </c>
      <c r="P455" s="79">
        <f t="shared" si="115"/>
        <v>12430.393333333333</v>
      </c>
      <c r="Q455" s="79">
        <f t="shared" si="115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>ROUND(AB442+SUM(AB454:AB454),5)</f>
        <v>43300</v>
      </c>
      <c r="AC455" s="78">
        <f>ROUND(AC442+SUM(AC454:AC454),5)</f>
        <v>43300</v>
      </c>
      <c r="AD455" s="78">
        <f>ROUND(AD442+SUM(AD454:AD454),5)</f>
        <v>43300</v>
      </c>
      <c r="AF455" s="89"/>
      <c r="AG455" s="81">
        <f t="shared" si="108"/>
        <v>-10200</v>
      </c>
      <c r="AH455" s="81">
        <f t="shared" si="109"/>
        <v>0</v>
      </c>
      <c r="AI455" s="81">
        <f t="shared" si="114"/>
        <v>0</v>
      </c>
    </row>
    <row r="456" spans="1:35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F456" s="89"/>
      <c r="AG456" s="81"/>
      <c r="AH456" s="81">
        <f t="shared" si="109"/>
        <v>0</v>
      </c>
      <c r="AI456" s="81">
        <f t="shared" si="114"/>
        <v>0</v>
      </c>
    </row>
    <row r="457" spans="1:35" ht="16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118">ROUND(H457+J457+L457,5)</f>
        <v>9342.6299999999992</v>
      </c>
      <c r="O457" s="66">
        <f t="shared" si="118"/>
        <v>11500</v>
      </c>
      <c r="P457" s="69">
        <f t="shared" si="115"/>
        <v>3114.2099999999996</v>
      </c>
      <c r="Q457" s="69">
        <f t="shared" si="115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5">
        <f>Travel!T170</f>
        <v>9250</v>
      </c>
      <c r="AC457" s="65">
        <v>5000</v>
      </c>
      <c r="AD457" s="65">
        <v>5000</v>
      </c>
      <c r="AF457" s="117" t="s">
        <v>852</v>
      </c>
      <c r="AG457" s="81">
        <f t="shared" si="108"/>
        <v>5750</v>
      </c>
      <c r="AH457" s="81">
        <f t="shared" si="109"/>
        <v>-4250</v>
      </c>
      <c r="AI457" s="81">
        <f t="shared" si="114"/>
        <v>0</v>
      </c>
    </row>
    <row r="458" spans="1:35" ht="16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118"/>
        <v>17829.34</v>
      </c>
      <c r="O458" s="66">
        <f t="shared" si="118"/>
        <v>38500</v>
      </c>
      <c r="P458" s="69">
        <f t="shared" si="115"/>
        <v>5943.1133333333337</v>
      </c>
      <c r="Q458" s="69">
        <f t="shared" si="115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F458" s="89"/>
      <c r="AG458" s="81">
        <f t="shared" si="108"/>
        <v>-6000</v>
      </c>
      <c r="AH458" s="81">
        <f t="shared" si="109"/>
        <v>500</v>
      </c>
      <c r="AI458" s="81">
        <f t="shared" si="114"/>
        <v>0</v>
      </c>
    </row>
    <row r="459" spans="1:35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118"/>
        <v>27125.43</v>
      </c>
      <c r="O459" s="66">
        <f t="shared" si="118"/>
        <v>30000</v>
      </c>
      <c r="P459" s="69">
        <f t="shared" si="115"/>
        <v>9041.81</v>
      </c>
      <c r="Q459" s="69">
        <f t="shared" si="115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F459" s="114"/>
      <c r="AG459" s="81">
        <f t="shared" si="108"/>
        <v>-3000</v>
      </c>
      <c r="AH459" s="81">
        <f t="shared" si="109"/>
        <v>0</v>
      </c>
      <c r="AI459" s="81">
        <f t="shared" si="114"/>
        <v>0</v>
      </c>
    </row>
    <row r="460" spans="1:35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118"/>
        <v>82292.61</v>
      </c>
      <c r="O460" s="66">
        <f t="shared" si="118"/>
        <v>96550</v>
      </c>
      <c r="P460" s="69">
        <f t="shared" si="115"/>
        <v>27430.87</v>
      </c>
      <c r="Q460" s="69">
        <f t="shared" si="115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F460" s="89"/>
      <c r="AG460" s="81">
        <f t="shared" si="108"/>
        <v>0</v>
      </c>
      <c r="AH460" s="81">
        <f t="shared" si="109"/>
        <v>-11550</v>
      </c>
      <c r="AI460" s="81">
        <f t="shared" si="114"/>
        <v>0</v>
      </c>
    </row>
    <row r="461" spans="1:35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118"/>
        <v>77589.72</v>
      </c>
      <c r="O461" s="66">
        <f t="shared" si="118"/>
        <v>107235</v>
      </c>
      <c r="P461" s="69">
        <f t="shared" si="115"/>
        <v>25863.24</v>
      </c>
      <c r="Q461" s="69">
        <f t="shared" si="115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F461" s="89"/>
      <c r="AG461" s="81">
        <f t="shared" si="108"/>
        <v>-10620</v>
      </c>
      <c r="AH461" s="81">
        <f t="shared" si="109"/>
        <v>0</v>
      </c>
      <c r="AI461" s="81">
        <f t="shared" si="114"/>
        <v>0</v>
      </c>
    </row>
    <row r="462" spans="1:35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118"/>
        <v>8410.5499999999993</v>
      </c>
      <c r="O462" s="66">
        <f t="shared" si="118"/>
        <v>9500</v>
      </c>
      <c r="P462" s="69">
        <f t="shared" si="115"/>
        <v>2803.5166666666664</v>
      </c>
      <c r="Q462" s="69">
        <f t="shared" si="115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F462" s="89"/>
      <c r="AG462" s="81">
        <f t="shared" si="108"/>
        <v>200</v>
      </c>
      <c r="AH462" s="81">
        <f t="shared" si="109"/>
        <v>0</v>
      </c>
      <c r="AI462" s="81">
        <f t="shared" si="114"/>
        <v>0</v>
      </c>
    </row>
    <row r="463" spans="1:35" ht="32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118"/>
        <v>1939.64</v>
      </c>
      <c r="O463" s="66">
        <f t="shared" si="118"/>
        <v>16500</v>
      </c>
      <c r="P463" s="69">
        <f t="shared" si="115"/>
        <v>646.54666666666674</v>
      </c>
      <c r="Q463" s="69">
        <f t="shared" si="115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5">
        <v>9000</v>
      </c>
      <c r="AC463" s="65">
        <v>5000</v>
      </c>
      <c r="AD463" s="65">
        <v>5000</v>
      </c>
      <c r="AF463" s="116" t="s">
        <v>864</v>
      </c>
      <c r="AG463" s="81">
        <f t="shared" si="108"/>
        <v>500</v>
      </c>
      <c r="AH463" s="81">
        <f t="shared" si="109"/>
        <v>-4000</v>
      </c>
      <c r="AI463" s="81">
        <f t="shared" si="114"/>
        <v>0</v>
      </c>
    </row>
    <row r="464" spans="1:35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119">ROUND(SUM(H456:H463),5)</f>
        <v>68157.66</v>
      </c>
      <c r="I464" s="75">
        <f t="shared" si="119"/>
        <v>97000</v>
      </c>
      <c r="J464" s="76">
        <f t="shared" si="119"/>
        <v>75651.53</v>
      </c>
      <c r="K464" s="76">
        <f t="shared" si="119"/>
        <v>88000</v>
      </c>
      <c r="L464" s="77">
        <f t="shared" si="119"/>
        <v>80720.73</v>
      </c>
      <c r="M464" s="77">
        <f t="shared" si="119"/>
        <v>124785</v>
      </c>
      <c r="N464" s="78">
        <f t="shared" si="118"/>
        <v>224529.92000000001</v>
      </c>
      <c r="O464" s="78">
        <f t="shared" si="118"/>
        <v>309785</v>
      </c>
      <c r="P464" s="79">
        <f t="shared" si="115"/>
        <v>74843.306666666671</v>
      </c>
      <c r="Q464" s="79">
        <f t="shared" si="115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>ROUND(SUM(AB456:AB463),5)</f>
        <v>125000</v>
      </c>
      <c r="AC464" s="91">
        <f>ROUND(SUM(AC456:AC463),5)</f>
        <v>105700</v>
      </c>
      <c r="AD464" s="91">
        <f>ROUND(SUM(AD456:AD463),5)</f>
        <v>105700</v>
      </c>
      <c r="AF464" s="89"/>
      <c r="AG464" s="81">
        <f t="shared" si="108"/>
        <v>-13170</v>
      </c>
      <c r="AH464" s="81">
        <f t="shared" si="109"/>
        <v>-19300</v>
      </c>
      <c r="AI464" s="81">
        <f t="shared" si="114"/>
        <v>0</v>
      </c>
    </row>
    <row r="465" spans="1:35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115"/>
        <v>0</v>
      </c>
      <c r="Q465" s="69">
        <f t="shared" si="115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F465" s="89"/>
      <c r="AG465" s="81"/>
      <c r="AH465" s="81">
        <f t="shared" si="109"/>
        <v>0</v>
      </c>
      <c r="AI465" s="81">
        <f t="shared" si="114"/>
        <v>0</v>
      </c>
    </row>
    <row r="466" spans="1:35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120">ROUND(H466+J466+L466,5)</f>
        <v>0</v>
      </c>
      <c r="O466" s="66">
        <f t="shared" si="120"/>
        <v>4350</v>
      </c>
      <c r="P466" s="69">
        <f t="shared" si="115"/>
        <v>0</v>
      </c>
      <c r="Q466" s="69">
        <f t="shared" si="115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9">
        <f>Travel!$T$228</f>
        <v>1300</v>
      </c>
      <c r="AC466" s="69">
        <f>Travel!$T$228</f>
        <v>1300</v>
      </c>
      <c r="AD466" s="69">
        <f>Travel!$T$228</f>
        <v>1300</v>
      </c>
      <c r="AF466" s="90" t="s">
        <v>845</v>
      </c>
      <c r="AG466" s="81">
        <f t="shared" si="108"/>
        <v>0</v>
      </c>
      <c r="AH466" s="81">
        <f t="shared" si="109"/>
        <v>0</v>
      </c>
      <c r="AI466" s="81">
        <f t="shared" si="114"/>
        <v>0</v>
      </c>
    </row>
    <row r="467" spans="1:35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120"/>
        <v>6468.36</v>
      </c>
      <c r="O467" s="66">
        <f t="shared" si="120"/>
        <v>27000</v>
      </c>
      <c r="P467" s="69">
        <f t="shared" si="115"/>
        <v>2156.12</v>
      </c>
      <c r="Q467" s="69">
        <f t="shared" si="115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9">
        <f>Travel!$T$233</f>
        <v>18000</v>
      </c>
      <c r="AC467" s="69">
        <v>5000</v>
      </c>
      <c r="AD467" s="69">
        <v>5000</v>
      </c>
      <c r="AF467" s="90" t="s">
        <v>845</v>
      </c>
      <c r="AG467" s="81">
        <f t="shared" si="108"/>
        <v>11000</v>
      </c>
      <c r="AH467" s="81">
        <f t="shared" si="109"/>
        <v>-13000</v>
      </c>
      <c r="AI467" s="81">
        <f t="shared" si="114"/>
        <v>0</v>
      </c>
    </row>
    <row r="468" spans="1:35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120"/>
        <v>1454.32</v>
      </c>
      <c r="O468" s="73">
        <f t="shared" si="120"/>
        <v>7100</v>
      </c>
      <c r="P468" s="74">
        <f t="shared" si="115"/>
        <v>484.77333333333331</v>
      </c>
      <c r="Q468" s="74">
        <f t="shared" si="115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9">
        <f>Travel!$T$237</f>
        <v>0</v>
      </c>
      <c r="AC468" s="69">
        <f>Travel!$T$237</f>
        <v>0</v>
      </c>
      <c r="AD468" s="69">
        <f>Travel!$T$237</f>
        <v>0</v>
      </c>
      <c r="AF468" s="90" t="s">
        <v>845</v>
      </c>
      <c r="AG468" s="81">
        <f t="shared" si="108"/>
        <v>-2600</v>
      </c>
      <c r="AH468" s="81">
        <f t="shared" si="109"/>
        <v>0</v>
      </c>
      <c r="AI468" s="81">
        <f t="shared" si="114"/>
        <v>0</v>
      </c>
    </row>
    <row r="469" spans="1:35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121">ROUND(SUM(H465:H468),5)</f>
        <v>2517.89</v>
      </c>
      <c r="I469" s="63">
        <f t="shared" si="121"/>
        <v>15000</v>
      </c>
      <c r="J469" s="64">
        <f t="shared" si="121"/>
        <v>3142.66</v>
      </c>
      <c r="K469" s="64">
        <f t="shared" si="121"/>
        <v>12550</v>
      </c>
      <c r="L469" s="65">
        <f t="shared" si="121"/>
        <v>2262.13</v>
      </c>
      <c r="M469" s="65">
        <f t="shared" si="121"/>
        <v>10900</v>
      </c>
      <c r="N469" s="66">
        <f t="shared" si="120"/>
        <v>7922.68</v>
      </c>
      <c r="O469" s="66">
        <f t="shared" si="120"/>
        <v>38450</v>
      </c>
      <c r="P469" s="69">
        <f t="shared" si="115"/>
        <v>2640.8933333333334</v>
      </c>
      <c r="Q469" s="69">
        <f t="shared" si="115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>ROUND(SUM(AB465:AB468),5)</f>
        <v>19300</v>
      </c>
      <c r="AC469" s="91">
        <f>ROUND(SUM(AC465:AC468),5)</f>
        <v>6300</v>
      </c>
      <c r="AD469" s="91">
        <f>ROUND(SUM(AD465:AD468),5)</f>
        <v>6300</v>
      </c>
      <c r="AF469" s="89"/>
      <c r="AG469" s="81">
        <f t="shared" si="108"/>
        <v>8400</v>
      </c>
      <c r="AH469" s="81">
        <f t="shared" si="109"/>
        <v>-13000</v>
      </c>
      <c r="AI469" s="81">
        <f t="shared" si="114"/>
        <v>0</v>
      </c>
    </row>
    <row r="470" spans="1:35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F470" s="89"/>
      <c r="AG470" s="81"/>
      <c r="AH470" s="81">
        <f t="shared" si="109"/>
        <v>0</v>
      </c>
      <c r="AI470" s="81">
        <f t="shared" si="114"/>
        <v>0</v>
      </c>
    </row>
    <row r="471" spans="1:35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122">ROUND(H471+J471+L471,5)</f>
        <v>40121.949999999997</v>
      </c>
      <c r="O471" s="66">
        <f t="shared" si="122"/>
        <v>50000</v>
      </c>
      <c r="P471" s="69">
        <f t="shared" si="115"/>
        <v>13373.983333333332</v>
      </c>
      <c r="Q471" s="69">
        <f t="shared" si="115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9">
        <f>Travel!$T$248</f>
        <v>18000</v>
      </c>
      <c r="AC471" s="69">
        <v>20000</v>
      </c>
      <c r="AD471" s="69">
        <v>20000</v>
      </c>
      <c r="AF471" s="90" t="s">
        <v>845</v>
      </c>
      <c r="AG471" s="81">
        <f t="shared" si="108"/>
        <v>-3850</v>
      </c>
      <c r="AH471" s="81">
        <f t="shared" si="109"/>
        <v>2000</v>
      </c>
      <c r="AI471" s="81">
        <f t="shared" si="114"/>
        <v>0</v>
      </c>
    </row>
    <row r="472" spans="1:35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122"/>
        <v>298044.73</v>
      </c>
      <c r="O472" s="66">
        <f t="shared" si="122"/>
        <v>298300</v>
      </c>
      <c r="P472" s="69">
        <f t="shared" si="115"/>
        <v>99348.243333333332</v>
      </c>
      <c r="Q472" s="69">
        <f t="shared" si="115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9">
        <f>Travel!T262</f>
        <v>92000</v>
      </c>
      <c r="AC472" s="69">
        <v>85000</v>
      </c>
      <c r="AD472" s="69">
        <v>85000</v>
      </c>
      <c r="AF472" s="90" t="s">
        <v>845</v>
      </c>
      <c r="AG472" s="81">
        <f t="shared" si="108"/>
        <v>300</v>
      </c>
      <c r="AH472" s="81">
        <f t="shared" si="109"/>
        <v>-7000</v>
      </c>
      <c r="AI472" s="81">
        <f t="shared" si="114"/>
        <v>0</v>
      </c>
    </row>
    <row r="473" spans="1:35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122"/>
        <v>91427.03</v>
      </c>
      <c r="O473" s="66">
        <f t="shared" si="122"/>
        <v>71500</v>
      </c>
      <c r="P473" s="69">
        <f t="shared" si="115"/>
        <v>30475.676666666666</v>
      </c>
      <c r="Q473" s="69">
        <f t="shared" si="115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9">
        <f>Travel!$T$289</f>
        <v>29500</v>
      </c>
      <c r="AC473" s="69">
        <v>27000</v>
      </c>
      <c r="AD473" s="69">
        <v>27000</v>
      </c>
      <c r="AF473" s="90" t="s">
        <v>845</v>
      </c>
      <c r="AG473" s="81">
        <f t="shared" si="108"/>
        <v>2000</v>
      </c>
      <c r="AH473" s="81">
        <f t="shared" si="109"/>
        <v>-2500</v>
      </c>
      <c r="AI473" s="81">
        <f t="shared" si="114"/>
        <v>0</v>
      </c>
    </row>
    <row r="474" spans="1:35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122"/>
        <v>3636.89</v>
      </c>
      <c r="O474" s="66">
        <f t="shared" si="122"/>
        <v>16000</v>
      </c>
      <c r="P474" s="69">
        <f t="shared" si="115"/>
        <v>1212.2966666666666</v>
      </c>
      <c r="Q474" s="69">
        <f t="shared" si="115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9">
        <f>Travel!$T$290</f>
        <v>3000</v>
      </c>
      <c r="AC474" s="69">
        <f>Travel!$T$290</f>
        <v>3000</v>
      </c>
      <c r="AD474" s="69">
        <f>Travel!$T$290</f>
        <v>3000</v>
      </c>
      <c r="AF474" s="90" t="s">
        <v>845</v>
      </c>
      <c r="AG474" s="81">
        <f t="shared" si="108"/>
        <v>0</v>
      </c>
      <c r="AH474" s="81">
        <f t="shared" si="109"/>
        <v>0</v>
      </c>
      <c r="AI474" s="81">
        <f t="shared" si="114"/>
        <v>0</v>
      </c>
    </row>
    <row r="475" spans="1:35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122"/>
        <v>1704.48</v>
      </c>
      <c r="O475" s="66">
        <f t="shared" si="122"/>
        <v>13000</v>
      </c>
      <c r="P475" s="69">
        <f t="shared" si="115"/>
        <v>568.16</v>
      </c>
      <c r="Q475" s="69">
        <f t="shared" si="115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9">
        <f>Travel!$T$291</f>
        <v>9000</v>
      </c>
      <c r="AC475" s="69">
        <f>Travel!$T$291</f>
        <v>9000</v>
      </c>
      <c r="AD475" s="69">
        <f>Travel!$T$291</f>
        <v>9000</v>
      </c>
      <c r="AF475" s="90" t="s">
        <v>845</v>
      </c>
      <c r="AG475" s="81">
        <f t="shared" si="108"/>
        <v>6000</v>
      </c>
      <c r="AH475" s="81">
        <f t="shared" si="109"/>
        <v>0</v>
      </c>
      <c r="AI475" s="81">
        <f t="shared" si="114"/>
        <v>0</v>
      </c>
    </row>
    <row r="476" spans="1:35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122"/>
        <v>323010.53999999998</v>
      </c>
      <c r="O476" s="66">
        <f t="shared" si="122"/>
        <v>333639</v>
      </c>
      <c r="P476" s="69">
        <f t="shared" si="115"/>
        <v>107670.18</v>
      </c>
      <c r="Q476" s="69">
        <f t="shared" si="115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9">
        <f>Travel!$AE$34</f>
        <v>138650</v>
      </c>
      <c r="AC476" s="69">
        <v>110000</v>
      </c>
      <c r="AD476" s="69">
        <v>110000</v>
      </c>
      <c r="AF476" s="90" t="s">
        <v>845</v>
      </c>
      <c r="AG476" s="81">
        <f t="shared" si="108"/>
        <v>29755</v>
      </c>
      <c r="AH476" s="81">
        <f t="shared" si="109"/>
        <v>-28650</v>
      </c>
      <c r="AI476" s="81">
        <f t="shared" si="114"/>
        <v>0</v>
      </c>
    </row>
    <row r="477" spans="1:35" ht="16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122"/>
        <v>38757.58</v>
      </c>
      <c r="O477" s="66">
        <f t="shared" si="122"/>
        <v>20000</v>
      </c>
      <c r="P477" s="69">
        <f t="shared" si="115"/>
        <v>12919.193333333335</v>
      </c>
      <c r="Q477" s="69">
        <f t="shared" si="115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9">
        <f>Travel!$T$292</f>
        <v>17500</v>
      </c>
      <c r="AC477" s="69">
        <f>Travel!$T$292</f>
        <v>17500</v>
      </c>
      <c r="AD477" s="69">
        <f>Travel!$T$292</f>
        <v>17500</v>
      </c>
      <c r="AF477" s="90" t="s">
        <v>845</v>
      </c>
      <c r="AG477" s="81">
        <f t="shared" si="108"/>
        <v>7500</v>
      </c>
      <c r="AH477" s="81">
        <f t="shared" si="109"/>
        <v>0</v>
      </c>
      <c r="AI477" s="81">
        <f t="shared" si="114"/>
        <v>0</v>
      </c>
    </row>
    <row r="478" spans="1:35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122"/>
        <v>9458.01</v>
      </c>
      <c r="O478" s="66">
        <f t="shared" si="122"/>
        <v>15000</v>
      </c>
      <c r="P478" s="69">
        <f t="shared" si="115"/>
        <v>3152.67</v>
      </c>
      <c r="Q478" s="69">
        <f t="shared" si="115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9">
        <f>Travel!$T$293</f>
        <v>5000</v>
      </c>
      <c r="AC478" s="69">
        <f>Travel!$T$293</f>
        <v>5000</v>
      </c>
      <c r="AD478" s="69">
        <f>Travel!$T$293</f>
        <v>5000</v>
      </c>
      <c r="AF478" s="90" t="s">
        <v>845</v>
      </c>
      <c r="AG478" s="81">
        <f t="shared" si="108"/>
        <v>0</v>
      </c>
      <c r="AH478" s="81">
        <f t="shared" si="109"/>
        <v>0</v>
      </c>
      <c r="AI478" s="81">
        <f t="shared" si="114"/>
        <v>0</v>
      </c>
    </row>
    <row r="479" spans="1:35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123">ROUND(SUM(H470:H478),5)</f>
        <v>239537.82</v>
      </c>
      <c r="I479" s="75">
        <f t="shared" si="123"/>
        <v>266000</v>
      </c>
      <c r="J479" s="76">
        <f t="shared" si="123"/>
        <v>275471.45</v>
      </c>
      <c r="K479" s="76">
        <f t="shared" si="123"/>
        <v>278000</v>
      </c>
      <c r="L479" s="77">
        <f t="shared" si="123"/>
        <v>291151.94</v>
      </c>
      <c r="M479" s="77">
        <f t="shared" si="123"/>
        <v>273439</v>
      </c>
      <c r="N479" s="78">
        <f t="shared" si="122"/>
        <v>806161.21</v>
      </c>
      <c r="O479" s="78">
        <f t="shared" si="122"/>
        <v>817439</v>
      </c>
      <c r="P479" s="79">
        <f t="shared" si="115"/>
        <v>268720.40333333332</v>
      </c>
      <c r="Q479" s="79">
        <f t="shared" si="115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>ROUND(SUM(AB470:AB478),5)</f>
        <v>312650</v>
      </c>
      <c r="AC479" s="91">
        <f>ROUND(SUM(AC470:AC478),5)</f>
        <v>276500</v>
      </c>
      <c r="AD479" s="91">
        <f>ROUND(SUM(AD470:AD478),5)</f>
        <v>276500</v>
      </c>
      <c r="AF479" s="89"/>
      <c r="AG479" s="81">
        <f t="shared" si="108"/>
        <v>41705</v>
      </c>
      <c r="AH479" s="81">
        <f t="shared" si="109"/>
        <v>-36150</v>
      </c>
      <c r="AI479" s="81">
        <f t="shared" si="114"/>
        <v>0</v>
      </c>
    </row>
    <row r="480" spans="1:35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F480" s="89"/>
      <c r="AG480" s="81"/>
      <c r="AH480" s="81">
        <f t="shared" si="109"/>
        <v>0</v>
      </c>
      <c r="AI480" s="81">
        <f t="shared" si="114"/>
        <v>0</v>
      </c>
    </row>
    <row r="481" spans="1:35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124">ROUND(H481+J481+L481,5)</f>
        <v>20687.05</v>
      </c>
      <c r="O481" s="66">
        <f t="shared" si="124"/>
        <v>17200</v>
      </c>
      <c r="P481" s="69">
        <f t="shared" si="115"/>
        <v>6895.6833333333334</v>
      </c>
      <c r="Q481" s="69">
        <f t="shared" si="115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9">
        <f>Travel!$T$300</f>
        <v>10500</v>
      </c>
      <c r="AC481" s="69">
        <f>Travel!$T$300</f>
        <v>10500</v>
      </c>
      <c r="AD481" s="69">
        <f>Travel!$T$300</f>
        <v>10500</v>
      </c>
      <c r="AF481" s="150" t="s">
        <v>905</v>
      </c>
      <c r="AG481" s="81">
        <f t="shared" si="108"/>
        <v>0</v>
      </c>
      <c r="AH481" s="81">
        <f t="shared" si="109"/>
        <v>0</v>
      </c>
      <c r="AI481" s="81">
        <f t="shared" si="114"/>
        <v>0</v>
      </c>
    </row>
    <row r="482" spans="1:35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124"/>
        <v>57727.78</v>
      </c>
      <c r="O482" s="66">
        <f t="shared" si="124"/>
        <v>41100</v>
      </c>
      <c r="P482" s="69">
        <f t="shared" si="115"/>
        <v>19242.593333333334</v>
      </c>
      <c r="Q482" s="69">
        <f t="shared" si="115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9">
        <f>Travel!$T$312</f>
        <v>18300</v>
      </c>
      <c r="AC482" s="69">
        <v>15000</v>
      </c>
      <c r="AD482" s="69">
        <v>15000</v>
      </c>
      <c r="AF482" s="90" t="s">
        <v>845</v>
      </c>
      <c r="AG482" s="81">
        <f t="shared" si="108"/>
        <v>0</v>
      </c>
      <c r="AH482" s="81">
        <f t="shared" si="109"/>
        <v>-3300</v>
      </c>
      <c r="AI482" s="81">
        <f t="shared" si="114"/>
        <v>0</v>
      </c>
    </row>
    <row r="483" spans="1:35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124"/>
        <v>70814.95</v>
      </c>
      <c r="O483" s="66">
        <f t="shared" si="124"/>
        <v>78000</v>
      </c>
      <c r="P483" s="69">
        <f t="shared" si="115"/>
        <v>23604.983333333334</v>
      </c>
      <c r="Q483" s="69">
        <f t="shared" si="115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9">
        <f>Travel!$T$332</f>
        <v>30500</v>
      </c>
      <c r="AC483" s="69">
        <v>25000</v>
      </c>
      <c r="AD483" s="69">
        <v>25000</v>
      </c>
      <c r="AF483" s="90" t="s">
        <v>845</v>
      </c>
      <c r="AG483" s="81">
        <f t="shared" si="108"/>
        <v>2000</v>
      </c>
      <c r="AH483" s="81">
        <f t="shared" si="109"/>
        <v>-5500</v>
      </c>
      <c r="AI483" s="81">
        <f t="shared" si="114"/>
        <v>0</v>
      </c>
    </row>
    <row r="484" spans="1:35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124"/>
        <v>4458.2</v>
      </c>
      <c r="O484" s="66">
        <f t="shared" si="124"/>
        <v>14615</v>
      </c>
      <c r="P484" s="69">
        <f t="shared" si="115"/>
        <v>1486.0666666666666</v>
      </c>
      <c r="Q484" s="69">
        <f t="shared" si="115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9">
        <f>Travel!$T$336</f>
        <v>5000</v>
      </c>
      <c r="AC484" s="69">
        <f>Travel!$T$336</f>
        <v>5000</v>
      </c>
      <c r="AD484" s="69">
        <f>Travel!$T$336</f>
        <v>5000</v>
      </c>
      <c r="AF484" s="90" t="s">
        <v>845</v>
      </c>
      <c r="AG484" s="81">
        <f t="shared" si="108"/>
        <v>385</v>
      </c>
      <c r="AH484" s="81">
        <f t="shared" si="109"/>
        <v>0</v>
      </c>
      <c r="AI484" s="81">
        <f t="shared" si="114"/>
        <v>0</v>
      </c>
    </row>
    <row r="485" spans="1:35" ht="2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124"/>
        <v>10610.4</v>
      </c>
      <c r="O485" s="66">
        <f t="shared" si="124"/>
        <v>61200</v>
      </c>
      <c r="P485" s="69">
        <f t="shared" si="115"/>
        <v>3536.7999999999997</v>
      </c>
      <c r="Q485" s="69">
        <f t="shared" si="115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9">
        <f>Travel!$T$352</f>
        <v>21000</v>
      </c>
      <c r="AC485" s="69">
        <v>15000</v>
      </c>
      <c r="AD485" s="69">
        <v>15000</v>
      </c>
      <c r="AE485" s="138" t="s">
        <v>897</v>
      </c>
      <c r="AF485" s="90" t="s">
        <v>845</v>
      </c>
      <c r="AG485" s="81">
        <f t="shared" si="108"/>
        <v>1800</v>
      </c>
      <c r="AH485" s="81">
        <f t="shared" si="109"/>
        <v>-6000</v>
      </c>
      <c r="AI485" s="81">
        <f t="shared" si="114"/>
        <v>0</v>
      </c>
    </row>
    <row r="486" spans="1:35" ht="16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124"/>
        <v>81544.240000000005</v>
      </c>
      <c r="O486" s="66">
        <f t="shared" si="124"/>
        <v>84000</v>
      </c>
      <c r="P486" s="69">
        <f t="shared" si="115"/>
        <v>27181.413333333334</v>
      </c>
      <c r="Q486" s="69">
        <f t="shared" si="115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9">
        <f>Travel!$T$361</f>
        <v>39999.994999999995</v>
      </c>
      <c r="AC486" s="69">
        <v>30000</v>
      </c>
      <c r="AD486" s="69">
        <v>30000</v>
      </c>
      <c r="AF486" s="90" t="s">
        <v>845</v>
      </c>
      <c r="AG486" s="81">
        <f t="shared" si="108"/>
        <v>3499.9949999999953</v>
      </c>
      <c r="AH486" s="81">
        <f t="shared" si="109"/>
        <v>-9999.9949999999953</v>
      </c>
      <c r="AI486" s="81">
        <f t="shared" si="114"/>
        <v>0</v>
      </c>
    </row>
    <row r="487" spans="1:35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124"/>
        <v>2890.95</v>
      </c>
      <c r="O487" s="66">
        <f t="shared" si="124"/>
        <v>5000</v>
      </c>
      <c r="P487" s="69">
        <f t="shared" si="115"/>
        <v>963.65</v>
      </c>
      <c r="Q487" s="69">
        <f t="shared" si="115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9">
        <f>Travel!$T$362</f>
        <v>5000</v>
      </c>
      <c r="AC487" s="69">
        <f>Travel!$T$362</f>
        <v>5000</v>
      </c>
      <c r="AD487" s="69">
        <f>Travel!$T$362</f>
        <v>5000</v>
      </c>
      <c r="AF487" s="90" t="s">
        <v>845</v>
      </c>
      <c r="AG487" s="81">
        <f t="shared" si="108"/>
        <v>0</v>
      </c>
      <c r="AH487" s="81">
        <f t="shared" si="109"/>
        <v>0</v>
      </c>
      <c r="AI487" s="81">
        <f t="shared" si="114"/>
        <v>0</v>
      </c>
    </row>
    <row r="488" spans="1:35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125">ROUND(SUM(H480:H487),5)</f>
        <v>59874.94</v>
      </c>
      <c r="I488" s="75">
        <f t="shared" si="125"/>
        <v>92500</v>
      </c>
      <c r="J488" s="76">
        <f t="shared" si="125"/>
        <v>75252.66</v>
      </c>
      <c r="K488" s="76">
        <f t="shared" si="125"/>
        <v>95000</v>
      </c>
      <c r="L488" s="77">
        <f t="shared" si="125"/>
        <v>113605.97</v>
      </c>
      <c r="M488" s="77">
        <f t="shared" si="125"/>
        <v>113615</v>
      </c>
      <c r="N488" s="78">
        <f t="shared" si="124"/>
        <v>248733.57</v>
      </c>
      <c r="O488" s="78">
        <f t="shared" si="124"/>
        <v>301115</v>
      </c>
      <c r="P488" s="79">
        <f t="shared" si="115"/>
        <v>82911.19</v>
      </c>
      <c r="Q488" s="79">
        <f t="shared" si="115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>ROUND(SUM(AB480:AB487),5)</f>
        <v>130299.995</v>
      </c>
      <c r="AC488" s="91">
        <f>ROUND(SUM(AC480:AC487),5)</f>
        <v>105500</v>
      </c>
      <c r="AD488" s="91">
        <f>ROUND(SUM(AD480:AD487),5)</f>
        <v>105500</v>
      </c>
      <c r="AF488" s="89"/>
      <c r="AG488" s="81">
        <f t="shared" si="108"/>
        <v>7684.9949999999953</v>
      </c>
      <c r="AH488" s="81">
        <f t="shared" si="109"/>
        <v>-24799.994999999995</v>
      </c>
      <c r="AI488" s="81">
        <f t="shared" si="114"/>
        <v>0</v>
      </c>
    </row>
    <row r="489" spans="1:35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126">ROUND(H429+H441+H455+H464+H469+H479+SUM(H488:H488),5)</f>
        <v>418230.26</v>
      </c>
      <c r="I489" s="75">
        <f t="shared" si="126"/>
        <v>595000</v>
      </c>
      <c r="J489" s="76">
        <f t="shared" si="126"/>
        <v>490473.05</v>
      </c>
      <c r="K489" s="76">
        <f t="shared" si="126"/>
        <v>579550</v>
      </c>
      <c r="L489" s="77">
        <f t="shared" si="126"/>
        <v>559533.9</v>
      </c>
      <c r="M489" s="77">
        <f t="shared" si="126"/>
        <v>649239</v>
      </c>
      <c r="N489" s="78">
        <f t="shared" si="124"/>
        <v>1468237.21</v>
      </c>
      <c r="O489" s="78">
        <f t="shared" si="124"/>
        <v>1823789</v>
      </c>
      <c r="P489" s="79">
        <f t="shared" si="115"/>
        <v>489412.40333333332</v>
      </c>
      <c r="Q489" s="79">
        <f t="shared" si="115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>ROUND(AB429+AB441+AB455+AB464+AB469+AB479+SUM(AB488:AB488),5)</f>
        <v>720549.995</v>
      </c>
      <c r="AC489" s="78">
        <f>ROUND(AC429+AC441+AC455+AC464+AC469+AC479+SUM(AC488:AC488),5)</f>
        <v>605300</v>
      </c>
      <c r="AD489" s="78">
        <f>ROUND(AD429+AD441+AD455+AD464+AD469+AD479+SUM(AD488:AD488),5)</f>
        <v>625300</v>
      </c>
      <c r="AF489"/>
      <c r="AG489" s="81">
        <f t="shared" si="108"/>
        <v>34419.994999999995</v>
      </c>
      <c r="AH489" s="81">
        <f t="shared" si="109"/>
        <v>-115249.995</v>
      </c>
      <c r="AI489" s="81">
        <f t="shared" si="114"/>
        <v>20000</v>
      </c>
    </row>
    <row r="490" spans="1:35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115"/>
        <v>0</v>
      </c>
      <c r="Q490" s="69">
        <f t="shared" si="115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F490" s="89"/>
      <c r="AH490" s="81">
        <f t="shared" si="109"/>
        <v>0</v>
      </c>
      <c r="AI490" s="81">
        <f t="shared" si="114"/>
        <v>0</v>
      </c>
    </row>
    <row r="491" spans="1:35" ht="2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3" si="127">ROUND(H491+J491+L491,5)</f>
        <v>10042.5</v>
      </c>
      <c r="O491" s="66">
        <f t="shared" si="127"/>
        <v>30000</v>
      </c>
      <c r="P491" s="69">
        <f t="shared" si="115"/>
        <v>3347.5</v>
      </c>
      <c r="Q491" s="69">
        <f t="shared" si="115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9">
        <v>0</v>
      </c>
      <c r="AC491" s="69">
        <v>0</v>
      </c>
      <c r="AD491" s="69">
        <v>0</v>
      </c>
      <c r="AE491" s="138" t="s">
        <v>897</v>
      </c>
      <c r="AF491" s="90" t="s">
        <v>845</v>
      </c>
      <c r="AG491" s="81">
        <f>AB491-Z491</f>
        <v>0</v>
      </c>
      <c r="AH491" s="81">
        <f t="shared" si="109"/>
        <v>0</v>
      </c>
      <c r="AI491" s="81">
        <f t="shared" si="114"/>
        <v>0</v>
      </c>
    </row>
    <row r="492" spans="1:35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127"/>
        <v>7205.43</v>
      </c>
      <c r="O492" s="66">
        <f t="shared" si="127"/>
        <v>8000</v>
      </c>
      <c r="P492" s="69">
        <f t="shared" si="115"/>
        <v>2401.81</v>
      </c>
      <c r="Q492" s="69">
        <f t="shared" si="115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F492" s="89"/>
      <c r="AG492" s="81">
        <f t="shared" ref="AG492:AG548" si="128">AB492-Z492</f>
        <v>500</v>
      </c>
      <c r="AH492" s="81">
        <f t="shared" si="109"/>
        <v>0</v>
      </c>
      <c r="AI492" s="81">
        <f t="shared" si="114"/>
        <v>0</v>
      </c>
    </row>
    <row r="493" spans="1:35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127"/>
        <v>15127.94</v>
      </c>
      <c r="O493" s="66">
        <f t="shared" si="127"/>
        <v>16500</v>
      </c>
      <c r="P493" s="69">
        <f t="shared" si="115"/>
        <v>5042.6466666666665</v>
      </c>
      <c r="Q493" s="69">
        <f t="shared" si="115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9">
        <v>6000</v>
      </c>
      <c r="AC493" s="69">
        <v>6000</v>
      </c>
      <c r="AD493" s="69">
        <v>6000</v>
      </c>
      <c r="AF493" s="90" t="s">
        <v>845</v>
      </c>
      <c r="AG493" s="81">
        <f t="shared" si="128"/>
        <v>0</v>
      </c>
      <c r="AH493" s="81">
        <f t="shared" si="109"/>
        <v>0</v>
      </c>
      <c r="AI493" s="81">
        <f t="shared" si="114"/>
        <v>0</v>
      </c>
    </row>
    <row r="494" spans="1:35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127"/>
        <v>13298.77</v>
      </c>
      <c r="O494" s="66">
        <f t="shared" si="127"/>
        <v>7000</v>
      </c>
      <c r="P494" s="69">
        <f t="shared" si="115"/>
        <v>4432.9233333333332</v>
      </c>
      <c r="Q494" s="69">
        <f t="shared" si="115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F494" s="89"/>
      <c r="AG494" s="81">
        <f t="shared" si="128"/>
        <v>0</v>
      </c>
      <c r="AH494" s="81">
        <f t="shared" si="109"/>
        <v>0</v>
      </c>
      <c r="AI494" s="81">
        <f t="shared" si="114"/>
        <v>0</v>
      </c>
    </row>
    <row r="495" spans="1:35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127"/>
        <v>510268.35</v>
      </c>
      <c r="O495" s="66">
        <f t="shared" si="127"/>
        <v>437243.12</v>
      </c>
      <c r="P495" s="69">
        <f t="shared" si="115"/>
        <v>170089.44999999998</v>
      </c>
      <c r="Q495" s="69">
        <f t="shared" si="115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>ROUND(AB220*0.0386, 0)</f>
        <v>205031</v>
      </c>
      <c r="AC495" s="66">
        <f>ROUND(AC220*0.0386, 0)</f>
        <v>205031</v>
      </c>
      <c r="AD495" s="66">
        <f>ROUND(AD220*0.0386, 0)</f>
        <v>207550</v>
      </c>
      <c r="AE495" s="152">
        <f>P495/P220</f>
        <v>3.4800965170621478E-2</v>
      </c>
      <c r="AF495" s="93" t="s">
        <v>844</v>
      </c>
      <c r="AG495" s="81">
        <f t="shared" si="128"/>
        <v>25635</v>
      </c>
      <c r="AH495" s="81">
        <f t="shared" si="109"/>
        <v>0</v>
      </c>
      <c r="AI495" s="81">
        <f t="shared" si="114"/>
        <v>2519</v>
      </c>
    </row>
    <row r="496" spans="1:35" ht="16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127"/>
        <v>0</v>
      </c>
      <c r="O496" s="66">
        <f>ROUND(I496+K496+M496,5)</f>
        <v>1000</v>
      </c>
      <c r="P496" s="69">
        <f t="shared" si="115"/>
        <v>0</v>
      </c>
      <c r="Q496" s="69">
        <f t="shared" si="115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152">
        <f>L495/L220</f>
        <v>3.8606937993019626E-2</v>
      </c>
      <c r="AF496" s="89"/>
      <c r="AG496" s="81">
        <f t="shared" si="128"/>
        <v>0</v>
      </c>
      <c r="AH496" s="81">
        <f t="shared" ref="AH496:AH548" si="129">AC496-AB496</f>
        <v>0</v>
      </c>
      <c r="AI496" s="81">
        <f t="shared" si="114"/>
        <v>0</v>
      </c>
    </row>
    <row r="497" spans="1:35" ht="16" x14ac:dyDescent="0.35">
      <c r="A497" s="66"/>
      <c r="B497" s="66"/>
      <c r="C497" s="49"/>
      <c r="D497" s="49"/>
      <c r="E497" s="49" t="s">
        <v>493</v>
      </c>
      <c r="F497" s="49"/>
      <c r="G497" s="49"/>
      <c r="H497" s="63">
        <v>3322.5</v>
      </c>
      <c r="I497" s="63">
        <v>6000</v>
      </c>
      <c r="J497" s="64">
        <v>5750.2</v>
      </c>
      <c r="K497" s="64">
        <v>4000</v>
      </c>
      <c r="L497" s="65">
        <v>26568.75</v>
      </c>
      <c r="M497" s="65">
        <v>4000</v>
      </c>
      <c r="N497" s="66">
        <f t="shared" si="127"/>
        <v>35641.449999999997</v>
      </c>
      <c r="O497" s="66">
        <f t="shared" si="127"/>
        <v>14000</v>
      </c>
      <c r="P497" s="69">
        <f t="shared" si="115"/>
        <v>11880.483333333332</v>
      </c>
      <c r="Q497" s="69">
        <f t="shared" si="115"/>
        <v>4666.666666666667</v>
      </c>
      <c r="R497" s="54"/>
      <c r="S497" s="49"/>
      <c r="T497" s="49"/>
      <c r="U497" s="49"/>
      <c r="V497" s="49"/>
      <c r="W497" s="49" t="s">
        <v>493</v>
      </c>
      <c r="X497" s="49"/>
      <c r="Y497" s="49"/>
      <c r="Z497" s="66">
        <v>37500</v>
      </c>
      <c r="AA497" s="140"/>
      <c r="AB497" s="66">
        <v>24000</v>
      </c>
      <c r="AC497" s="66">
        <v>24000</v>
      </c>
      <c r="AD497" s="66">
        <v>24000</v>
      </c>
      <c r="AF497" s="89"/>
      <c r="AG497" s="81">
        <f t="shared" si="128"/>
        <v>-13500</v>
      </c>
      <c r="AH497" s="81">
        <f t="shared" si="129"/>
        <v>0</v>
      </c>
      <c r="AI497" s="81">
        <f t="shared" si="114"/>
        <v>0</v>
      </c>
    </row>
    <row r="498" spans="1:35" ht="16" x14ac:dyDescent="0.35">
      <c r="A498" s="66"/>
      <c r="B498" s="66"/>
      <c r="C498" s="49"/>
      <c r="D498" s="49"/>
      <c r="E498" s="49" t="s">
        <v>494</v>
      </c>
      <c r="F498" s="49"/>
      <c r="G498" s="49"/>
      <c r="H498" s="63">
        <v>2934</v>
      </c>
      <c r="I498" s="63">
        <v>5607</v>
      </c>
      <c r="J498" s="64">
        <v>0</v>
      </c>
      <c r="K498" s="64">
        <v>0</v>
      </c>
      <c r="L498" s="65">
        <v>0</v>
      </c>
      <c r="M498" s="65">
        <v>0</v>
      </c>
      <c r="N498" s="66">
        <f t="shared" si="127"/>
        <v>2934</v>
      </c>
      <c r="O498" s="66">
        <f t="shared" si="127"/>
        <v>5607</v>
      </c>
      <c r="P498" s="69">
        <f t="shared" si="115"/>
        <v>978</v>
      </c>
      <c r="Q498" s="69">
        <f t="shared" si="115"/>
        <v>1869</v>
      </c>
      <c r="R498" s="54"/>
      <c r="S498" s="49"/>
      <c r="T498" s="49"/>
      <c r="U498" s="49"/>
      <c r="V498" s="49"/>
      <c r="W498" s="49" t="s">
        <v>494</v>
      </c>
      <c r="X498" s="49"/>
      <c r="Y498" s="49"/>
      <c r="Z498" s="66">
        <v>0</v>
      </c>
      <c r="AA498" s="140"/>
      <c r="AB498" s="66">
        <v>0</v>
      </c>
      <c r="AC498" s="66">
        <v>0</v>
      </c>
      <c r="AD498" s="66">
        <v>0</v>
      </c>
      <c r="AF498" s="89"/>
      <c r="AG498" s="81">
        <f t="shared" si="128"/>
        <v>0</v>
      </c>
      <c r="AH498" s="81">
        <f t="shared" si="129"/>
        <v>0</v>
      </c>
      <c r="AI498" s="81">
        <f t="shared" si="114"/>
        <v>0</v>
      </c>
    </row>
    <row r="499" spans="1:35" ht="16" x14ac:dyDescent="0.35">
      <c r="A499" s="66"/>
      <c r="B499" s="66"/>
      <c r="C499" s="49"/>
      <c r="D499" s="49"/>
      <c r="E499" s="49" t="s">
        <v>495</v>
      </c>
      <c r="F499" s="49"/>
      <c r="G499" s="49"/>
      <c r="H499" s="63">
        <v>74809.66</v>
      </c>
      <c r="I499" s="63">
        <v>105600</v>
      </c>
      <c r="J499" s="64">
        <v>52243.49</v>
      </c>
      <c r="K499" s="64">
        <v>53000</v>
      </c>
      <c r="L499" s="65">
        <v>51678.79</v>
      </c>
      <c r="M499" s="65">
        <v>70507</v>
      </c>
      <c r="N499" s="66">
        <f t="shared" si="127"/>
        <v>178731.94</v>
      </c>
      <c r="O499" s="66">
        <f t="shared" si="127"/>
        <v>229107</v>
      </c>
      <c r="P499" s="69">
        <f t="shared" si="115"/>
        <v>59577.313333333332</v>
      </c>
      <c r="Q499" s="69">
        <f t="shared" si="115"/>
        <v>76369</v>
      </c>
      <c r="R499" s="54"/>
      <c r="S499" s="49"/>
      <c r="T499" s="49"/>
      <c r="U499" s="49"/>
      <c r="V499" s="49"/>
      <c r="W499" s="49" t="s">
        <v>495</v>
      </c>
      <c r="X499" s="49"/>
      <c r="Y499" s="49"/>
      <c r="Z499" s="66">
        <v>74122.820000000007</v>
      </c>
      <c r="AA499" s="140"/>
      <c r="AB499" s="66">
        <v>109482.14</v>
      </c>
      <c r="AC499" s="66">
        <v>109482.14</v>
      </c>
      <c r="AD499" s="66">
        <v>109482.14</v>
      </c>
      <c r="AF499" s="89"/>
      <c r="AG499" s="81">
        <f t="shared" si="128"/>
        <v>35359.319999999992</v>
      </c>
      <c r="AH499" s="81">
        <f t="shared" si="129"/>
        <v>0</v>
      </c>
      <c r="AI499" s="81">
        <f t="shared" si="114"/>
        <v>0</v>
      </c>
    </row>
    <row r="500" spans="1:35" ht="16" x14ac:dyDescent="0.35">
      <c r="A500" s="66"/>
      <c r="B500" s="66"/>
      <c r="C500" s="49"/>
      <c r="D500" s="49"/>
      <c r="E500" s="49" t="s">
        <v>496</v>
      </c>
      <c r="F500" s="49"/>
      <c r="G500" s="49"/>
      <c r="H500" s="63">
        <v>2727.19</v>
      </c>
      <c r="I500" s="63">
        <v>4500</v>
      </c>
      <c r="J500" s="64">
        <v>4935.63</v>
      </c>
      <c r="K500" s="64">
        <v>4500</v>
      </c>
      <c r="L500" s="65">
        <v>6253.02</v>
      </c>
      <c r="M500" s="65">
        <v>4025</v>
      </c>
      <c r="N500" s="66">
        <f t="shared" si="127"/>
        <v>13915.84</v>
      </c>
      <c r="O500" s="66">
        <f t="shared" si="127"/>
        <v>13025</v>
      </c>
      <c r="P500" s="69">
        <f t="shared" si="115"/>
        <v>4638.6133333333337</v>
      </c>
      <c r="Q500" s="69">
        <f t="shared" si="115"/>
        <v>4341.666666666667</v>
      </c>
      <c r="R500" s="54"/>
      <c r="S500" s="49"/>
      <c r="T500" s="49"/>
      <c r="U500" s="49"/>
      <c r="V500" s="49"/>
      <c r="W500" s="49" t="s">
        <v>496</v>
      </c>
      <c r="X500" s="49"/>
      <c r="Y500" s="49"/>
      <c r="Z500" s="66">
        <v>8352</v>
      </c>
      <c r="AA500" s="140"/>
      <c r="AB500" s="66">
        <v>4563</v>
      </c>
      <c r="AC500" s="66">
        <v>4563</v>
      </c>
      <c r="AD500" s="66">
        <v>4563</v>
      </c>
      <c r="AF500" s="89"/>
      <c r="AG500" s="81">
        <f t="shared" si="128"/>
        <v>-3789</v>
      </c>
      <c r="AH500" s="81">
        <f t="shared" si="129"/>
        <v>0</v>
      </c>
      <c r="AI500" s="81">
        <f t="shared" si="114"/>
        <v>0</v>
      </c>
    </row>
    <row r="501" spans="1:35" ht="16" x14ac:dyDescent="0.35">
      <c r="A501" s="66"/>
      <c r="B501" s="66"/>
      <c r="C501" s="49"/>
      <c r="D501" s="49"/>
      <c r="E501" s="49" t="s">
        <v>497</v>
      </c>
      <c r="F501" s="49"/>
      <c r="G501" s="49"/>
      <c r="H501" s="63">
        <v>3590</v>
      </c>
      <c r="I501" s="63">
        <v>4608</v>
      </c>
      <c r="J501" s="64">
        <v>3588</v>
      </c>
      <c r="K501" s="64">
        <v>3700</v>
      </c>
      <c r="L501" s="65">
        <v>689</v>
      </c>
      <c r="M501" s="65">
        <v>3600</v>
      </c>
      <c r="N501" s="66">
        <f t="shared" si="127"/>
        <v>7867</v>
      </c>
      <c r="O501" s="66">
        <f t="shared" si="127"/>
        <v>11908</v>
      </c>
      <c r="P501" s="69">
        <f t="shared" si="115"/>
        <v>2622.3333333333335</v>
      </c>
      <c r="Q501" s="69">
        <f t="shared" si="115"/>
        <v>3969.3333333333335</v>
      </c>
      <c r="R501" s="54"/>
      <c r="S501" s="49"/>
      <c r="T501" s="49"/>
      <c r="U501" s="49"/>
      <c r="V501" s="49"/>
      <c r="W501" s="49" t="s">
        <v>497</v>
      </c>
      <c r="X501" s="49"/>
      <c r="Y501" s="49"/>
      <c r="Z501" s="66">
        <v>2000</v>
      </c>
      <c r="AA501" s="140"/>
      <c r="AB501" s="66">
        <v>0</v>
      </c>
      <c r="AC501" s="66">
        <v>0</v>
      </c>
      <c r="AD501" s="66">
        <v>0</v>
      </c>
      <c r="AF501" s="89"/>
      <c r="AG501" s="81">
        <f t="shared" si="128"/>
        <v>-2000</v>
      </c>
      <c r="AH501" s="81">
        <f t="shared" si="129"/>
        <v>0</v>
      </c>
      <c r="AI501" s="81">
        <f t="shared" si="114"/>
        <v>0</v>
      </c>
    </row>
    <row r="502" spans="1:35" ht="16" x14ac:dyDescent="0.35">
      <c r="A502" s="66"/>
      <c r="B502" s="66"/>
      <c r="C502" s="49"/>
      <c r="D502" s="49"/>
      <c r="E502" s="49" t="s">
        <v>498</v>
      </c>
      <c r="F502" s="49"/>
      <c r="G502" s="49"/>
      <c r="H502" s="63">
        <v>12597.17</v>
      </c>
      <c r="I502" s="63">
        <v>12766</v>
      </c>
      <c r="J502" s="64">
        <v>11637.22</v>
      </c>
      <c r="K502" s="64">
        <v>12771.48</v>
      </c>
      <c r="L502" s="65">
        <v>11300</v>
      </c>
      <c r="M502" s="65">
        <v>11832</v>
      </c>
      <c r="N502" s="66">
        <f t="shared" si="127"/>
        <v>35534.39</v>
      </c>
      <c r="O502" s="66">
        <f t="shared" si="127"/>
        <v>37369.480000000003</v>
      </c>
      <c r="P502" s="69">
        <f t="shared" si="115"/>
        <v>11844.796666666667</v>
      </c>
      <c r="Q502" s="69">
        <f t="shared" si="115"/>
        <v>12456.493333333334</v>
      </c>
      <c r="R502" s="54"/>
      <c r="S502" s="49"/>
      <c r="T502" s="49"/>
      <c r="U502" s="49"/>
      <c r="V502" s="49"/>
      <c r="W502" s="49" t="s">
        <v>498</v>
      </c>
      <c r="X502" s="49"/>
      <c r="Y502" s="49"/>
      <c r="Z502" s="66">
        <v>12424</v>
      </c>
      <c r="AA502" s="140"/>
      <c r="AB502" s="66">
        <v>11767.5</v>
      </c>
      <c r="AC502" s="66">
        <v>11767.5</v>
      </c>
      <c r="AD502" s="66">
        <v>11767.5</v>
      </c>
      <c r="AF502" s="89"/>
      <c r="AG502" s="81">
        <f t="shared" si="128"/>
        <v>-656.5</v>
      </c>
      <c r="AH502" s="81">
        <f t="shared" si="129"/>
        <v>0</v>
      </c>
      <c r="AI502" s="81">
        <f t="shared" si="114"/>
        <v>0</v>
      </c>
    </row>
    <row r="503" spans="1:35" ht="16" x14ac:dyDescent="0.35">
      <c r="A503" s="66"/>
      <c r="B503" s="66"/>
      <c r="C503" s="49"/>
      <c r="D503" s="49"/>
      <c r="E503" s="49" t="s">
        <v>499</v>
      </c>
      <c r="F503" s="49"/>
      <c r="G503" s="49"/>
      <c r="H503" s="63">
        <v>12597.14</v>
      </c>
      <c r="I503" s="63">
        <v>12766</v>
      </c>
      <c r="J503" s="64">
        <v>11637.22</v>
      </c>
      <c r="K503" s="64">
        <v>12771.35</v>
      </c>
      <c r="L503" s="65">
        <v>11300</v>
      </c>
      <c r="M503" s="65">
        <v>11832</v>
      </c>
      <c r="N503" s="66">
        <f t="shared" si="127"/>
        <v>35534.36</v>
      </c>
      <c r="O503" s="66">
        <f t="shared" si="127"/>
        <v>37369.35</v>
      </c>
      <c r="P503" s="69">
        <f t="shared" si="115"/>
        <v>11844.786666666667</v>
      </c>
      <c r="Q503" s="69">
        <f t="shared" si="115"/>
        <v>12456.449999999999</v>
      </c>
      <c r="R503" s="54"/>
      <c r="S503" s="49"/>
      <c r="T503" s="49"/>
      <c r="U503" s="49"/>
      <c r="V503" s="49"/>
      <c r="W503" s="49" t="s">
        <v>499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F503" s="89"/>
      <c r="AG503" s="81">
        <f t="shared" si="128"/>
        <v>-656.5</v>
      </c>
      <c r="AH503" s="81">
        <f t="shared" si="129"/>
        <v>0</v>
      </c>
      <c r="AI503" s="81">
        <f t="shared" si="114"/>
        <v>0</v>
      </c>
    </row>
    <row r="504" spans="1:35" ht="16" x14ac:dyDescent="0.35">
      <c r="A504" s="66"/>
      <c r="B504" s="66"/>
      <c r="C504" s="49"/>
      <c r="D504" s="49"/>
      <c r="E504" s="49" t="s">
        <v>500</v>
      </c>
      <c r="F504" s="49"/>
      <c r="G504" s="49"/>
      <c r="H504" s="63">
        <v>4694</v>
      </c>
      <c r="I504" s="63">
        <v>4807</v>
      </c>
      <c r="J504" s="64">
        <v>5020.5</v>
      </c>
      <c r="K504" s="64">
        <v>4700</v>
      </c>
      <c r="L504" s="65">
        <v>5177.16</v>
      </c>
      <c r="M504" s="65">
        <v>5244</v>
      </c>
      <c r="N504" s="66">
        <f t="shared" si="127"/>
        <v>14891.66</v>
      </c>
      <c r="O504" s="66">
        <f t="shared" si="127"/>
        <v>14751</v>
      </c>
      <c r="P504" s="69">
        <f t="shared" si="115"/>
        <v>4963.8866666666663</v>
      </c>
      <c r="Q504" s="69">
        <f t="shared" si="115"/>
        <v>4917</v>
      </c>
      <c r="R504" s="54"/>
      <c r="S504" s="49"/>
      <c r="T504" s="49"/>
      <c r="U504" s="49"/>
      <c r="V504" s="49"/>
      <c r="W504" s="49" t="s">
        <v>500</v>
      </c>
      <c r="X504" s="49"/>
      <c r="Y504" s="49"/>
      <c r="Z504" s="66">
        <v>5411</v>
      </c>
      <c r="AA504" s="140"/>
      <c r="AB504" s="66">
        <f>ROUND(7535.85, 0)</f>
        <v>7536</v>
      </c>
      <c r="AC504" s="66">
        <f>ROUND(7535.85, 0)</f>
        <v>7536</v>
      </c>
      <c r="AD504" s="66">
        <f>ROUND(7535.85, 0)</f>
        <v>7536</v>
      </c>
      <c r="AF504" s="89" t="s">
        <v>880</v>
      </c>
      <c r="AG504" s="81">
        <f t="shared" si="128"/>
        <v>2125</v>
      </c>
      <c r="AH504" s="81">
        <f t="shared" si="129"/>
        <v>0</v>
      </c>
      <c r="AI504" s="81">
        <f t="shared" si="114"/>
        <v>0</v>
      </c>
    </row>
    <row r="505" spans="1:35" ht="16" x14ac:dyDescent="0.35">
      <c r="A505" s="66"/>
      <c r="B505" s="66"/>
      <c r="C505" s="49"/>
      <c r="D505" s="49"/>
      <c r="E505" s="49" t="s">
        <v>501</v>
      </c>
      <c r="F505" s="49"/>
      <c r="G505" s="49"/>
      <c r="H505" s="63">
        <v>0</v>
      </c>
      <c r="I505" s="63">
        <v>0</v>
      </c>
      <c r="J505" s="64">
        <v>14469.34</v>
      </c>
      <c r="K505" s="64">
        <v>2000</v>
      </c>
      <c r="L505" s="65">
        <v>16282.95</v>
      </c>
      <c r="M505" s="65">
        <v>2000</v>
      </c>
      <c r="N505" s="66">
        <f t="shared" si="127"/>
        <v>30752.29</v>
      </c>
      <c r="O505" s="66">
        <f t="shared" si="127"/>
        <v>4000</v>
      </c>
      <c r="P505" s="69">
        <f t="shared" si="115"/>
        <v>10250.763333333334</v>
      </c>
      <c r="Q505" s="69">
        <f t="shared" si="115"/>
        <v>1333.3333333333333</v>
      </c>
      <c r="R505" s="54"/>
      <c r="S505" s="49"/>
      <c r="T505" s="49"/>
      <c r="U505" s="49"/>
      <c r="V505" s="49"/>
      <c r="W505" s="49" t="s">
        <v>501</v>
      </c>
      <c r="X505" s="49"/>
      <c r="Y505" s="49"/>
      <c r="Z505" s="66">
        <v>2000</v>
      </c>
      <c r="AA505" s="140"/>
      <c r="AB505" s="66">
        <v>0</v>
      </c>
      <c r="AC505" s="66">
        <v>0</v>
      </c>
      <c r="AD505" s="66">
        <v>0</v>
      </c>
      <c r="AF505" s="89"/>
      <c r="AG505" s="81">
        <f t="shared" si="128"/>
        <v>-2000</v>
      </c>
      <c r="AH505" s="81">
        <f t="shared" si="129"/>
        <v>0</v>
      </c>
      <c r="AI505" s="81">
        <f t="shared" si="114"/>
        <v>0</v>
      </c>
    </row>
    <row r="506" spans="1:35" ht="16" x14ac:dyDescent="0.35">
      <c r="A506" s="66"/>
      <c r="B506" s="66"/>
      <c r="C506" s="49"/>
      <c r="D506" s="49"/>
      <c r="E506" s="49" t="s">
        <v>502</v>
      </c>
      <c r="F506" s="49"/>
      <c r="G506" s="49"/>
      <c r="H506" s="63">
        <v>15158.69</v>
      </c>
      <c r="I506" s="63">
        <v>50000</v>
      </c>
      <c r="J506" s="64">
        <v>5299.22</v>
      </c>
      <c r="K506" s="64">
        <v>10000</v>
      </c>
      <c r="L506" s="65">
        <v>10963.76</v>
      </c>
      <c r="M506" s="65">
        <v>45000</v>
      </c>
      <c r="N506" s="66">
        <f t="shared" si="127"/>
        <v>31421.67</v>
      </c>
      <c r="O506" s="66">
        <f t="shared" si="127"/>
        <v>105000</v>
      </c>
      <c r="P506" s="69">
        <f t="shared" si="115"/>
        <v>10473.89</v>
      </c>
      <c r="Q506" s="69">
        <f t="shared" si="115"/>
        <v>35000</v>
      </c>
      <c r="R506" s="54"/>
      <c r="S506" s="49"/>
      <c r="T506" s="49"/>
      <c r="U506" s="49"/>
      <c r="V506" s="49"/>
      <c r="W506" s="49" t="s">
        <v>502</v>
      </c>
      <c r="X506" s="49"/>
      <c r="Y506" s="49"/>
      <c r="Z506" s="66">
        <v>20000</v>
      </c>
      <c r="AA506" s="140"/>
      <c r="AB506" s="69">
        <v>20000</v>
      </c>
      <c r="AC506" s="69">
        <v>10000</v>
      </c>
      <c r="AD506" s="69">
        <v>10000</v>
      </c>
      <c r="AF506" s="90" t="s">
        <v>845</v>
      </c>
      <c r="AG506" s="81">
        <f t="shared" si="128"/>
        <v>0</v>
      </c>
      <c r="AH506" s="81">
        <f t="shared" si="129"/>
        <v>-10000</v>
      </c>
      <c r="AI506" s="81">
        <f t="shared" si="114"/>
        <v>0</v>
      </c>
    </row>
    <row r="507" spans="1:35" x14ac:dyDescent="0.35">
      <c r="A507" s="66"/>
      <c r="B507" s="66"/>
      <c r="C507" s="49"/>
      <c r="D507" s="49"/>
      <c r="E507" s="49" t="s">
        <v>503</v>
      </c>
      <c r="F507" s="49"/>
      <c r="G507" s="49"/>
      <c r="H507" s="63">
        <v>1942.71</v>
      </c>
      <c r="I507" s="63">
        <v>0</v>
      </c>
      <c r="J507" s="64">
        <v>1701.44</v>
      </c>
      <c r="K507" s="64">
        <v>1500</v>
      </c>
      <c r="L507" s="65">
        <v>1553.27</v>
      </c>
      <c r="M507" s="65">
        <v>1650</v>
      </c>
      <c r="N507" s="66">
        <f t="shared" si="127"/>
        <v>5197.42</v>
      </c>
      <c r="O507" s="66">
        <f t="shared" si="127"/>
        <v>3150</v>
      </c>
      <c r="P507" s="69">
        <f t="shared" si="115"/>
        <v>1732.4733333333334</v>
      </c>
      <c r="Q507" s="69">
        <f t="shared" si="115"/>
        <v>1050</v>
      </c>
      <c r="R507" s="54"/>
      <c r="S507" s="49"/>
      <c r="T507" s="49"/>
      <c r="U507" s="49"/>
      <c r="V507" s="49"/>
      <c r="W507" s="49" t="s">
        <v>503</v>
      </c>
      <c r="X507" s="49"/>
      <c r="Y507" s="49"/>
      <c r="Z507" s="66">
        <v>1650</v>
      </c>
      <c r="AA507" s="140"/>
      <c r="AB507" s="66">
        <v>1600</v>
      </c>
      <c r="AC507" s="66">
        <v>1600</v>
      </c>
      <c r="AD507" s="66">
        <v>1600</v>
      </c>
      <c r="AG507" s="81">
        <f t="shared" si="128"/>
        <v>-50</v>
      </c>
      <c r="AH507" s="81">
        <f t="shared" si="129"/>
        <v>0</v>
      </c>
      <c r="AI507" s="81">
        <f t="shared" si="114"/>
        <v>0</v>
      </c>
    </row>
    <row r="508" spans="1:35" x14ac:dyDescent="0.35">
      <c r="A508" s="66"/>
      <c r="B508" s="66"/>
      <c r="C508" s="49"/>
      <c r="D508" s="49"/>
      <c r="E508" s="49" t="s">
        <v>504</v>
      </c>
      <c r="F508" s="49"/>
      <c r="G508" s="49"/>
      <c r="H508" s="63">
        <v>43056.86</v>
      </c>
      <c r="I508" s="63">
        <v>43200</v>
      </c>
      <c r="J508" s="64">
        <v>49577.21</v>
      </c>
      <c r="K508" s="64">
        <v>40000</v>
      </c>
      <c r="L508" s="65">
        <v>49198.66</v>
      </c>
      <c r="M508" s="65">
        <v>43000</v>
      </c>
      <c r="N508" s="66">
        <f t="shared" si="127"/>
        <v>141832.73000000001</v>
      </c>
      <c r="O508" s="66">
        <f t="shared" si="127"/>
        <v>126200</v>
      </c>
      <c r="P508" s="69">
        <f t="shared" si="115"/>
        <v>47277.576666666668</v>
      </c>
      <c r="Q508" s="69">
        <f t="shared" si="115"/>
        <v>42066.666666666664</v>
      </c>
      <c r="R508" s="54"/>
      <c r="S508" s="49"/>
      <c r="T508" s="49"/>
      <c r="U508" s="49"/>
      <c r="V508" s="49"/>
      <c r="W508" s="49" t="s">
        <v>504</v>
      </c>
      <c r="X508" s="49"/>
      <c r="Y508" s="49"/>
      <c r="Z508" s="66">
        <v>53400</v>
      </c>
      <c r="AA508" s="140"/>
      <c r="AB508" s="66">
        <v>50400</v>
      </c>
      <c r="AC508" s="66">
        <v>50400</v>
      </c>
      <c r="AD508" s="66">
        <v>50400</v>
      </c>
      <c r="AF508" s="111"/>
      <c r="AG508" s="81">
        <f t="shared" si="128"/>
        <v>-3000</v>
      </c>
      <c r="AH508" s="81">
        <f t="shared" si="129"/>
        <v>0</v>
      </c>
      <c r="AI508" s="81">
        <f t="shared" si="114"/>
        <v>0</v>
      </c>
    </row>
    <row r="509" spans="1:35" x14ac:dyDescent="0.35">
      <c r="A509" s="66"/>
      <c r="B509" s="66"/>
      <c r="C509" s="49"/>
      <c r="D509" s="49"/>
      <c r="E509" s="49" t="s">
        <v>505</v>
      </c>
      <c r="F509" s="49"/>
      <c r="G509" s="49"/>
      <c r="H509" s="63">
        <v>29693.03</v>
      </c>
      <c r="I509" s="63">
        <v>25200</v>
      </c>
      <c r="J509" s="64">
        <v>29633.54</v>
      </c>
      <c r="K509" s="64">
        <v>26000</v>
      </c>
      <c r="L509" s="65">
        <v>30299.87</v>
      </c>
      <c r="M509" s="65">
        <v>30000</v>
      </c>
      <c r="N509" s="66">
        <f t="shared" si="127"/>
        <v>89626.44</v>
      </c>
      <c r="O509" s="66">
        <f t="shared" si="127"/>
        <v>81200</v>
      </c>
      <c r="P509" s="69">
        <f t="shared" ref="P509:Q569" si="130">N509/3</f>
        <v>29875.48</v>
      </c>
      <c r="Q509" s="69">
        <f t="shared" si="130"/>
        <v>27066.666666666668</v>
      </c>
      <c r="R509" s="54"/>
      <c r="S509" s="49"/>
      <c r="T509" s="49"/>
      <c r="U509" s="49"/>
      <c r="V509" s="49"/>
      <c r="W509" s="49" t="s">
        <v>505</v>
      </c>
      <c r="X509" s="49"/>
      <c r="Y509" s="49"/>
      <c r="Z509" s="66">
        <v>32964</v>
      </c>
      <c r="AA509" s="140"/>
      <c r="AB509" s="66">
        <v>29886</v>
      </c>
      <c r="AC509" s="66">
        <v>29886</v>
      </c>
      <c r="AD509" s="66">
        <v>29886</v>
      </c>
      <c r="AF509" s="112"/>
      <c r="AG509" s="81">
        <f t="shared" si="128"/>
        <v>-3078</v>
      </c>
      <c r="AH509" s="81">
        <f t="shared" si="129"/>
        <v>0</v>
      </c>
      <c r="AI509" s="81">
        <f t="shared" ref="AI509:AI548" si="131">AD509-AC509</f>
        <v>0</v>
      </c>
    </row>
    <row r="510" spans="1:35" x14ac:dyDescent="0.35">
      <c r="A510" s="66"/>
      <c r="B510" s="66"/>
      <c r="C510" s="49"/>
      <c r="D510" s="49"/>
      <c r="E510" s="49" t="s">
        <v>506</v>
      </c>
      <c r="F510" s="49"/>
      <c r="G510" s="49"/>
      <c r="H510" s="63">
        <v>0</v>
      </c>
      <c r="I510" s="63">
        <v>700</v>
      </c>
      <c r="J510" s="64">
        <v>0</v>
      </c>
      <c r="K510" s="64">
        <v>500</v>
      </c>
      <c r="L510" s="65">
        <v>0</v>
      </c>
      <c r="M510" s="65">
        <v>575</v>
      </c>
      <c r="N510" s="66">
        <f t="shared" si="127"/>
        <v>0</v>
      </c>
      <c r="O510" s="66">
        <f t="shared" si="127"/>
        <v>1775</v>
      </c>
      <c r="P510" s="69">
        <f t="shared" si="130"/>
        <v>0</v>
      </c>
      <c r="Q510" s="69">
        <f t="shared" si="130"/>
        <v>591.66666666666663</v>
      </c>
      <c r="R510" s="54"/>
      <c r="S510" s="49"/>
      <c r="T510" s="49"/>
      <c r="U510" s="49"/>
      <c r="V510" s="49"/>
      <c r="W510" s="49" t="s">
        <v>506</v>
      </c>
      <c r="X510" s="49"/>
      <c r="Y510" s="49"/>
      <c r="Z510" s="66">
        <v>700</v>
      </c>
      <c r="AA510" s="140"/>
      <c r="AB510" s="66">
        <v>700</v>
      </c>
      <c r="AC510" s="66">
        <v>700</v>
      </c>
      <c r="AD510" s="66">
        <v>700</v>
      </c>
      <c r="AG510" s="81">
        <f t="shared" si="128"/>
        <v>0</v>
      </c>
      <c r="AH510" s="81">
        <f t="shared" si="129"/>
        <v>0</v>
      </c>
      <c r="AI510" s="81">
        <f t="shared" si="131"/>
        <v>0</v>
      </c>
    </row>
    <row r="511" spans="1:35" x14ac:dyDescent="0.35">
      <c r="A511" s="66"/>
      <c r="B511" s="66"/>
      <c r="C511" s="49"/>
      <c r="D511" s="49"/>
      <c r="E511" s="49" t="s">
        <v>507</v>
      </c>
      <c r="F511" s="49"/>
      <c r="G511" s="49"/>
      <c r="H511" s="63">
        <v>11143.42</v>
      </c>
      <c r="I511" s="63">
        <v>11688</v>
      </c>
      <c r="J511" s="64">
        <v>11624.25</v>
      </c>
      <c r="K511" s="64">
        <v>10368</v>
      </c>
      <c r="L511" s="65">
        <v>11804</v>
      </c>
      <c r="M511" s="65">
        <v>11238</v>
      </c>
      <c r="N511" s="66">
        <f t="shared" si="127"/>
        <v>34571.67</v>
      </c>
      <c r="O511" s="66">
        <f t="shared" si="127"/>
        <v>33294</v>
      </c>
      <c r="P511" s="69">
        <f t="shared" si="130"/>
        <v>11523.89</v>
      </c>
      <c r="Q511" s="69">
        <f t="shared" si="130"/>
        <v>11098</v>
      </c>
      <c r="R511" s="54"/>
      <c r="S511" s="49"/>
      <c r="T511" s="49"/>
      <c r="U511" s="49"/>
      <c r="V511" s="49"/>
      <c r="W511" s="49" t="s">
        <v>507</v>
      </c>
      <c r="X511" s="49"/>
      <c r="Y511" s="49"/>
      <c r="Z511" s="66">
        <v>10173</v>
      </c>
      <c r="AA511" s="140"/>
      <c r="AB511" s="66">
        <v>13488</v>
      </c>
      <c r="AC511" s="66">
        <v>13488</v>
      </c>
      <c r="AD511" s="66">
        <v>13488</v>
      </c>
      <c r="AG511" s="81">
        <f t="shared" si="128"/>
        <v>3315</v>
      </c>
      <c r="AH511" s="81">
        <f t="shared" si="129"/>
        <v>0</v>
      </c>
      <c r="AI511" s="81">
        <f t="shared" si="131"/>
        <v>0</v>
      </c>
    </row>
    <row r="512" spans="1:35" x14ac:dyDescent="0.35">
      <c r="A512" s="66"/>
      <c r="B512" s="66"/>
      <c r="C512" s="49"/>
      <c r="D512" s="49"/>
      <c r="E512" s="49" t="s">
        <v>508</v>
      </c>
      <c r="F512" s="49"/>
      <c r="G512" s="49"/>
      <c r="H512" s="63">
        <v>23426.28</v>
      </c>
      <c r="I512" s="63">
        <v>12424</v>
      </c>
      <c r="J512" s="64">
        <v>25016.84</v>
      </c>
      <c r="K512" s="64">
        <v>23200</v>
      </c>
      <c r="L512" s="65">
        <v>28552.11</v>
      </c>
      <c r="M512" s="65">
        <v>26073</v>
      </c>
      <c r="N512" s="66">
        <f t="shared" si="127"/>
        <v>76995.23</v>
      </c>
      <c r="O512" s="66">
        <f t="shared" si="127"/>
        <v>61697</v>
      </c>
      <c r="P512" s="69">
        <f t="shared" si="130"/>
        <v>25665.076666666664</v>
      </c>
      <c r="Q512" s="69">
        <f t="shared" si="130"/>
        <v>20565.666666666668</v>
      </c>
      <c r="R512" s="54"/>
      <c r="S512" s="49"/>
      <c r="T512" s="49"/>
      <c r="U512" s="49"/>
      <c r="V512" s="49"/>
      <c r="W512" s="49" t="s">
        <v>508</v>
      </c>
      <c r="X512" s="49"/>
      <c r="Y512" s="49"/>
      <c r="Z512" s="66">
        <v>29969</v>
      </c>
      <c r="AA512" s="140"/>
      <c r="AB512" s="66">
        <v>0</v>
      </c>
      <c r="AC512" s="66">
        <v>0</v>
      </c>
      <c r="AD512" s="66">
        <v>0</v>
      </c>
      <c r="AF512" s="46" t="s">
        <v>847</v>
      </c>
      <c r="AG512" s="81">
        <f t="shared" si="128"/>
        <v>-29969</v>
      </c>
      <c r="AH512" s="81">
        <f t="shared" si="129"/>
        <v>0</v>
      </c>
      <c r="AI512" s="81">
        <f t="shared" si="131"/>
        <v>0</v>
      </c>
    </row>
    <row r="513" spans="1:35" x14ac:dyDescent="0.35">
      <c r="A513" s="66"/>
      <c r="B513" s="66"/>
      <c r="C513" s="49"/>
      <c r="D513" s="49"/>
      <c r="E513" s="49" t="s">
        <v>509</v>
      </c>
      <c r="F513" s="49"/>
      <c r="G513" s="49"/>
      <c r="H513" s="63">
        <v>32596.51</v>
      </c>
      <c r="I513" s="63">
        <v>32227.24</v>
      </c>
      <c r="J513" s="64">
        <v>35370.050000000003</v>
      </c>
      <c r="K513" s="64">
        <v>32800</v>
      </c>
      <c r="L513" s="65">
        <v>38961.4</v>
      </c>
      <c r="M513" s="65">
        <v>35599</v>
      </c>
      <c r="N513" s="66">
        <f t="shared" si="127"/>
        <v>106927.96</v>
      </c>
      <c r="O513" s="66">
        <f t="shared" si="127"/>
        <v>100626.24000000001</v>
      </c>
      <c r="P513" s="69">
        <f t="shared" si="130"/>
        <v>35642.653333333335</v>
      </c>
      <c r="Q513" s="69">
        <f t="shared" si="130"/>
        <v>33542.080000000002</v>
      </c>
      <c r="R513" s="54"/>
      <c r="S513" s="49"/>
      <c r="T513" s="49"/>
      <c r="U513" s="49"/>
      <c r="V513" s="49"/>
      <c r="W513" s="49" t="s">
        <v>509</v>
      </c>
      <c r="X513" s="49"/>
      <c r="Y513" s="49"/>
      <c r="Z513" s="66">
        <v>50578</v>
      </c>
      <c r="AA513" s="140"/>
      <c r="AB513" s="66">
        <v>49805</v>
      </c>
      <c r="AC513" s="66">
        <v>49805</v>
      </c>
      <c r="AD513" s="66">
        <v>49805</v>
      </c>
      <c r="AG513" s="81">
        <f t="shared" si="128"/>
        <v>-773</v>
      </c>
      <c r="AH513" s="81">
        <f t="shared" si="129"/>
        <v>0</v>
      </c>
      <c r="AI513" s="81">
        <f t="shared" si="131"/>
        <v>0</v>
      </c>
    </row>
    <row r="514" spans="1:35" x14ac:dyDescent="0.35">
      <c r="A514" s="66"/>
      <c r="B514" s="66"/>
      <c r="C514" s="49"/>
      <c r="D514" s="49"/>
      <c r="E514" s="49" t="s">
        <v>510</v>
      </c>
      <c r="F514" s="49"/>
      <c r="G514" s="49"/>
      <c r="H514" s="63"/>
      <c r="I514" s="63"/>
      <c r="J514" s="64"/>
      <c r="K514" s="64"/>
      <c r="L514" s="65"/>
      <c r="M514" s="65"/>
      <c r="N514" s="66"/>
      <c r="O514" s="66"/>
      <c r="P514" s="69"/>
      <c r="Q514" s="69"/>
      <c r="R514" s="54"/>
      <c r="S514" s="49"/>
      <c r="T514" s="49"/>
      <c r="U514" s="49"/>
      <c r="V514" s="49"/>
      <c r="W514" s="49" t="s">
        <v>510</v>
      </c>
      <c r="X514" s="49"/>
      <c r="Y514" s="49"/>
      <c r="Z514" s="66"/>
      <c r="AA514" s="140"/>
      <c r="AB514" s="66"/>
      <c r="AC514" s="66"/>
      <c r="AD514" s="66"/>
      <c r="AG514" s="81">
        <f t="shared" si="128"/>
        <v>0</v>
      </c>
      <c r="AH514" s="81">
        <f t="shared" si="129"/>
        <v>0</v>
      </c>
      <c r="AI514" s="81">
        <f t="shared" si="131"/>
        <v>0</v>
      </c>
    </row>
    <row r="515" spans="1:35" x14ac:dyDescent="0.35">
      <c r="A515" s="66"/>
      <c r="B515" s="66"/>
      <c r="C515" s="49"/>
      <c r="D515" s="49"/>
      <c r="E515" s="49"/>
      <c r="F515" s="49" t="s">
        <v>511</v>
      </c>
      <c r="G515" s="49"/>
      <c r="H515" s="63">
        <v>8700</v>
      </c>
      <c r="I515" s="63">
        <v>15000</v>
      </c>
      <c r="J515" s="64">
        <v>24061</v>
      </c>
      <c r="K515" s="64">
        <v>25000</v>
      </c>
      <c r="L515" s="65">
        <v>24976</v>
      </c>
      <c r="M515" s="65">
        <v>25000</v>
      </c>
      <c r="N515" s="66">
        <f t="shared" ref="N515:O530" si="132">ROUND(H515+J515+L515,5)</f>
        <v>57737</v>
      </c>
      <c r="O515" s="66">
        <f t="shared" si="132"/>
        <v>65000</v>
      </c>
      <c r="P515" s="69">
        <f t="shared" si="130"/>
        <v>19245.666666666668</v>
      </c>
      <c r="Q515" s="69">
        <f t="shared" si="130"/>
        <v>21666.666666666668</v>
      </c>
      <c r="R515" s="54"/>
      <c r="S515" s="49"/>
      <c r="T515" s="49"/>
      <c r="U515" s="49"/>
      <c r="V515" s="49"/>
      <c r="W515" s="49"/>
      <c r="X515" s="49" t="s">
        <v>511</v>
      </c>
      <c r="Y515" s="49"/>
      <c r="Z515" s="66">
        <v>25000</v>
      </c>
      <c r="AA515" s="140"/>
      <c r="AB515" s="66">
        <v>25000</v>
      </c>
      <c r="AC515" s="66">
        <v>20000</v>
      </c>
      <c r="AD515" s="66">
        <v>20000</v>
      </c>
      <c r="AG515" s="81">
        <f t="shared" si="128"/>
        <v>0</v>
      </c>
      <c r="AH515" s="81">
        <f t="shared" si="129"/>
        <v>-5000</v>
      </c>
      <c r="AI515" s="81">
        <f t="shared" si="131"/>
        <v>0</v>
      </c>
    </row>
    <row r="516" spans="1:35" x14ac:dyDescent="0.35">
      <c r="A516" s="66"/>
      <c r="B516" s="66"/>
      <c r="C516" s="49"/>
      <c r="D516" s="49"/>
      <c r="E516" s="49"/>
      <c r="F516" s="49" t="s">
        <v>512</v>
      </c>
      <c r="G516" s="49"/>
      <c r="H516" s="63">
        <v>968.76</v>
      </c>
      <c r="I516" s="63">
        <v>40000</v>
      </c>
      <c r="J516" s="64">
        <v>11604.98</v>
      </c>
      <c r="K516" s="64">
        <v>18000</v>
      </c>
      <c r="L516" s="65">
        <v>9768.11</v>
      </c>
      <c r="M516" s="65">
        <v>30000</v>
      </c>
      <c r="N516" s="66">
        <f t="shared" si="132"/>
        <v>22341.85</v>
      </c>
      <c r="O516" s="66">
        <f t="shared" si="132"/>
        <v>88000</v>
      </c>
      <c r="P516" s="69">
        <f t="shared" si="130"/>
        <v>7447.2833333333328</v>
      </c>
      <c r="Q516" s="69">
        <f t="shared" si="130"/>
        <v>29333.333333333332</v>
      </c>
      <c r="R516" s="54"/>
      <c r="S516" s="49"/>
      <c r="T516" s="49"/>
      <c r="U516" s="49"/>
      <c r="V516" s="49"/>
      <c r="W516" s="49"/>
      <c r="X516" s="49" t="s">
        <v>512</v>
      </c>
      <c r="Y516" s="49"/>
      <c r="Z516" s="66">
        <v>35000</v>
      </c>
      <c r="AA516" s="140"/>
      <c r="AB516" s="66">
        <v>20000</v>
      </c>
      <c r="AC516" s="66">
        <v>15000</v>
      </c>
      <c r="AD516" s="66">
        <v>15000</v>
      </c>
      <c r="AG516" s="81">
        <f t="shared" si="128"/>
        <v>-15000</v>
      </c>
      <c r="AH516" s="81">
        <f t="shared" si="129"/>
        <v>-5000</v>
      </c>
      <c r="AI516" s="81">
        <f t="shared" si="131"/>
        <v>0</v>
      </c>
    </row>
    <row r="517" spans="1:35" ht="16" thickBot="1" x14ac:dyDescent="0.4">
      <c r="A517" s="66"/>
      <c r="B517" s="66"/>
      <c r="C517" s="49"/>
      <c r="D517" s="49"/>
      <c r="E517" s="49"/>
      <c r="F517" s="49" t="s">
        <v>513</v>
      </c>
      <c r="G517" s="49"/>
      <c r="H517" s="70">
        <v>18640.98</v>
      </c>
      <c r="I517" s="70">
        <v>20000</v>
      </c>
      <c r="J517" s="71">
        <v>34056.79</v>
      </c>
      <c r="K517" s="71">
        <v>15000</v>
      </c>
      <c r="L517" s="72">
        <v>41936.720000000001</v>
      </c>
      <c r="M517" s="72">
        <v>20000</v>
      </c>
      <c r="N517" s="73">
        <f t="shared" si="132"/>
        <v>94634.49</v>
      </c>
      <c r="O517" s="73">
        <f t="shared" si="132"/>
        <v>55000</v>
      </c>
      <c r="P517" s="74">
        <f t="shared" si="130"/>
        <v>31544.83</v>
      </c>
      <c r="Q517" s="74">
        <f t="shared" si="130"/>
        <v>18333.333333333332</v>
      </c>
      <c r="R517" s="54"/>
      <c r="S517" s="49"/>
      <c r="T517" s="49"/>
      <c r="U517" s="49"/>
      <c r="V517" s="49"/>
      <c r="W517" s="49"/>
      <c r="X517" s="49" t="s">
        <v>513</v>
      </c>
      <c r="Y517" s="49"/>
      <c r="Z517" s="73">
        <v>30000</v>
      </c>
      <c r="AA517" s="140"/>
      <c r="AB517" s="73">
        <v>35000</v>
      </c>
      <c r="AC517" s="73">
        <v>30000</v>
      </c>
      <c r="AD517" s="73">
        <v>30000</v>
      </c>
      <c r="AG517" s="81">
        <f t="shared" si="128"/>
        <v>5000</v>
      </c>
      <c r="AH517" s="81">
        <f t="shared" si="129"/>
        <v>-5000</v>
      </c>
      <c r="AI517" s="81">
        <f t="shared" si="131"/>
        <v>0</v>
      </c>
    </row>
    <row r="518" spans="1:35" x14ac:dyDescent="0.35">
      <c r="A518" s="66"/>
      <c r="B518" s="66"/>
      <c r="C518" s="49"/>
      <c r="D518" s="49"/>
      <c r="E518" s="49" t="s">
        <v>514</v>
      </c>
      <c r="F518" s="49"/>
      <c r="G518" s="49"/>
      <c r="H518" s="63">
        <f t="shared" ref="H518:M518" si="133">ROUND(SUM(H514:H517),5)</f>
        <v>28309.74</v>
      </c>
      <c r="I518" s="63">
        <f t="shared" si="133"/>
        <v>75000</v>
      </c>
      <c r="J518" s="64">
        <f t="shared" si="133"/>
        <v>69722.77</v>
      </c>
      <c r="K518" s="64">
        <f t="shared" si="133"/>
        <v>58000</v>
      </c>
      <c r="L518" s="65">
        <f t="shared" si="133"/>
        <v>76680.83</v>
      </c>
      <c r="M518" s="65">
        <f t="shared" si="133"/>
        <v>75000</v>
      </c>
      <c r="N518" s="66">
        <f t="shared" si="132"/>
        <v>174713.34</v>
      </c>
      <c r="O518" s="66">
        <f t="shared" si="132"/>
        <v>208000</v>
      </c>
      <c r="P518" s="69">
        <f t="shared" si="130"/>
        <v>58237.78</v>
      </c>
      <c r="Q518" s="69">
        <f t="shared" si="130"/>
        <v>69333.333333333328</v>
      </c>
      <c r="R518" s="54"/>
      <c r="S518" s="49"/>
      <c r="T518" s="49"/>
      <c r="U518" s="49"/>
      <c r="V518" s="49"/>
      <c r="W518" s="49" t="s">
        <v>514</v>
      </c>
      <c r="X518" s="49"/>
      <c r="Y518" s="49"/>
      <c r="Z518" s="66">
        <f>ROUND(SUM(Z514:Z517),5)</f>
        <v>90000</v>
      </c>
      <c r="AA518" s="140"/>
      <c r="AB518" s="66">
        <f>ROUND(SUM(AB514:AB517),5)</f>
        <v>80000</v>
      </c>
      <c r="AC518" s="66">
        <f>ROUND(SUM(AC514:AC517),5)</f>
        <v>65000</v>
      </c>
      <c r="AD518" s="66">
        <f>ROUND(SUM(AD514:AD517),5)</f>
        <v>65000</v>
      </c>
      <c r="AG518" s="81">
        <f t="shared" si="128"/>
        <v>-10000</v>
      </c>
      <c r="AH518" s="81">
        <f t="shared" si="129"/>
        <v>-15000</v>
      </c>
      <c r="AI518" s="81">
        <f t="shared" si="131"/>
        <v>0</v>
      </c>
    </row>
    <row r="519" spans="1:35" x14ac:dyDescent="0.35">
      <c r="A519" s="66"/>
      <c r="B519" s="66"/>
      <c r="C519" s="49"/>
      <c r="D519" s="49"/>
      <c r="E519" s="49" t="s">
        <v>515</v>
      </c>
      <c r="F519" s="49"/>
      <c r="G519" s="49"/>
      <c r="H519" s="63">
        <v>4964.49</v>
      </c>
      <c r="I519" s="63">
        <v>2000</v>
      </c>
      <c r="J519" s="64">
        <v>2885.14</v>
      </c>
      <c r="K519" s="64">
        <v>2880</v>
      </c>
      <c r="L519" s="65">
        <v>670.2</v>
      </c>
      <c r="M519" s="65">
        <v>3000</v>
      </c>
      <c r="N519" s="66">
        <f t="shared" si="132"/>
        <v>8519.83</v>
      </c>
      <c r="O519" s="66">
        <f t="shared" si="132"/>
        <v>7880</v>
      </c>
      <c r="P519" s="69">
        <f t="shared" si="130"/>
        <v>2839.9433333333332</v>
      </c>
      <c r="Q519" s="69">
        <f t="shared" si="130"/>
        <v>2626.6666666666665</v>
      </c>
      <c r="R519" s="54"/>
      <c r="S519" s="49"/>
      <c r="T519" s="49"/>
      <c r="U519" s="49"/>
      <c r="V519" s="49"/>
      <c r="W519" s="49" t="s">
        <v>515</v>
      </c>
      <c r="X519" s="49"/>
      <c r="Y519" s="49"/>
      <c r="Z519" s="66">
        <v>8000</v>
      </c>
      <c r="AA519" s="140"/>
      <c r="AB519" s="66">
        <v>2000</v>
      </c>
      <c r="AC519" s="66">
        <v>2000</v>
      </c>
      <c r="AD519" s="66">
        <v>2000</v>
      </c>
      <c r="AG519" s="81">
        <f t="shared" si="128"/>
        <v>-6000</v>
      </c>
      <c r="AH519" s="81">
        <f t="shared" si="129"/>
        <v>0</v>
      </c>
      <c r="AI519" s="81">
        <f t="shared" si="131"/>
        <v>0</v>
      </c>
    </row>
    <row r="520" spans="1:35" x14ac:dyDescent="0.35">
      <c r="A520" s="66"/>
      <c r="B520" s="66"/>
      <c r="C520" s="49"/>
      <c r="D520" s="49"/>
      <c r="E520" s="49" t="s">
        <v>516</v>
      </c>
      <c r="F520" s="49"/>
      <c r="G520" s="49"/>
      <c r="H520" s="63">
        <v>47274.94</v>
      </c>
      <c r="I520" s="63">
        <v>28524</v>
      </c>
      <c r="J520" s="64">
        <v>40863.71</v>
      </c>
      <c r="K520" s="64">
        <v>43665</v>
      </c>
      <c r="L520" s="65">
        <v>42646.15</v>
      </c>
      <c r="M520" s="65">
        <v>44757</v>
      </c>
      <c r="N520" s="66">
        <f t="shared" si="132"/>
        <v>130784.8</v>
      </c>
      <c r="O520" s="66">
        <f t="shared" si="132"/>
        <v>116946</v>
      </c>
      <c r="P520" s="69">
        <f t="shared" si="130"/>
        <v>43594.933333333334</v>
      </c>
      <c r="Q520" s="69">
        <f t="shared" si="130"/>
        <v>38982</v>
      </c>
      <c r="R520" s="54"/>
      <c r="S520" s="49"/>
      <c r="T520" s="49"/>
      <c r="U520" s="49"/>
      <c r="V520" s="49"/>
      <c r="W520" s="49" t="s">
        <v>516</v>
      </c>
      <c r="X520" s="49"/>
      <c r="Y520" s="49"/>
      <c r="Z520" s="66">
        <v>49516</v>
      </c>
      <c r="AA520" s="140"/>
      <c r="AB520" s="66">
        <v>82667.42</v>
      </c>
      <c r="AC520" s="66">
        <v>82667.42</v>
      </c>
      <c r="AD520" s="66">
        <v>82667.42</v>
      </c>
      <c r="AG520" s="81">
        <f t="shared" si="128"/>
        <v>33151.42</v>
      </c>
      <c r="AH520" s="81">
        <f t="shared" si="129"/>
        <v>0</v>
      </c>
      <c r="AI520" s="81">
        <f t="shared" si="131"/>
        <v>0</v>
      </c>
    </row>
    <row r="521" spans="1:35" ht="26" x14ac:dyDescent="0.35">
      <c r="A521" s="66"/>
      <c r="B521" s="66"/>
      <c r="C521" s="49"/>
      <c r="D521" s="49"/>
      <c r="E521" s="49" t="s">
        <v>517</v>
      </c>
      <c r="F521" s="49"/>
      <c r="G521" s="49"/>
      <c r="H521" s="63">
        <v>4530.93</v>
      </c>
      <c r="I521" s="63">
        <v>3000</v>
      </c>
      <c r="J521" s="64">
        <v>2569.27</v>
      </c>
      <c r="K521" s="64">
        <v>5000</v>
      </c>
      <c r="L521" s="65">
        <v>3451.72</v>
      </c>
      <c r="M521" s="65">
        <v>0</v>
      </c>
      <c r="N521" s="66">
        <f t="shared" si="132"/>
        <v>10551.92</v>
      </c>
      <c r="O521" s="66">
        <f t="shared" si="132"/>
        <v>8000</v>
      </c>
      <c r="P521" s="69">
        <f t="shared" si="130"/>
        <v>3517.3066666666668</v>
      </c>
      <c r="Q521" s="69">
        <f t="shared" si="130"/>
        <v>2666.6666666666665</v>
      </c>
      <c r="R521" s="54"/>
      <c r="S521" s="49"/>
      <c r="T521" s="49"/>
      <c r="U521" s="49"/>
      <c r="V521" s="49"/>
      <c r="W521" s="49" t="s">
        <v>517</v>
      </c>
      <c r="X521" s="49"/>
      <c r="Y521" s="49"/>
      <c r="Z521" s="66">
        <v>3000</v>
      </c>
      <c r="AA521" s="140"/>
      <c r="AB521" s="66">
        <v>2000</v>
      </c>
      <c r="AC521" s="66">
        <v>2000</v>
      </c>
      <c r="AD521" s="66">
        <v>2000</v>
      </c>
      <c r="AE521" s="138" t="s">
        <v>897</v>
      </c>
      <c r="AG521" s="81">
        <f t="shared" si="128"/>
        <v>-1000</v>
      </c>
      <c r="AH521" s="81">
        <f t="shared" si="129"/>
        <v>0</v>
      </c>
      <c r="AI521" s="81">
        <f t="shared" si="131"/>
        <v>0</v>
      </c>
    </row>
    <row r="522" spans="1:35" x14ac:dyDescent="0.35">
      <c r="A522" s="66"/>
      <c r="B522" s="66"/>
      <c r="C522" s="49"/>
      <c r="D522" s="49"/>
      <c r="E522" s="49" t="s">
        <v>518</v>
      </c>
      <c r="F522" s="49"/>
      <c r="G522" s="49"/>
      <c r="H522" s="63">
        <v>898.07</v>
      </c>
      <c r="I522" s="63">
        <v>2000</v>
      </c>
      <c r="J522" s="64">
        <v>386.15</v>
      </c>
      <c r="K522" s="64">
        <v>1000</v>
      </c>
      <c r="L522" s="65">
        <v>324.02999999999997</v>
      </c>
      <c r="M522" s="65">
        <v>1000</v>
      </c>
      <c r="N522" s="66">
        <f t="shared" si="132"/>
        <v>1608.25</v>
      </c>
      <c r="O522" s="66">
        <f t="shared" si="132"/>
        <v>4000</v>
      </c>
      <c r="P522" s="69">
        <f t="shared" si="130"/>
        <v>536.08333333333337</v>
      </c>
      <c r="Q522" s="69">
        <f t="shared" si="130"/>
        <v>1333.3333333333333</v>
      </c>
      <c r="R522" s="54"/>
      <c r="S522" s="49"/>
      <c r="T522" s="49"/>
      <c r="U522" s="49"/>
      <c r="V522" s="49"/>
      <c r="W522" s="49" t="s">
        <v>518</v>
      </c>
      <c r="X522" s="49"/>
      <c r="Y522" s="49"/>
      <c r="Z522" s="66">
        <v>1000</v>
      </c>
      <c r="AA522" s="140"/>
      <c r="AB522" s="66">
        <v>1000</v>
      </c>
      <c r="AC522" s="66">
        <v>1000</v>
      </c>
      <c r="AD522" s="66">
        <v>1000</v>
      </c>
      <c r="AG522" s="81">
        <f t="shared" si="128"/>
        <v>0</v>
      </c>
      <c r="AH522" s="81">
        <f t="shared" si="129"/>
        <v>0</v>
      </c>
      <c r="AI522" s="81">
        <f t="shared" si="131"/>
        <v>0</v>
      </c>
    </row>
    <row r="523" spans="1:35" x14ac:dyDescent="0.35">
      <c r="A523" s="66"/>
      <c r="B523" s="66"/>
      <c r="C523" s="49"/>
      <c r="D523" s="49"/>
      <c r="E523" s="49" t="s">
        <v>519</v>
      </c>
      <c r="F523" s="49"/>
      <c r="G523" s="49"/>
      <c r="H523" s="63">
        <v>0</v>
      </c>
      <c r="I523" s="63"/>
      <c r="J523" s="64">
        <v>0</v>
      </c>
      <c r="K523" s="64"/>
      <c r="L523" s="65">
        <v>86.03</v>
      </c>
      <c r="M523" s="65"/>
      <c r="N523" s="66">
        <f t="shared" si="132"/>
        <v>86.03</v>
      </c>
      <c r="O523" s="66"/>
      <c r="P523" s="69">
        <f t="shared" si="130"/>
        <v>28.676666666666666</v>
      </c>
      <c r="Q523" s="69">
        <f t="shared" si="130"/>
        <v>0</v>
      </c>
      <c r="R523" s="54"/>
      <c r="S523" s="49"/>
      <c r="T523" s="49"/>
      <c r="U523" s="49"/>
      <c r="V523" s="49"/>
      <c r="W523" s="49" t="s">
        <v>519</v>
      </c>
      <c r="X523" s="49"/>
      <c r="Y523" s="49"/>
      <c r="Z523" s="66">
        <v>0</v>
      </c>
      <c r="AA523" s="140"/>
      <c r="AB523" s="66">
        <v>0</v>
      </c>
      <c r="AC523" s="66">
        <v>0</v>
      </c>
      <c r="AD523" s="66">
        <v>0</v>
      </c>
      <c r="AG523" s="81">
        <f t="shared" si="128"/>
        <v>0</v>
      </c>
      <c r="AH523" s="81">
        <f t="shared" si="129"/>
        <v>0</v>
      </c>
      <c r="AI523" s="81">
        <f t="shared" si="131"/>
        <v>0</v>
      </c>
    </row>
    <row r="524" spans="1:35" x14ac:dyDescent="0.35">
      <c r="A524" s="66"/>
      <c r="B524" s="66"/>
      <c r="C524" s="49"/>
      <c r="D524" s="49"/>
      <c r="E524" s="49" t="s">
        <v>520</v>
      </c>
      <c r="F524" s="49"/>
      <c r="G524" s="49"/>
      <c r="H524" s="63">
        <v>22781.57</v>
      </c>
      <c r="I524" s="63">
        <v>20000</v>
      </c>
      <c r="J524" s="64">
        <v>23123.1</v>
      </c>
      <c r="K524" s="64">
        <v>15000</v>
      </c>
      <c r="L524" s="65">
        <v>27051.87</v>
      </c>
      <c r="M524" s="65">
        <v>15000</v>
      </c>
      <c r="N524" s="66">
        <f t="shared" si="132"/>
        <v>72956.539999999994</v>
      </c>
      <c r="O524" s="66">
        <f t="shared" si="132"/>
        <v>50000</v>
      </c>
      <c r="P524" s="69">
        <f t="shared" si="130"/>
        <v>24318.846666666665</v>
      </c>
      <c r="Q524" s="69">
        <f t="shared" si="130"/>
        <v>16666.666666666668</v>
      </c>
      <c r="R524" s="54"/>
      <c r="S524" s="49"/>
      <c r="T524" s="49"/>
      <c r="U524" s="49"/>
      <c r="V524" s="49"/>
      <c r="W524" s="49" t="s">
        <v>520</v>
      </c>
      <c r="X524" s="49"/>
      <c r="Y524" s="49"/>
      <c r="Z524" s="66">
        <v>17000</v>
      </c>
      <c r="AA524" s="140"/>
      <c r="AB524" s="66">
        <v>22000</v>
      </c>
      <c r="AC524" s="66">
        <v>22000</v>
      </c>
      <c r="AD524" s="66">
        <v>22000</v>
      </c>
      <c r="AG524" s="81">
        <f t="shared" si="128"/>
        <v>5000</v>
      </c>
      <c r="AH524" s="81">
        <f t="shared" si="129"/>
        <v>0</v>
      </c>
      <c r="AI524" s="81">
        <f t="shared" si="131"/>
        <v>0</v>
      </c>
    </row>
    <row r="525" spans="1:35" x14ac:dyDescent="0.35">
      <c r="A525" s="66"/>
      <c r="B525" s="66"/>
      <c r="C525" s="49"/>
      <c r="D525" s="49"/>
      <c r="E525" s="49" t="s">
        <v>521</v>
      </c>
      <c r="F525" s="49"/>
      <c r="G525" s="49"/>
      <c r="H525" s="63">
        <v>207.16</v>
      </c>
      <c r="I525" s="63">
        <v>1700</v>
      </c>
      <c r="J525" s="64">
        <v>485.58</v>
      </c>
      <c r="K525" s="64">
        <v>1100</v>
      </c>
      <c r="L525" s="65">
        <v>90.48</v>
      </c>
      <c r="M525" s="65">
        <v>1000</v>
      </c>
      <c r="N525" s="66">
        <f t="shared" si="132"/>
        <v>783.22</v>
      </c>
      <c r="O525" s="66">
        <f t="shared" si="132"/>
        <v>3800</v>
      </c>
      <c r="P525" s="69">
        <f t="shared" si="130"/>
        <v>261.07333333333332</v>
      </c>
      <c r="Q525" s="69">
        <f t="shared" si="130"/>
        <v>1266.6666666666667</v>
      </c>
      <c r="R525" s="54"/>
      <c r="S525" s="49"/>
      <c r="T525" s="49"/>
      <c r="U525" s="49"/>
      <c r="V525" s="49"/>
      <c r="W525" s="49" t="s">
        <v>521</v>
      </c>
      <c r="X525" s="49"/>
      <c r="Y525" s="49"/>
      <c r="Z525" s="66">
        <v>1000</v>
      </c>
      <c r="AA525" s="140"/>
      <c r="AB525" s="66">
        <v>1000</v>
      </c>
      <c r="AC525" s="66">
        <v>1000</v>
      </c>
      <c r="AD525" s="66">
        <v>1000</v>
      </c>
      <c r="AG525" s="81">
        <f t="shared" si="128"/>
        <v>0</v>
      </c>
      <c r="AH525" s="81">
        <f t="shared" si="129"/>
        <v>0</v>
      </c>
      <c r="AI525" s="81">
        <f t="shared" si="131"/>
        <v>0</v>
      </c>
    </row>
    <row r="526" spans="1:35" x14ac:dyDescent="0.35">
      <c r="A526" s="66"/>
      <c r="B526" s="66"/>
      <c r="C526" s="49"/>
      <c r="D526" s="49"/>
      <c r="E526" s="49" t="s">
        <v>522</v>
      </c>
      <c r="F526" s="49"/>
      <c r="G526" s="49"/>
      <c r="H526" s="63">
        <v>39999.96</v>
      </c>
      <c r="I526" s="63">
        <v>40000</v>
      </c>
      <c r="J526" s="64">
        <v>39999.96</v>
      </c>
      <c r="K526" s="64">
        <v>37800</v>
      </c>
      <c r="L526" s="65">
        <v>39999.96</v>
      </c>
      <c r="M526" s="65">
        <v>41000</v>
      </c>
      <c r="N526" s="66">
        <f t="shared" si="132"/>
        <v>119999.88</v>
      </c>
      <c r="O526" s="66">
        <f t="shared" si="132"/>
        <v>118800</v>
      </c>
      <c r="P526" s="69">
        <f t="shared" si="130"/>
        <v>39999.96</v>
      </c>
      <c r="Q526" s="69">
        <f t="shared" si="130"/>
        <v>39600</v>
      </c>
      <c r="R526" s="54"/>
      <c r="S526" s="49"/>
      <c r="T526" s="49"/>
      <c r="U526" s="49"/>
      <c r="V526" s="49"/>
      <c r="W526" s="49" t="s">
        <v>522</v>
      </c>
      <c r="X526" s="49"/>
      <c r="Y526" s="49"/>
      <c r="Z526" s="66">
        <v>42000</v>
      </c>
      <c r="AA526" s="140"/>
      <c r="AB526" s="66">
        <v>42000</v>
      </c>
      <c r="AC526" s="66">
        <v>42000</v>
      </c>
      <c r="AD526" s="66">
        <v>42000</v>
      </c>
      <c r="AG526" s="81">
        <f t="shared" si="128"/>
        <v>0</v>
      </c>
      <c r="AH526" s="81">
        <f t="shared" si="129"/>
        <v>0</v>
      </c>
      <c r="AI526" s="81">
        <f t="shared" si="131"/>
        <v>0</v>
      </c>
    </row>
    <row r="527" spans="1:35" x14ac:dyDescent="0.35">
      <c r="A527" s="66"/>
      <c r="B527" s="66"/>
      <c r="C527" s="49"/>
      <c r="D527" s="49"/>
      <c r="E527" s="49" t="s">
        <v>523</v>
      </c>
      <c r="F527" s="49"/>
      <c r="G527" s="49"/>
      <c r="H527" s="63">
        <v>2400</v>
      </c>
      <c r="I527" s="63">
        <v>2580</v>
      </c>
      <c r="J527" s="64">
        <v>3000</v>
      </c>
      <c r="K527" s="64">
        <v>2200</v>
      </c>
      <c r="L527" s="65">
        <v>2250</v>
      </c>
      <c r="M527" s="65">
        <v>3000</v>
      </c>
      <c r="N527" s="66">
        <f t="shared" si="132"/>
        <v>7650</v>
      </c>
      <c r="O527" s="66">
        <f t="shared" si="132"/>
        <v>7780</v>
      </c>
      <c r="P527" s="69">
        <f t="shared" si="130"/>
        <v>2550</v>
      </c>
      <c r="Q527" s="69">
        <f t="shared" si="130"/>
        <v>2593.3333333333335</v>
      </c>
      <c r="R527" s="54"/>
      <c r="S527" s="49"/>
      <c r="T527" s="49"/>
      <c r="U527" s="49"/>
      <c r="V527" s="49"/>
      <c r="W527" s="49" t="s">
        <v>523</v>
      </c>
      <c r="X527" s="49"/>
      <c r="Y527" s="49"/>
      <c r="Z527" s="66">
        <v>3000</v>
      </c>
      <c r="AA527" s="140"/>
      <c r="AB527" s="66">
        <v>2500</v>
      </c>
      <c r="AC527" s="66">
        <v>2500</v>
      </c>
      <c r="AD527" s="66">
        <v>2500</v>
      </c>
      <c r="AG527" s="81">
        <f t="shared" si="128"/>
        <v>-500</v>
      </c>
      <c r="AH527" s="81">
        <f t="shared" si="129"/>
        <v>0</v>
      </c>
      <c r="AI527" s="81">
        <f t="shared" si="131"/>
        <v>0</v>
      </c>
    </row>
    <row r="528" spans="1:35" x14ac:dyDescent="0.35">
      <c r="A528" s="66"/>
      <c r="B528" s="66"/>
      <c r="C528" s="49"/>
      <c r="D528" s="49"/>
      <c r="E528" s="49" t="s">
        <v>524</v>
      </c>
      <c r="F528" s="49"/>
      <c r="G528" s="49"/>
      <c r="H528" s="63">
        <v>1650</v>
      </c>
      <c r="I528" s="63">
        <v>10000</v>
      </c>
      <c r="J528" s="64">
        <v>3475.37</v>
      </c>
      <c r="K528" s="64">
        <v>5000</v>
      </c>
      <c r="L528" s="65">
        <v>2086.8000000000002</v>
      </c>
      <c r="M528" s="65">
        <v>3000</v>
      </c>
      <c r="N528" s="66">
        <f t="shared" si="132"/>
        <v>7212.17</v>
      </c>
      <c r="O528" s="66">
        <f t="shared" si="132"/>
        <v>18000</v>
      </c>
      <c r="P528" s="69">
        <f t="shared" si="130"/>
        <v>2404.0566666666668</v>
      </c>
      <c r="Q528" s="69">
        <f t="shared" si="130"/>
        <v>6000</v>
      </c>
      <c r="R528" s="54"/>
      <c r="S528" s="49"/>
      <c r="T528" s="49"/>
      <c r="U528" s="49"/>
      <c r="V528" s="49"/>
      <c r="W528" s="49" t="s">
        <v>524</v>
      </c>
      <c r="X528" s="49"/>
      <c r="Y528" s="49"/>
      <c r="Z528" s="66">
        <v>3000</v>
      </c>
      <c r="AA528" s="140"/>
      <c r="AB528" s="66">
        <v>3000</v>
      </c>
      <c r="AC528" s="66">
        <v>3000</v>
      </c>
      <c r="AD528" s="66">
        <v>3000</v>
      </c>
      <c r="AF528" s="46" t="s">
        <v>851</v>
      </c>
      <c r="AG528" s="81">
        <f t="shared" si="128"/>
        <v>0</v>
      </c>
      <c r="AH528" s="81">
        <f t="shared" si="129"/>
        <v>0</v>
      </c>
      <c r="AI528" s="81">
        <f t="shared" si="131"/>
        <v>0</v>
      </c>
    </row>
    <row r="529" spans="1:35" x14ac:dyDescent="0.35">
      <c r="A529" s="66"/>
      <c r="B529" s="66"/>
      <c r="C529" s="49"/>
      <c r="D529" s="49"/>
      <c r="E529" s="49" t="s">
        <v>525</v>
      </c>
      <c r="F529" s="49"/>
      <c r="G529" s="49"/>
      <c r="H529" s="63">
        <v>5295.35</v>
      </c>
      <c r="I529" s="63">
        <v>17000</v>
      </c>
      <c r="J529" s="64">
        <v>0</v>
      </c>
      <c r="K529" s="64">
        <v>0</v>
      </c>
      <c r="L529" s="65">
        <v>0</v>
      </c>
      <c r="M529" s="65"/>
      <c r="N529" s="66">
        <f t="shared" si="132"/>
        <v>5295.35</v>
      </c>
      <c r="O529" s="66">
        <f t="shared" si="132"/>
        <v>17000</v>
      </c>
      <c r="P529" s="69">
        <f t="shared" si="130"/>
        <v>1765.1166666666668</v>
      </c>
      <c r="Q529" s="69">
        <f t="shared" si="130"/>
        <v>5666.666666666667</v>
      </c>
      <c r="R529" s="54"/>
      <c r="S529" s="49"/>
      <c r="T529" s="49"/>
      <c r="U529" s="49"/>
      <c r="V529" s="49"/>
      <c r="W529" s="49" t="s">
        <v>525</v>
      </c>
      <c r="X529" s="49"/>
      <c r="Y529" s="49"/>
      <c r="Z529" s="66">
        <v>0</v>
      </c>
      <c r="AA529" s="140"/>
      <c r="AB529" s="66">
        <v>0</v>
      </c>
      <c r="AC529" s="66">
        <v>0</v>
      </c>
      <c r="AD529" s="66">
        <v>0</v>
      </c>
      <c r="AG529" s="81">
        <f t="shared" si="128"/>
        <v>0</v>
      </c>
      <c r="AH529" s="81">
        <f t="shared" si="129"/>
        <v>0</v>
      </c>
      <c r="AI529" s="81">
        <f t="shared" si="131"/>
        <v>0</v>
      </c>
    </row>
    <row r="530" spans="1:35" x14ac:dyDescent="0.35">
      <c r="A530" s="66"/>
      <c r="B530" s="66"/>
      <c r="C530" s="49"/>
      <c r="D530" s="49"/>
      <c r="E530" s="49" t="s">
        <v>526</v>
      </c>
      <c r="F530" s="49"/>
      <c r="G530" s="49"/>
      <c r="H530" s="63">
        <v>65498.5</v>
      </c>
      <c r="I530" s="63">
        <v>38325</v>
      </c>
      <c r="J530" s="64">
        <v>65504.98</v>
      </c>
      <c r="K530" s="64">
        <v>55000</v>
      </c>
      <c r="L530" s="65">
        <v>112725.58</v>
      </c>
      <c r="M530" s="65">
        <v>69540</v>
      </c>
      <c r="N530" s="66">
        <f t="shared" si="132"/>
        <v>243729.06</v>
      </c>
      <c r="O530" s="66">
        <f t="shared" si="132"/>
        <v>162865</v>
      </c>
      <c r="P530" s="69">
        <f t="shared" si="130"/>
        <v>81243.02</v>
      </c>
      <c r="Q530" s="69">
        <f t="shared" si="130"/>
        <v>54288.333333333336</v>
      </c>
      <c r="R530" s="54"/>
      <c r="S530" s="49"/>
      <c r="T530" s="49"/>
      <c r="U530" s="49"/>
      <c r="V530" s="49"/>
      <c r="W530" s="49" t="s">
        <v>906</v>
      </c>
      <c r="X530" s="49"/>
      <c r="Y530" s="49"/>
      <c r="Z530" s="66">
        <v>45000</v>
      </c>
      <c r="AA530" s="140"/>
      <c r="AB530" s="66">
        <f>ROUND(42665.15, 0)</f>
        <v>42665</v>
      </c>
      <c r="AC530" s="66">
        <f>ROUND(42665.15, 0)</f>
        <v>42665</v>
      </c>
      <c r="AD530" s="66">
        <f>ROUND(42665.15, 0)</f>
        <v>42665</v>
      </c>
      <c r="AG530" s="81">
        <f t="shared" si="128"/>
        <v>-2335</v>
      </c>
      <c r="AH530" s="81">
        <f t="shared" si="129"/>
        <v>0</v>
      </c>
      <c r="AI530" s="81">
        <f t="shared" si="131"/>
        <v>0</v>
      </c>
    </row>
    <row r="531" spans="1:35" x14ac:dyDescent="0.35">
      <c r="A531" s="66"/>
      <c r="B531" s="66"/>
      <c r="C531" s="49"/>
      <c r="D531" s="49"/>
      <c r="E531" s="49" t="s">
        <v>527</v>
      </c>
      <c r="F531" s="49"/>
      <c r="G531" s="49"/>
      <c r="H531" s="63">
        <v>4664.29</v>
      </c>
      <c r="I531" s="63">
        <v>2716.8</v>
      </c>
      <c r="J531" s="64">
        <v>3018.33</v>
      </c>
      <c r="K531" s="64">
        <v>4360</v>
      </c>
      <c r="L531" s="65">
        <v>4947.66</v>
      </c>
      <c r="M531" s="65">
        <v>5328</v>
      </c>
      <c r="N531" s="66">
        <f t="shared" ref="N531:O542" si="134">ROUND(H531+J531+L531,5)</f>
        <v>12630.28</v>
      </c>
      <c r="O531" s="66">
        <f t="shared" si="134"/>
        <v>12404.8</v>
      </c>
      <c r="P531" s="69">
        <f t="shared" si="130"/>
        <v>4210.0933333333332</v>
      </c>
      <c r="Q531" s="69">
        <f t="shared" si="130"/>
        <v>4134.9333333333334</v>
      </c>
      <c r="R531" s="54"/>
      <c r="S531" s="49"/>
      <c r="T531" s="49"/>
      <c r="U531" s="49"/>
      <c r="V531" s="49"/>
      <c r="W531" s="49" t="s">
        <v>527</v>
      </c>
      <c r="X531" s="49"/>
      <c r="Y531" s="49"/>
      <c r="Z531" s="66">
        <v>5027</v>
      </c>
      <c r="AA531" s="140"/>
      <c r="AB531" s="66">
        <v>6033.32</v>
      </c>
      <c r="AC531" s="66">
        <v>6033.32</v>
      </c>
      <c r="AD531" s="66">
        <v>6033.32</v>
      </c>
      <c r="AG531" s="81">
        <f t="shared" si="128"/>
        <v>1006.3199999999997</v>
      </c>
      <c r="AH531" s="81">
        <f t="shared" si="129"/>
        <v>0</v>
      </c>
      <c r="AI531" s="81">
        <f t="shared" si="131"/>
        <v>0</v>
      </c>
    </row>
    <row r="532" spans="1:35" x14ac:dyDescent="0.35">
      <c r="A532" s="66"/>
      <c r="B532" s="66"/>
      <c r="C532" s="49"/>
      <c r="D532" s="49"/>
      <c r="E532" s="49" t="s">
        <v>528</v>
      </c>
      <c r="F532" s="49"/>
      <c r="G532" s="49"/>
      <c r="H532" s="63">
        <v>4727</v>
      </c>
      <c r="I532" s="63">
        <v>4572</v>
      </c>
      <c r="J532" s="64">
        <v>5187</v>
      </c>
      <c r="K532" s="64">
        <v>4900</v>
      </c>
      <c r="L532" s="65">
        <v>3671</v>
      </c>
      <c r="M532" s="65">
        <v>5431</v>
      </c>
      <c r="N532" s="66">
        <f t="shared" si="134"/>
        <v>13585</v>
      </c>
      <c r="O532" s="66">
        <f t="shared" si="134"/>
        <v>14903</v>
      </c>
      <c r="P532" s="69">
        <f t="shared" si="130"/>
        <v>4528.333333333333</v>
      </c>
      <c r="Q532" s="69">
        <f t="shared" si="130"/>
        <v>4967.666666666667</v>
      </c>
      <c r="R532" s="54"/>
      <c r="S532" s="49"/>
      <c r="T532" s="49"/>
      <c r="U532" s="49"/>
      <c r="V532" s="49"/>
      <c r="W532" s="49" t="s">
        <v>528</v>
      </c>
      <c r="X532" s="49"/>
      <c r="Y532" s="49"/>
      <c r="Z532" s="66">
        <v>3132</v>
      </c>
      <c r="AA532" s="140"/>
      <c r="AB532" s="66">
        <f>ROUND(3414.6, 0)</f>
        <v>3415</v>
      </c>
      <c r="AC532" s="66">
        <f>ROUND(3414.6, 0)</f>
        <v>3415</v>
      </c>
      <c r="AD532" s="66">
        <f>ROUND(3414.6, 0)</f>
        <v>3415</v>
      </c>
      <c r="AG532" s="81">
        <f t="shared" si="128"/>
        <v>283</v>
      </c>
      <c r="AH532" s="81">
        <f t="shared" si="129"/>
        <v>0</v>
      </c>
      <c r="AI532" s="81">
        <f t="shared" si="131"/>
        <v>0</v>
      </c>
    </row>
    <row r="533" spans="1:35" x14ac:dyDescent="0.35">
      <c r="A533" s="66"/>
      <c r="B533" s="66"/>
      <c r="C533" s="49"/>
      <c r="D533" s="49"/>
      <c r="E533" s="49" t="s">
        <v>529</v>
      </c>
      <c r="F533" s="49"/>
      <c r="G533" s="49"/>
      <c r="H533" s="63">
        <v>89.42</v>
      </c>
      <c r="I533" s="63">
        <v>5000</v>
      </c>
      <c r="J533" s="64">
        <v>12728.53</v>
      </c>
      <c r="K533" s="64">
        <v>0</v>
      </c>
      <c r="L533" s="65">
        <v>0</v>
      </c>
      <c r="M533" s="65">
        <v>0</v>
      </c>
      <c r="N533" s="66">
        <f t="shared" si="134"/>
        <v>12817.95</v>
      </c>
      <c r="O533" s="66">
        <f t="shared" si="134"/>
        <v>5000</v>
      </c>
      <c r="P533" s="69">
        <f t="shared" si="130"/>
        <v>4272.6500000000005</v>
      </c>
      <c r="Q533" s="69">
        <f t="shared" si="130"/>
        <v>1666.6666666666667</v>
      </c>
      <c r="R533" s="54"/>
      <c r="S533" s="49"/>
      <c r="T533" s="49"/>
      <c r="U533" s="49"/>
      <c r="V533" s="49"/>
      <c r="W533" s="49" t="s">
        <v>529</v>
      </c>
      <c r="X533" s="49"/>
      <c r="Y533" s="49"/>
      <c r="Z533" s="66">
        <v>5000</v>
      </c>
      <c r="AA533" s="140"/>
      <c r="AB533" s="66">
        <v>0</v>
      </c>
      <c r="AC533" s="66">
        <v>0</v>
      </c>
      <c r="AD533" s="66">
        <v>0</v>
      </c>
      <c r="AG533" s="81">
        <f t="shared" si="128"/>
        <v>-5000</v>
      </c>
      <c r="AH533" s="81">
        <f t="shared" si="129"/>
        <v>0</v>
      </c>
      <c r="AI533" s="81">
        <f t="shared" si="131"/>
        <v>0</v>
      </c>
    </row>
    <row r="534" spans="1:35" x14ac:dyDescent="0.35">
      <c r="A534" s="66"/>
      <c r="B534" s="66"/>
      <c r="C534" s="49"/>
      <c r="D534" s="49"/>
      <c r="E534" s="49" t="s">
        <v>530</v>
      </c>
      <c r="F534" s="49"/>
      <c r="G534" s="49"/>
      <c r="H534" s="63">
        <v>3574.34</v>
      </c>
      <c r="I534" s="63">
        <v>4992</v>
      </c>
      <c r="J534" s="64">
        <v>3364.92</v>
      </c>
      <c r="K534" s="64">
        <v>5562</v>
      </c>
      <c r="L534" s="65">
        <v>2926.66</v>
      </c>
      <c r="M534" s="65">
        <v>5000</v>
      </c>
      <c r="N534" s="66">
        <f t="shared" si="134"/>
        <v>9865.92</v>
      </c>
      <c r="O534" s="66">
        <f t="shared" si="134"/>
        <v>15554</v>
      </c>
      <c r="P534" s="69">
        <f t="shared" si="130"/>
        <v>3288.64</v>
      </c>
      <c r="Q534" s="69">
        <f t="shared" si="130"/>
        <v>5184.666666666667</v>
      </c>
      <c r="R534" s="54"/>
      <c r="S534" s="49"/>
      <c r="T534" s="49"/>
      <c r="U534" s="49"/>
      <c r="V534" s="49"/>
      <c r="W534" s="49" t="s">
        <v>530</v>
      </c>
      <c r="X534" s="49"/>
      <c r="Y534" s="49"/>
      <c r="Z534" s="66">
        <v>5000</v>
      </c>
      <c r="AA534" s="140"/>
      <c r="AB534" s="66">
        <v>4000</v>
      </c>
      <c r="AC534" s="66">
        <v>4000</v>
      </c>
      <c r="AD534" s="66">
        <v>4000</v>
      </c>
      <c r="AG534" s="81">
        <f t="shared" si="128"/>
        <v>-1000</v>
      </c>
      <c r="AH534" s="81">
        <f t="shared" si="129"/>
        <v>0</v>
      </c>
      <c r="AI534" s="81">
        <f t="shared" si="131"/>
        <v>0</v>
      </c>
    </row>
    <row r="535" spans="1:35" x14ac:dyDescent="0.35">
      <c r="A535" s="66"/>
      <c r="B535" s="66"/>
      <c r="C535" s="49"/>
      <c r="D535" s="49"/>
      <c r="E535" s="49" t="s">
        <v>531</v>
      </c>
      <c r="F535" s="49"/>
      <c r="G535" s="49"/>
      <c r="H535" s="63">
        <v>10575.38</v>
      </c>
      <c r="I535" s="63">
        <v>11000</v>
      </c>
      <c r="J535" s="64">
        <v>7582.88</v>
      </c>
      <c r="K535" s="64">
        <v>11700</v>
      </c>
      <c r="L535" s="65">
        <v>8602.8799999999992</v>
      </c>
      <c r="M535" s="65">
        <v>10000</v>
      </c>
      <c r="N535" s="66">
        <f t="shared" si="134"/>
        <v>26761.14</v>
      </c>
      <c r="O535" s="66">
        <f t="shared" si="134"/>
        <v>32700</v>
      </c>
      <c r="P535" s="69">
        <f t="shared" si="130"/>
        <v>8920.3799999999992</v>
      </c>
      <c r="Q535" s="69">
        <f t="shared" si="130"/>
        <v>10900</v>
      </c>
      <c r="R535" s="54"/>
      <c r="S535" s="49"/>
      <c r="T535" s="49"/>
      <c r="U535" s="49"/>
      <c r="V535" s="49"/>
      <c r="W535" s="49" t="s">
        <v>531</v>
      </c>
      <c r="X535" s="49"/>
      <c r="Y535" s="49"/>
      <c r="Z535" s="66">
        <v>10000</v>
      </c>
      <c r="AA535" s="140"/>
      <c r="AB535" s="66">
        <v>9000</v>
      </c>
      <c r="AC535" s="66">
        <v>9000</v>
      </c>
      <c r="AD535" s="66">
        <v>9000</v>
      </c>
      <c r="AG535" s="81">
        <f t="shared" si="128"/>
        <v>-1000</v>
      </c>
      <c r="AH535" s="81">
        <f t="shared" si="129"/>
        <v>0</v>
      </c>
      <c r="AI535" s="81">
        <f t="shared" si="131"/>
        <v>0</v>
      </c>
    </row>
    <row r="536" spans="1:35" x14ac:dyDescent="0.35">
      <c r="A536" s="66"/>
      <c r="B536" s="66"/>
      <c r="C536" s="49"/>
      <c r="D536" s="49"/>
      <c r="E536" s="49" t="s">
        <v>532</v>
      </c>
      <c r="F536" s="49"/>
      <c r="G536" s="49"/>
      <c r="H536" s="63">
        <v>3539.31</v>
      </c>
      <c r="I536" s="63">
        <v>3645</v>
      </c>
      <c r="J536" s="64">
        <v>3316.13</v>
      </c>
      <c r="K536" s="64">
        <v>3200</v>
      </c>
      <c r="L536" s="65">
        <v>3381.09</v>
      </c>
      <c r="M536" s="65">
        <v>3250</v>
      </c>
      <c r="N536" s="66">
        <f t="shared" si="134"/>
        <v>10236.530000000001</v>
      </c>
      <c r="O536" s="66">
        <f t="shared" si="134"/>
        <v>10095</v>
      </c>
      <c r="P536" s="69">
        <f t="shared" si="130"/>
        <v>3412.1766666666667</v>
      </c>
      <c r="Q536" s="69">
        <f t="shared" si="130"/>
        <v>3365</v>
      </c>
      <c r="R536" s="54"/>
      <c r="S536" s="49"/>
      <c r="T536" s="49"/>
      <c r="U536" s="49"/>
      <c r="V536" s="49"/>
      <c r="W536" s="49" t="s">
        <v>532</v>
      </c>
      <c r="X536" s="49"/>
      <c r="Y536" s="49"/>
      <c r="Z536" s="66">
        <v>3405</v>
      </c>
      <c r="AA536" s="140"/>
      <c r="AB536" s="66">
        <v>3050</v>
      </c>
      <c r="AC536" s="66">
        <v>3050</v>
      </c>
      <c r="AD536" s="66">
        <v>3050</v>
      </c>
      <c r="AG536" s="81">
        <f t="shared" si="128"/>
        <v>-355</v>
      </c>
      <c r="AH536" s="81">
        <f t="shared" si="129"/>
        <v>0</v>
      </c>
      <c r="AI536" s="81">
        <f t="shared" si="131"/>
        <v>0</v>
      </c>
    </row>
    <row r="537" spans="1:35" x14ac:dyDescent="0.35">
      <c r="A537" s="66"/>
      <c r="B537" s="66"/>
      <c r="C537" s="49"/>
      <c r="D537" s="49"/>
      <c r="E537" s="49" t="s">
        <v>533</v>
      </c>
      <c r="F537" s="49"/>
      <c r="G537" s="49"/>
      <c r="H537" s="63">
        <v>8875.7999999999993</v>
      </c>
      <c r="I537" s="63">
        <v>9376</v>
      </c>
      <c r="J537" s="64">
        <v>6026.59</v>
      </c>
      <c r="K537" s="64">
        <v>8800</v>
      </c>
      <c r="L537" s="65">
        <v>0</v>
      </c>
      <c r="M537" s="65">
        <v>0</v>
      </c>
      <c r="N537" s="66">
        <f t="shared" si="134"/>
        <v>14902.39</v>
      </c>
      <c r="O537" s="66">
        <f t="shared" si="134"/>
        <v>18176</v>
      </c>
      <c r="P537" s="69">
        <f t="shared" si="130"/>
        <v>4967.4633333333331</v>
      </c>
      <c r="Q537" s="69">
        <f t="shared" si="130"/>
        <v>6058.666666666667</v>
      </c>
      <c r="R537" s="54"/>
      <c r="S537" s="49"/>
      <c r="T537" s="49"/>
      <c r="U537" s="49"/>
      <c r="V537" s="49"/>
      <c r="W537" s="49" t="s">
        <v>533</v>
      </c>
      <c r="X537" s="49"/>
      <c r="Y537" s="49"/>
      <c r="Z537" s="66">
        <v>0</v>
      </c>
      <c r="AA537" s="140"/>
      <c r="AB537" s="66">
        <v>0</v>
      </c>
      <c r="AC537" s="66">
        <v>0</v>
      </c>
      <c r="AD537" s="66">
        <v>0</v>
      </c>
      <c r="AG537" s="81">
        <f t="shared" si="128"/>
        <v>0</v>
      </c>
      <c r="AH537" s="81">
        <f t="shared" si="129"/>
        <v>0</v>
      </c>
      <c r="AI537" s="81">
        <f t="shared" si="131"/>
        <v>0</v>
      </c>
    </row>
    <row r="538" spans="1:35" ht="26" x14ac:dyDescent="0.35">
      <c r="A538" s="66"/>
      <c r="B538" s="66"/>
      <c r="C538" s="49"/>
      <c r="D538" s="49"/>
      <c r="E538" s="49" t="s">
        <v>534</v>
      </c>
      <c r="F538" s="49"/>
      <c r="G538" s="49"/>
      <c r="H538" s="63">
        <v>27953.49</v>
      </c>
      <c r="I538" s="63">
        <v>28074</v>
      </c>
      <c r="J538" s="64">
        <v>19873.310000000001</v>
      </c>
      <c r="K538" s="64">
        <v>17150</v>
      </c>
      <c r="L538" s="65">
        <v>19701.16</v>
      </c>
      <c r="M538" s="65">
        <v>19345</v>
      </c>
      <c r="N538" s="66">
        <f t="shared" si="134"/>
        <v>67527.960000000006</v>
      </c>
      <c r="O538" s="66">
        <f t="shared" si="134"/>
        <v>64569</v>
      </c>
      <c r="P538" s="69">
        <f t="shared" si="130"/>
        <v>22509.320000000003</v>
      </c>
      <c r="Q538" s="69">
        <f t="shared" si="130"/>
        <v>21523</v>
      </c>
      <c r="R538" s="54"/>
      <c r="S538" s="49"/>
      <c r="T538" s="49"/>
      <c r="U538" s="49"/>
      <c r="V538" s="49"/>
      <c r="W538" s="49" t="s">
        <v>534</v>
      </c>
      <c r="X538" s="49"/>
      <c r="Y538" s="49"/>
      <c r="Z538" s="66">
        <v>19503</v>
      </c>
      <c r="AA538" s="140"/>
      <c r="AB538" s="66">
        <v>20400</v>
      </c>
      <c r="AC538" s="66">
        <v>20400</v>
      </c>
      <c r="AD538" s="66">
        <v>20400</v>
      </c>
      <c r="AE538" s="138" t="s">
        <v>897</v>
      </c>
      <c r="AG538" s="81">
        <f t="shared" si="128"/>
        <v>897</v>
      </c>
      <c r="AH538" s="81">
        <f t="shared" si="129"/>
        <v>0</v>
      </c>
      <c r="AI538" s="81">
        <f t="shared" si="131"/>
        <v>0</v>
      </c>
    </row>
    <row r="539" spans="1:35" x14ac:dyDescent="0.35">
      <c r="A539" s="66"/>
      <c r="B539" s="66"/>
      <c r="C539" s="49"/>
      <c r="D539" s="49"/>
      <c r="E539" s="49" t="s">
        <v>535</v>
      </c>
      <c r="F539" s="49"/>
      <c r="G539" s="49"/>
      <c r="H539" s="63">
        <v>0</v>
      </c>
      <c r="I539" s="63">
        <v>6000</v>
      </c>
      <c r="J539" s="64">
        <v>21228.95</v>
      </c>
      <c r="K539" s="64">
        <v>0</v>
      </c>
      <c r="L539" s="65">
        <v>47757.3</v>
      </c>
      <c r="M539" s="65">
        <v>3000</v>
      </c>
      <c r="N539" s="66">
        <f t="shared" si="134"/>
        <v>68986.25</v>
      </c>
      <c r="O539" s="66">
        <f t="shared" si="134"/>
        <v>9000</v>
      </c>
      <c r="P539" s="69">
        <f t="shared" si="130"/>
        <v>22995.416666666668</v>
      </c>
      <c r="Q539" s="69">
        <f t="shared" si="130"/>
        <v>3000</v>
      </c>
      <c r="R539" s="54"/>
      <c r="S539" s="49"/>
      <c r="T539" s="49"/>
      <c r="U539" s="49"/>
      <c r="V539" s="49"/>
      <c r="W539" s="49" t="s">
        <v>535</v>
      </c>
      <c r="X539" s="49"/>
      <c r="Y539" s="49"/>
      <c r="Z539" s="66">
        <v>3000</v>
      </c>
      <c r="AA539" s="140"/>
      <c r="AB539" s="66">
        <v>3000</v>
      </c>
      <c r="AC539" s="66">
        <v>3000</v>
      </c>
      <c r="AD539" s="66">
        <v>3000</v>
      </c>
      <c r="AG539" s="81">
        <f t="shared" si="128"/>
        <v>0</v>
      </c>
      <c r="AH539" s="81">
        <f t="shared" si="129"/>
        <v>0</v>
      </c>
      <c r="AI539" s="81">
        <f t="shared" si="131"/>
        <v>0</v>
      </c>
    </row>
    <row r="540" spans="1:35" ht="26" x14ac:dyDescent="0.35">
      <c r="A540" s="66"/>
      <c r="B540" s="66"/>
      <c r="C540" s="49"/>
      <c r="D540" s="49"/>
      <c r="E540" s="49" t="s">
        <v>536</v>
      </c>
      <c r="F540" s="49"/>
      <c r="G540" s="49"/>
      <c r="H540" s="63">
        <v>19982.650000000001</v>
      </c>
      <c r="I540" s="63">
        <v>32500</v>
      </c>
      <c r="J540" s="64">
        <v>16665.71</v>
      </c>
      <c r="K540" s="64">
        <v>34050</v>
      </c>
      <c r="L540" s="65">
        <v>22645.33</v>
      </c>
      <c r="M540" s="65">
        <v>35000</v>
      </c>
      <c r="N540" s="66">
        <f t="shared" si="134"/>
        <v>59293.69</v>
      </c>
      <c r="O540" s="66">
        <f t="shared" si="134"/>
        <v>101550</v>
      </c>
      <c r="P540" s="69">
        <f t="shared" si="130"/>
        <v>19764.563333333335</v>
      </c>
      <c r="Q540" s="69">
        <f t="shared" si="130"/>
        <v>33850</v>
      </c>
      <c r="R540" s="54"/>
      <c r="S540" s="49"/>
      <c r="T540" s="49"/>
      <c r="U540" s="49"/>
      <c r="V540" s="49"/>
      <c r="W540" s="49" t="s">
        <v>536</v>
      </c>
      <c r="X540" s="49"/>
      <c r="Y540" s="49"/>
      <c r="Z540" s="66">
        <v>35000</v>
      </c>
      <c r="AA540" s="140"/>
      <c r="AB540" s="66">
        <v>35000</v>
      </c>
      <c r="AC540" s="66">
        <v>30000</v>
      </c>
      <c r="AD540" s="66">
        <v>30000</v>
      </c>
      <c r="AF540" s="138" t="s">
        <v>898</v>
      </c>
      <c r="AG540" s="81">
        <f t="shared" si="128"/>
        <v>0</v>
      </c>
      <c r="AH540" s="81">
        <f t="shared" si="129"/>
        <v>-5000</v>
      </c>
      <c r="AI540" s="81">
        <f t="shared" si="131"/>
        <v>0</v>
      </c>
    </row>
    <row r="541" spans="1:35" x14ac:dyDescent="0.35">
      <c r="A541" s="66"/>
      <c r="B541" s="66"/>
      <c r="C541" s="49"/>
      <c r="D541" s="49"/>
      <c r="E541" s="49" t="s">
        <v>537</v>
      </c>
      <c r="F541" s="49"/>
      <c r="G541" s="49"/>
      <c r="H541" s="63">
        <v>0</v>
      </c>
      <c r="I541" s="63"/>
      <c r="J541" s="64">
        <v>0</v>
      </c>
      <c r="K541" s="64"/>
      <c r="L541" s="65">
        <v>0</v>
      </c>
      <c r="M541" s="65"/>
      <c r="N541" s="66">
        <f t="shared" si="134"/>
        <v>0</v>
      </c>
      <c r="O541" s="66"/>
      <c r="P541" s="69">
        <f t="shared" si="130"/>
        <v>0</v>
      </c>
      <c r="Q541" s="69">
        <f t="shared" si="130"/>
        <v>0</v>
      </c>
      <c r="R541" s="54"/>
      <c r="S541" s="49"/>
      <c r="T541" s="49"/>
      <c r="U541" s="49"/>
      <c r="V541" s="49"/>
      <c r="W541" s="49" t="s">
        <v>537</v>
      </c>
      <c r="X541" s="49"/>
      <c r="Y541" s="49"/>
      <c r="Z541" s="66">
        <v>0</v>
      </c>
      <c r="AA541" s="140"/>
      <c r="AB541" s="66">
        <v>0</v>
      </c>
      <c r="AC541" s="66">
        <v>0</v>
      </c>
      <c r="AD541" s="66">
        <v>0</v>
      </c>
      <c r="AG541" s="81">
        <f t="shared" si="128"/>
        <v>0</v>
      </c>
      <c r="AH541" s="81">
        <f t="shared" si="129"/>
        <v>0</v>
      </c>
      <c r="AI541" s="81">
        <f t="shared" si="131"/>
        <v>0</v>
      </c>
    </row>
    <row r="542" spans="1:35" x14ac:dyDescent="0.35">
      <c r="A542" s="66"/>
      <c r="B542" s="66"/>
      <c r="C542" s="49"/>
      <c r="D542" s="49"/>
      <c r="E542" s="49" t="s">
        <v>538</v>
      </c>
      <c r="F542" s="49"/>
      <c r="G542" s="49"/>
      <c r="H542" s="63">
        <v>14880.27</v>
      </c>
      <c r="I542" s="63">
        <v>15000</v>
      </c>
      <c r="J542" s="64">
        <v>16092.2</v>
      </c>
      <c r="K542" s="64">
        <v>10000</v>
      </c>
      <c r="L542" s="65">
        <v>-1635.48</v>
      </c>
      <c r="M542" s="65">
        <v>10000</v>
      </c>
      <c r="N542" s="66">
        <f t="shared" si="134"/>
        <v>29336.99</v>
      </c>
      <c r="O542" s="66">
        <f>ROUND(I542+K542+M542,5)</f>
        <v>35000</v>
      </c>
      <c r="P542" s="69">
        <f t="shared" si="130"/>
        <v>9778.9966666666678</v>
      </c>
      <c r="Q542" s="69">
        <f t="shared" si="130"/>
        <v>11666.666666666666</v>
      </c>
      <c r="R542" s="54"/>
      <c r="S542" s="49"/>
      <c r="T542" s="49"/>
      <c r="U542" s="49"/>
      <c r="V542" s="49"/>
      <c r="W542" s="49" t="s">
        <v>538</v>
      </c>
      <c r="X542" s="49"/>
      <c r="Y542" s="49"/>
      <c r="Z542" s="66">
        <v>10000</v>
      </c>
      <c r="AA542" s="140"/>
      <c r="AB542" s="66">
        <v>10000</v>
      </c>
      <c r="AC542" s="66">
        <v>10000</v>
      </c>
      <c r="AD542" s="66">
        <v>10000</v>
      </c>
      <c r="AG542" s="81">
        <f t="shared" si="128"/>
        <v>0</v>
      </c>
      <c r="AH542" s="81">
        <f t="shared" si="129"/>
        <v>0</v>
      </c>
      <c r="AI542" s="81">
        <f t="shared" si="131"/>
        <v>0</v>
      </c>
    </row>
    <row r="543" spans="1:35" x14ac:dyDescent="0.35">
      <c r="A543" s="66"/>
      <c r="B543" s="66"/>
      <c r="C543" s="49"/>
      <c r="D543" s="49"/>
      <c r="E543" s="49" t="s">
        <v>539</v>
      </c>
      <c r="F543" s="49"/>
      <c r="G543" s="49"/>
      <c r="H543" s="63"/>
      <c r="I543" s="63"/>
      <c r="J543" s="64"/>
      <c r="K543" s="64"/>
      <c r="L543" s="65"/>
      <c r="M543" s="65"/>
      <c r="N543" s="66"/>
      <c r="O543" s="66"/>
      <c r="P543" s="69"/>
      <c r="Q543" s="69"/>
      <c r="R543" s="54"/>
      <c r="S543" s="49"/>
      <c r="T543" s="49"/>
      <c r="U543" s="49"/>
      <c r="V543" s="49"/>
      <c r="W543" s="49" t="s">
        <v>539</v>
      </c>
      <c r="X543" s="49"/>
      <c r="Y543" s="49"/>
      <c r="Z543" s="66"/>
      <c r="AA543" s="140"/>
      <c r="AB543" s="66"/>
      <c r="AC543" s="66"/>
      <c r="AD543" s="66"/>
      <c r="AG543" s="81">
        <f t="shared" si="128"/>
        <v>0</v>
      </c>
      <c r="AH543" s="81">
        <f t="shared" si="129"/>
        <v>0</v>
      </c>
      <c r="AI543" s="81">
        <f t="shared" si="131"/>
        <v>0</v>
      </c>
    </row>
    <row r="544" spans="1:35" x14ac:dyDescent="0.35">
      <c r="A544" s="66"/>
      <c r="B544" s="66"/>
      <c r="C544" s="49"/>
      <c r="D544" s="49"/>
      <c r="E544" s="49"/>
      <c r="F544" s="49" t="s">
        <v>540</v>
      </c>
      <c r="G544" s="49"/>
      <c r="H544" s="63">
        <v>11400</v>
      </c>
      <c r="I544" s="63">
        <v>11970</v>
      </c>
      <c r="J544" s="64">
        <v>11400</v>
      </c>
      <c r="K544" s="64">
        <v>11400</v>
      </c>
      <c r="L544" s="65">
        <v>11400</v>
      </c>
      <c r="M544" s="65">
        <v>11970</v>
      </c>
      <c r="N544" s="66">
        <f t="shared" ref="N544:O548" si="135">ROUND(H544+J544+L544,5)</f>
        <v>34200</v>
      </c>
      <c r="O544" s="66">
        <f t="shared" si="135"/>
        <v>35340</v>
      </c>
      <c r="P544" s="69">
        <f t="shared" si="130"/>
        <v>11400</v>
      </c>
      <c r="Q544" s="69">
        <f t="shared" si="130"/>
        <v>11780</v>
      </c>
      <c r="R544" s="54"/>
      <c r="S544" s="49"/>
      <c r="T544" s="49"/>
      <c r="U544" s="49"/>
      <c r="V544" s="49"/>
      <c r="W544" s="49"/>
      <c r="X544" s="49" t="s">
        <v>540</v>
      </c>
      <c r="Y544" s="49"/>
      <c r="Z544" s="66">
        <v>11970</v>
      </c>
      <c r="AA544" s="140"/>
      <c r="AB544" s="66">
        <v>11970</v>
      </c>
      <c r="AC544" s="66">
        <v>11970</v>
      </c>
      <c r="AD544" s="66">
        <v>11970</v>
      </c>
      <c r="AG544" s="81">
        <f t="shared" si="128"/>
        <v>0</v>
      </c>
      <c r="AH544" s="81">
        <f t="shared" si="129"/>
        <v>0</v>
      </c>
      <c r="AI544" s="81">
        <f t="shared" si="131"/>
        <v>0</v>
      </c>
    </row>
    <row r="545" spans="1:35" x14ac:dyDescent="0.35">
      <c r="A545" s="66"/>
      <c r="B545" s="66"/>
      <c r="C545" s="49"/>
      <c r="D545" s="49"/>
      <c r="E545" s="49"/>
      <c r="F545" s="49" t="s">
        <v>541</v>
      </c>
      <c r="G545" s="49"/>
      <c r="H545" s="63">
        <v>20000</v>
      </c>
      <c r="I545" s="63">
        <v>20000</v>
      </c>
      <c r="J545" s="64">
        <v>20000.04</v>
      </c>
      <c r="K545" s="64">
        <v>20000</v>
      </c>
      <c r="L545" s="65">
        <v>20000.04</v>
      </c>
      <c r="M545" s="65">
        <v>20000</v>
      </c>
      <c r="N545" s="66">
        <f t="shared" si="135"/>
        <v>60000.08</v>
      </c>
      <c r="O545" s="66">
        <f t="shared" si="135"/>
        <v>60000</v>
      </c>
      <c r="P545" s="69">
        <f t="shared" si="130"/>
        <v>20000.026666666668</v>
      </c>
      <c r="Q545" s="69">
        <f t="shared" si="130"/>
        <v>20000</v>
      </c>
      <c r="R545" s="54"/>
      <c r="S545" s="49"/>
      <c r="T545" s="49"/>
      <c r="U545" s="49"/>
      <c r="V545" s="49"/>
      <c r="W545" s="49"/>
      <c r="X545" s="49" t="s">
        <v>541</v>
      </c>
      <c r="Y545" s="49"/>
      <c r="Z545" s="66">
        <v>21000</v>
      </c>
      <c r="AA545" s="140"/>
      <c r="AB545" s="66">
        <v>0</v>
      </c>
      <c r="AC545" s="66">
        <v>0</v>
      </c>
      <c r="AD545" s="66">
        <v>0</v>
      </c>
      <c r="AF545" s="46" t="s">
        <v>843</v>
      </c>
      <c r="AG545" s="81">
        <f t="shared" si="128"/>
        <v>-21000</v>
      </c>
      <c r="AH545" s="81">
        <f t="shared" si="129"/>
        <v>0</v>
      </c>
      <c r="AI545" s="81">
        <f t="shared" si="131"/>
        <v>0</v>
      </c>
    </row>
    <row r="546" spans="1:35" ht="16" thickBot="1" x14ac:dyDescent="0.4">
      <c r="A546" s="66"/>
      <c r="B546" s="66"/>
      <c r="C546" s="49"/>
      <c r="D546" s="49"/>
      <c r="E546" s="49"/>
      <c r="F546" s="49" t="s">
        <v>542</v>
      </c>
      <c r="G546" s="49"/>
      <c r="H546" s="70">
        <v>34792.800000000003</v>
      </c>
      <c r="I546" s="70">
        <v>34464</v>
      </c>
      <c r="J546" s="71">
        <v>36880.32</v>
      </c>
      <c r="K546" s="71">
        <v>32823.360000000001</v>
      </c>
      <c r="L546" s="72">
        <v>39093.120000000003</v>
      </c>
      <c r="M546" s="72">
        <v>38724.339999999997</v>
      </c>
      <c r="N546" s="73">
        <f t="shared" si="135"/>
        <v>110766.24</v>
      </c>
      <c r="O546" s="73">
        <f t="shared" si="135"/>
        <v>106011.7</v>
      </c>
      <c r="P546" s="74">
        <f t="shared" si="130"/>
        <v>36922.080000000002</v>
      </c>
      <c r="Q546" s="74">
        <f t="shared" si="130"/>
        <v>35337.23333333333</v>
      </c>
      <c r="R546" s="54"/>
      <c r="S546" s="49"/>
      <c r="T546" s="49"/>
      <c r="U546" s="49"/>
      <c r="V546" s="49"/>
      <c r="W546" s="49"/>
      <c r="X546" s="49" t="s">
        <v>542</v>
      </c>
      <c r="Y546" s="49"/>
      <c r="Z546" s="73">
        <v>41048</v>
      </c>
      <c r="AA546" s="140"/>
      <c r="AB546" s="73">
        <v>75353.289999999994</v>
      </c>
      <c r="AC546" s="73">
        <v>75353.289999999994</v>
      </c>
      <c r="AD546" s="73">
        <v>75353.289999999994</v>
      </c>
      <c r="AG546" s="81">
        <f t="shared" si="128"/>
        <v>34305.289999999994</v>
      </c>
      <c r="AH546" s="81">
        <f t="shared" si="129"/>
        <v>0</v>
      </c>
      <c r="AI546" s="81">
        <f t="shared" si="131"/>
        <v>0</v>
      </c>
    </row>
    <row r="547" spans="1:35" ht="16" thickBot="1" x14ac:dyDescent="0.4">
      <c r="A547" s="66"/>
      <c r="B547" s="66"/>
      <c r="C547" s="49"/>
      <c r="D547" s="49"/>
      <c r="E547" s="49" t="s">
        <v>543</v>
      </c>
      <c r="F547" s="49"/>
      <c r="G547" s="49"/>
      <c r="H547" s="63">
        <f t="shared" ref="H547:M547" si="136">ROUND(SUM(H543:H546),5)</f>
        <v>66192.800000000003</v>
      </c>
      <c r="I547" s="63">
        <f t="shared" si="136"/>
        <v>66434</v>
      </c>
      <c r="J547" s="64">
        <f t="shared" si="136"/>
        <v>68280.36</v>
      </c>
      <c r="K547" s="64">
        <f t="shared" si="136"/>
        <v>64223.360000000001</v>
      </c>
      <c r="L547" s="65">
        <f t="shared" si="136"/>
        <v>70493.16</v>
      </c>
      <c r="M547" s="65">
        <f t="shared" si="136"/>
        <v>70694.34</v>
      </c>
      <c r="N547" s="66">
        <f t="shared" si="135"/>
        <v>204966.32</v>
      </c>
      <c r="O547" s="66">
        <f t="shared" si="135"/>
        <v>201351.7</v>
      </c>
      <c r="P547" s="69">
        <f t="shared" si="130"/>
        <v>68322.106666666674</v>
      </c>
      <c r="Q547" s="69">
        <f t="shared" si="130"/>
        <v>67117.233333333337</v>
      </c>
      <c r="R547" s="54"/>
      <c r="S547" s="49"/>
      <c r="T547" s="49"/>
      <c r="U547" s="49"/>
      <c r="V547" s="49"/>
      <c r="W547" s="49" t="s">
        <v>543</v>
      </c>
      <c r="X547" s="49"/>
      <c r="Y547" s="49"/>
      <c r="Z547" s="66">
        <f>ROUND(SUM(Z543:Z546),5)</f>
        <v>74018</v>
      </c>
      <c r="AA547" s="140"/>
      <c r="AB547" s="66">
        <f>ROUND(SUM(AB543:AB546),5)</f>
        <v>87323.29</v>
      </c>
      <c r="AC547" s="66">
        <f>ROUND(SUM(AC543:AC546),5)</f>
        <v>87323.29</v>
      </c>
      <c r="AD547" s="66">
        <f>ROUND(SUM(AD543:AD546),5)</f>
        <v>87323.29</v>
      </c>
      <c r="AG547" s="81">
        <f t="shared" si="128"/>
        <v>13305.289999999994</v>
      </c>
      <c r="AH547" s="81">
        <f t="shared" si="129"/>
        <v>0</v>
      </c>
      <c r="AI547" s="81">
        <f t="shared" si="131"/>
        <v>0</v>
      </c>
    </row>
    <row r="548" spans="1:35" x14ac:dyDescent="0.35">
      <c r="A548" s="66"/>
      <c r="B548" s="66"/>
      <c r="C548" s="49"/>
      <c r="D548" s="49" t="s">
        <v>544</v>
      </c>
      <c r="E548" s="49"/>
      <c r="F548" s="49"/>
      <c r="G548" s="49"/>
      <c r="H548" s="63">
        <f t="shared" ref="H548:M548" si="137">ROUND(SUM(H490:H513)+SUM(H518:H542)+SUM(H547:H547),5)</f>
        <v>820827.03</v>
      </c>
      <c r="I548" s="63">
        <f t="shared" si="137"/>
        <v>933251.5</v>
      </c>
      <c r="J548" s="64">
        <f t="shared" si="137"/>
        <v>885822.56</v>
      </c>
      <c r="K548" s="64">
        <f t="shared" si="137"/>
        <v>789393.59</v>
      </c>
      <c r="L548" s="65">
        <f t="shared" si="137"/>
        <v>1006470.26</v>
      </c>
      <c r="M548" s="65">
        <f t="shared" si="137"/>
        <v>900551.6</v>
      </c>
      <c r="N548" s="66">
        <f t="shared" si="135"/>
        <v>2713119.85</v>
      </c>
      <c r="O548" s="66">
        <f t="shared" si="135"/>
        <v>2623196.69</v>
      </c>
      <c r="P548" s="69">
        <f t="shared" si="130"/>
        <v>904373.28333333333</v>
      </c>
      <c r="Q548" s="69">
        <f t="shared" si="130"/>
        <v>874398.89666666661</v>
      </c>
      <c r="R548" s="54"/>
      <c r="S548" s="49"/>
      <c r="T548" s="49"/>
      <c r="U548" s="49"/>
      <c r="V548" s="49" t="s">
        <v>544</v>
      </c>
      <c r="W548" s="49"/>
      <c r="X548" s="49"/>
      <c r="Y548" s="49"/>
      <c r="Z548" s="78">
        <f>ROUND(SUM(Z490:Z513)+SUM(Z518:Z542)+SUM(Z547:Z547),5)</f>
        <v>979664.82</v>
      </c>
      <c r="AA548" s="140"/>
      <c r="AB548" s="91">
        <f>ROUND(SUM(AB490:AB513)+SUM(AB518:AB542)+SUM(AB547:AB547),5)</f>
        <v>1013580.17</v>
      </c>
      <c r="AC548" s="91">
        <f>ROUND(SUM(AC490:AC513)+SUM(AC518:AC542)+SUM(AC547:AC547),5)</f>
        <v>983580.17</v>
      </c>
      <c r="AD548" s="91">
        <f>ROUND(SUM(AD490:AD513)+SUM(AD518:AD542)+SUM(AD547:AD547),5)</f>
        <v>986099.17</v>
      </c>
      <c r="AG548" s="81">
        <f t="shared" si="128"/>
        <v>33915.350000000093</v>
      </c>
      <c r="AH548" s="81">
        <f t="shared" si="129"/>
        <v>-30000</v>
      </c>
      <c r="AI548" s="81">
        <f t="shared" si="131"/>
        <v>2519</v>
      </c>
    </row>
    <row r="549" spans="1:35" x14ac:dyDescent="0.35">
      <c r="A549" s="66"/>
      <c r="B549" s="66"/>
      <c r="C549" s="49"/>
      <c r="D549" s="49" t="s">
        <v>545</v>
      </c>
      <c r="E549" s="49"/>
      <c r="F549" s="49"/>
      <c r="G549" s="49"/>
      <c r="H549" s="63"/>
      <c r="I549" s="63"/>
      <c r="J549" s="64"/>
      <c r="K549" s="64"/>
      <c r="L549" s="65"/>
      <c r="M549" s="65"/>
      <c r="N549" s="66"/>
      <c r="O549" s="66"/>
      <c r="P549" s="69"/>
      <c r="Q549" s="69"/>
      <c r="R549" s="54"/>
      <c r="S549" s="49"/>
      <c r="T549" s="49"/>
      <c r="U549" s="49"/>
      <c r="V549" s="49" t="s">
        <v>545</v>
      </c>
      <c r="W549" s="49"/>
      <c r="X549" s="49"/>
      <c r="Y549" s="49"/>
      <c r="Z549" s="66"/>
      <c r="AA549" s="140"/>
      <c r="AB549" s="66"/>
      <c r="AC549" s="66"/>
      <c r="AD549" s="66"/>
    </row>
    <row r="550" spans="1:35" ht="16" thickBot="1" x14ac:dyDescent="0.4">
      <c r="A550" s="66"/>
      <c r="B550" s="66"/>
      <c r="C550" s="49"/>
      <c r="D550" s="49"/>
      <c r="E550" s="49" t="s">
        <v>546</v>
      </c>
      <c r="F550" s="49"/>
      <c r="G550" s="49"/>
      <c r="H550" s="63">
        <v>4568.2</v>
      </c>
      <c r="I550" s="63">
        <v>20000</v>
      </c>
      <c r="J550" s="64">
        <v>4000.49</v>
      </c>
      <c r="K550" s="64">
        <v>30000</v>
      </c>
      <c r="L550" s="65">
        <v>22812.77</v>
      </c>
      <c r="M550" s="65">
        <v>10000</v>
      </c>
      <c r="N550" s="66">
        <f t="shared" ref="N550:O553" si="138">ROUND(H550+J550+L550,5)</f>
        <v>31381.46</v>
      </c>
      <c r="O550" s="66">
        <f t="shared" si="138"/>
        <v>60000</v>
      </c>
      <c r="P550" s="69">
        <f t="shared" si="130"/>
        <v>10460.486666666666</v>
      </c>
      <c r="Q550" s="69">
        <f t="shared" si="130"/>
        <v>20000</v>
      </c>
      <c r="R550" s="54"/>
      <c r="S550" s="49"/>
      <c r="T550" s="49"/>
      <c r="U550" s="49"/>
      <c r="V550" s="49"/>
      <c r="W550" s="49" t="s">
        <v>546</v>
      </c>
      <c r="X550" s="49"/>
      <c r="Y550" s="49"/>
      <c r="Z550" s="66">
        <v>15000</v>
      </c>
      <c r="AA550" s="140"/>
      <c r="AB550" s="66">
        <v>10000</v>
      </c>
      <c r="AC550" s="66">
        <v>10000</v>
      </c>
      <c r="AD550" s="66">
        <v>10000</v>
      </c>
    </row>
    <row r="551" spans="1:35" ht="16" thickBot="1" x14ac:dyDescent="0.4">
      <c r="A551" s="66"/>
      <c r="B551" s="66"/>
      <c r="C551" s="49"/>
      <c r="D551" s="49" t="s">
        <v>547</v>
      </c>
      <c r="E551" s="49"/>
      <c r="F551" s="49"/>
      <c r="G551" s="49"/>
      <c r="H551" s="75">
        <f t="shared" ref="H551:M551" si="139">ROUND(SUM(H549:H550),5)</f>
        <v>4568.2</v>
      </c>
      <c r="I551" s="75">
        <f t="shared" si="139"/>
        <v>20000</v>
      </c>
      <c r="J551" s="76">
        <f t="shared" si="139"/>
        <v>4000.49</v>
      </c>
      <c r="K551" s="76">
        <f t="shared" si="139"/>
        <v>30000</v>
      </c>
      <c r="L551" s="77">
        <f t="shared" si="139"/>
        <v>22812.77</v>
      </c>
      <c r="M551" s="77">
        <f t="shared" si="139"/>
        <v>10000</v>
      </c>
      <c r="N551" s="78">
        <f t="shared" si="138"/>
        <v>31381.46</v>
      </c>
      <c r="O551" s="78">
        <f t="shared" si="138"/>
        <v>60000</v>
      </c>
      <c r="P551" s="79">
        <f t="shared" si="130"/>
        <v>10460.486666666666</v>
      </c>
      <c r="Q551" s="79">
        <f t="shared" si="130"/>
        <v>20000</v>
      </c>
      <c r="R551" s="54"/>
      <c r="S551" s="49"/>
      <c r="T551" s="49"/>
      <c r="U551" s="49"/>
      <c r="V551" s="49" t="s">
        <v>547</v>
      </c>
      <c r="W551" s="49"/>
      <c r="X551" s="49"/>
      <c r="Y551" s="49"/>
      <c r="Z551" s="78">
        <f>ROUND(SUM(Z549:Z550),5)</f>
        <v>15000</v>
      </c>
      <c r="AA551" s="140"/>
      <c r="AB551" s="91">
        <f>ROUND(SUM(AB549:AB550),5)</f>
        <v>10000</v>
      </c>
      <c r="AC551" s="91">
        <f>ROUND(SUM(AC549:AC550),5)</f>
        <v>10000</v>
      </c>
      <c r="AD551" s="91">
        <f>ROUND(SUM(AD549:AD550),5)</f>
        <v>10000</v>
      </c>
    </row>
    <row r="552" spans="1:35" ht="16" thickBot="1" x14ac:dyDescent="0.4">
      <c r="A552" s="66"/>
      <c r="B552" s="66"/>
      <c r="C552" s="49" t="s">
        <v>548</v>
      </c>
      <c r="D552" s="49"/>
      <c r="E552" s="49"/>
      <c r="F552" s="49"/>
      <c r="G552" s="49"/>
      <c r="H552" s="83">
        <f t="shared" ref="H552:M552" si="140">ROUND(H221+H225+H364+H371+H376+H428+H489+H548+H551,5)</f>
        <v>4602596.84</v>
      </c>
      <c r="I552" s="83">
        <f t="shared" si="140"/>
        <v>4826439.17</v>
      </c>
      <c r="J552" s="84">
        <f t="shared" si="140"/>
        <v>5124859.8899999997</v>
      </c>
      <c r="K552" s="84">
        <f t="shared" si="140"/>
        <v>4876753.51</v>
      </c>
      <c r="L552" s="85">
        <f t="shared" si="140"/>
        <v>5236566.88</v>
      </c>
      <c r="M552" s="85">
        <f t="shared" si="140"/>
        <v>5167354.4800000004</v>
      </c>
      <c r="N552" s="86">
        <f t="shared" si="138"/>
        <v>14964023.609999999</v>
      </c>
      <c r="O552" s="86">
        <f t="shared" si="138"/>
        <v>14870547.16</v>
      </c>
      <c r="P552" s="87">
        <f t="shared" si="130"/>
        <v>4988007.87</v>
      </c>
      <c r="Q552" s="87">
        <f t="shared" si="130"/>
        <v>4956849.0533333337</v>
      </c>
      <c r="R552" s="54"/>
      <c r="S552" s="49"/>
      <c r="T552" s="49"/>
      <c r="U552" s="49" t="s">
        <v>548</v>
      </c>
      <c r="V552" s="49"/>
      <c r="W552" s="49"/>
      <c r="X552" s="49"/>
      <c r="Y552" s="49"/>
      <c r="Z552" s="86">
        <f>ROUND(Z221+Z225+Z364+Z371+Z376+Z428+Z489+Z548+Z551,5)</f>
        <v>5275555.82</v>
      </c>
      <c r="AA552" s="140"/>
      <c r="AB552" s="86">
        <f>ROUND(AB221+AB225+AB364+AB371+AB376+AB428+AB489+AB548+AB551,5)</f>
        <v>5504831.5764199998</v>
      </c>
      <c r="AC552" s="86">
        <f>ROUND(AC221+AC225+AC364+AC371+AC376+AC428+AC489+AC548+AC551,5)</f>
        <v>5320349.5814199997</v>
      </c>
      <c r="AD552" s="86">
        <f>ROUND(AD221+AD225+AD364+AD371+AD376+AD428+AD489+AD548+AD551,5)</f>
        <v>5361614.52202</v>
      </c>
    </row>
    <row r="553" spans="1:35" x14ac:dyDescent="0.35">
      <c r="A553" s="66"/>
      <c r="B553" s="66" t="s">
        <v>549</v>
      </c>
      <c r="C553" s="49"/>
      <c r="D553" s="49"/>
      <c r="E553" s="49"/>
      <c r="F553" s="49"/>
      <c r="G553" s="49"/>
      <c r="H553" s="63">
        <f t="shared" ref="H553:M553" si="141">ROUND(H5+H220-H552,5)</f>
        <v>-92592.2</v>
      </c>
      <c r="I553" s="63">
        <f t="shared" si="141"/>
        <v>8714.58</v>
      </c>
      <c r="J553" s="64">
        <f t="shared" si="141"/>
        <v>-187378.98</v>
      </c>
      <c r="K553" s="64">
        <f t="shared" si="141"/>
        <v>826.41</v>
      </c>
      <c r="L553" s="65">
        <f t="shared" si="141"/>
        <v>-21575.47</v>
      </c>
      <c r="M553" s="65">
        <f t="shared" si="141"/>
        <v>354.02</v>
      </c>
      <c r="N553" s="66">
        <f t="shared" si="138"/>
        <v>-301546.65000000002</v>
      </c>
      <c r="O553" s="66">
        <f t="shared" si="138"/>
        <v>9895.01</v>
      </c>
      <c r="P553" s="69">
        <f t="shared" si="130"/>
        <v>-100515.55</v>
      </c>
      <c r="Q553" s="69">
        <f t="shared" si="130"/>
        <v>3298.3366666666666</v>
      </c>
      <c r="R553" s="54"/>
      <c r="S553" s="49"/>
      <c r="T553" s="49" t="s">
        <v>549</v>
      </c>
      <c r="U553" s="49"/>
      <c r="V553" s="49"/>
      <c r="W553" s="49"/>
      <c r="X553" s="49"/>
      <c r="Y553" s="49"/>
      <c r="Z553" s="66">
        <f>ROUND(Z5+Z220-Z552,5)</f>
        <v>811.37</v>
      </c>
      <c r="AA553" s="140"/>
      <c r="AB553" s="66">
        <f>ROUND(AB5+AB220-AB552,5)</f>
        <v>-193160.46642000001</v>
      </c>
      <c r="AC553" s="66">
        <f>ROUND(AC5+AC220-AC552,5)</f>
        <v>-8678.4714199999999</v>
      </c>
      <c r="AD553" s="66">
        <f>ROUND(AD5+AD220-AD552,5)</f>
        <v>15325.98798</v>
      </c>
    </row>
    <row r="554" spans="1:35" x14ac:dyDescent="0.35">
      <c r="A554" s="66"/>
      <c r="B554" s="66" t="s">
        <v>550</v>
      </c>
      <c r="C554" s="49"/>
      <c r="D554" s="49"/>
      <c r="E554" s="49"/>
      <c r="F554" s="49"/>
      <c r="G554" s="49"/>
      <c r="H554" s="63"/>
      <c r="I554" s="63"/>
      <c r="J554" s="64"/>
      <c r="K554" s="64"/>
      <c r="L554" s="65"/>
      <c r="M554" s="65"/>
      <c r="N554" s="66"/>
      <c r="O554" s="66"/>
      <c r="P554" s="69"/>
      <c r="Q554" s="69"/>
      <c r="R554" s="54"/>
      <c r="S554" s="49"/>
      <c r="T554" s="49" t="s">
        <v>550</v>
      </c>
      <c r="U554" s="49"/>
      <c r="V554" s="49"/>
      <c r="W554" s="49"/>
      <c r="X554" s="49"/>
      <c r="Y554" s="49"/>
      <c r="Z554" s="66"/>
      <c r="AA554" s="140"/>
      <c r="AB554" s="66"/>
      <c r="AC554" s="66"/>
      <c r="AD554" s="66"/>
    </row>
    <row r="555" spans="1:35" x14ac:dyDescent="0.35">
      <c r="A555" s="66"/>
      <c r="B555" s="66"/>
      <c r="C555" s="49" t="s">
        <v>551</v>
      </c>
      <c r="D555" s="49"/>
      <c r="E555" s="49"/>
      <c r="F555" s="49"/>
      <c r="G555" s="49"/>
      <c r="H555" s="63"/>
      <c r="I555" s="63"/>
      <c r="J555" s="64"/>
      <c r="K555" s="64"/>
      <c r="L555" s="65"/>
      <c r="M555" s="65"/>
      <c r="N555" s="66"/>
      <c r="O555" s="66"/>
      <c r="P555" s="69"/>
      <c r="Q555" s="69"/>
      <c r="R555" s="54"/>
      <c r="S555" s="49"/>
      <c r="T555" s="49"/>
      <c r="U555" s="49" t="s">
        <v>551</v>
      </c>
      <c r="V555" s="49"/>
      <c r="W555" s="49"/>
      <c r="X555" s="49"/>
      <c r="Y555" s="49"/>
      <c r="Z555" s="66"/>
      <c r="AA555" s="140"/>
      <c r="AB555" s="66"/>
      <c r="AC555" s="66"/>
      <c r="AD555" s="66"/>
    </row>
    <row r="556" spans="1:35" x14ac:dyDescent="0.35">
      <c r="A556" s="66"/>
      <c r="B556" s="66"/>
      <c r="C556" s="49"/>
      <c r="D556" s="49" t="s">
        <v>552</v>
      </c>
      <c r="E556" s="49"/>
      <c r="F556" s="49"/>
      <c r="G556" s="49"/>
      <c r="H556" s="63">
        <v>288386.05</v>
      </c>
      <c r="I556" s="63">
        <v>0</v>
      </c>
      <c r="J556" s="64">
        <v>313714.26</v>
      </c>
      <c r="K556" s="64">
        <v>0</v>
      </c>
      <c r="L556" s="65">
        <v>363433.03</v>
      </c>
      <c r="M556" s="65">
        <v>0</v>
      </c>
      <c r="N556" s="66">
        <f>ROUND(H556+J556+L556,5)</f>
        <v>965533.34</v>
      </c>
      <c r="O556" s="66">
        <f>ROUND(I556+K556+M556,5)</f>
        <v>0</v>
      </c>
      <c r="P556" s="69">
        <f t="shared" si="130"/>
        <v>321844.44666666666</v>
      </c>
      <c r="Q556" s="69">
        <f t="shared" si="130"/>
        <v>0</v>
      </c>
      <c r="R556" s="54"/>
      <c r="S556" s="49"/>
      <c r="T556" s="49"/>
      <c r="U556" s="49"/>
      <c r="V556" s="49" t="s">
        <v>552</v>
      </c>
      <c r="W556" s="49"/>
      <c r="X556" s="49"/>
      <c r="Y556" s="49"/>
      <c r="Z556" s="66"/>
      <c r="AA556" s="140"/>
      <c r="AB556" s="66"/>
      <c r="AC556" s="66"/>
      <c r="AD556" s="66"/>
    </row>
    <row r="557" spans="1:35" x14ac:dyDescent="0.35">
      <c r="A557" s="66"/>
      <c r="B557" s="66"/>
      <c r="C557" s="49"/>
      <c r="D557" s="49" t="s">
        <v>553</v>
      </c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/>
      <c r="V557" s="49" t="s">
        <v>553</v>
      </c>
      <c r="W557" s="49"/>
      <c r="X557" s="49"/>
      <c r="Y557" s="49"/>
      <c r="Z557" s="66"/>
      <c r="AA557" s="140"/>
      <c r="AB557" s="66"/>
      <c r="AC557" s="66"/>
      <c r="AD557" s="66"/>
    </row>
    <row r="558" spans="1:35" x14ac:dyDescent="0.35">
      <c r="A558" s="66"/>
      <c r="B558" s="66"/>
      <c r="C558" s="49"/>
      <c r="D558" s="49"/>
      <c r="E558" s="49" t="s">
        <v>554</v>
      </c>
      <c r="F558" s="49"/>
      <c r="G558" s="49"/>
      <c r="H558" s="63">
        <v>0</v>
      </c>
      <c r="I558" s="63">
        <v>0</v>
      </c>
      <c r="J558" s="64">
        <v>0</v>
      </c>
      <c r="K558" s="64">
        <v>0</v>
      </c>
      <c r="L558" s="65">
        <v>0</v>
      </c>
      <c r="M558" s="65">
        <v>0</v>
      </c>
      <c r="N558" s="66">
        <f t="shared" ref="N558:O563" si="142">ROUND(H558+J558+L558,5)</f>
        <v>0</v>
      </c>
      <c r="O558" s="66">
        <f t="shared" si="142"/>
        <v>0</v>
      </c>
      <c r="P558" s="69">
        <f t="shared" si="130"/>
        <v>0</v>
      </c>
      <c r="Q558" s="69">
        <f t="shared" si="130"/>
        <v>0</v>
      </c>
      <c r="R558" s="54"/>
      <c r="S558" s="49"/>
      <c r="T558" s="49"/>
      <c r="U558" s="49"/>
      <c r="V558" s="49"/>
      <c r="W558" s="49" t="s">
        <v>554</v>
      </c>
      <c r="X558" s="49"/>
      <c r="Y558" s="49"/>
      <c r="Z558" s="66"/>
      <c r="AA558" s="140"/>
      <c r="AB558" s="66"/>
      <c r="AC558" s="66"/>
      <c r="AD558" s="66"/>
    </row>
    <row r="559" spans="1:35" x14ac:dyDescent="0.35">
      <c r="A559" s="66"/>
      <c r="B559" s="66"/>
      <c r="C559" s="49"/>
      <c r="D559" s="49"/>
      <c r="E559" s="49" t="s">
        <v>555</v>
      </c>
      <c r="F559" s="49"/>
      <c r="G559" s="49"/>
      <c r="H559" s="63">
        <v>0</v>
      </c>
      <c r="I559" s="63">
        <v>0</v>
      </c>
      <c r="J559" s="64">
        <v>0</v>
      </c>
      <c r="K559" s="64">
        <v>0</v>
      </c>
      <c r="L559" s="65">
        <v>0</v>
      </c>
      <c r="M559" s="65">
        <v>0</v>
      </c>
      <c r="N559" s="66">
        <f t="shared" si="142"/>
        <v>0</v>
      </c>
      <c r="O559" s="66">
        <f t="shared" si="142"/>
        <v>0</v>
      </c>
      <c r="P559" s="69">
        <f t="shared" si="130"/>
        <v>0</v>
      </c>
      <c r="Q559" s="69">
        <f t="shared" si="130"/>
        <v>0</v>
      </c>
      <c r="R559" s="54"/>
      <c r="S559" s="49"/>
      <c r="T559" s="49"/>
      <c r="U559" s="49"/>
      <c r="V559" s="49"/>
      <c r="W559" s="49" t="s">
        <v>555</v>
      </c>
      <c r="X559" s="49"/>
      <c r="Y559" s="49"/>
      <c r="Z559" s="66"/>
      <c r="AA559" s="140"/>
      <c r="AB559" s="66"/>
      <c r="AC559" s="66"/>
      <c r="AD559" s="66"/>
    </row>
    <row r="560" spans="1:35" x14ac:dyDescent="0.35">
      <c r="A560" s="66"/>
      <c r="B560" s="66"/>
      <c r="C560" s="49"/>
      <c r="D560" s="49"/>
      <c r="E560" s="49" t="s">
        <v>556</v>
      </c>
      <c r="F560" s="49"/>
      <c r="G560" s="49"/>
      <c r="H560" s="63">
        <v>10930.61</v>
      </c>
      <c r="I560" s="63">
        <v>0</v>
      </c>
      <c r="J560" s="64">
        <v>16392.32</v>
      </c>
      <c r="K560" s="64">
        <v>0</v>
      </c>
      <c r="L560" s="65">
        <v>17337.490000000002</v>
      </c>
      <c r="M560" s="65">
        <v>0</v>
      </c>
      <c r="N560" s="66">
        <f t="shared" si="142"/>
        <v>44660.42</v>
      </c>
      <c r="O560" s="66">
        <f t="shared" si="142"/>
        <v>0</v>
      </c>
      <c r="P560" s="69">
        <f t="shared" si="130"/>
        <v>14886.806666666665</v>
      </c>
      <c r="Q560" s="69">
        <f t="shared" si="130"/>
        <v>0</v>
      </c>
      <c r="R560" s="54"/>
      <c r="S560" s="49"/>
      <c r="T560" s="49"/>
      <c r="U560" s="49"/>
      <c r="V560" s="49"/>
      <c r="W560" s="49" t="s">
        <v>556</v>
      </c>
      <c r="X560" s="49"/>
      <c r="Y560" s="49"/>
      <c r="Z560" s="66"/>
      <c r="AA560" s="140"/>
      <c r="AB560" s="66"/>
      <c r="AC560" s="66"/>
      <c r="AD560" s="66"/>
    </row>
    <row r="561" spans="1:30" x14ac:dyDescent="0.35">
      <c r="A561" s="66"/>
      <c r="B561" s="66"/>
      <c r="C561" s="49"/>
      <c r="D561" s="49"/>
      <c r="E561" s="49" t="s">
        <v>557</v>
      </c>
      <c r="F561" s="49"/>
      <c r="G561" s="49"/>
      <c r="H561" s="63">
        <v>12442.84</v>
      </c>
      <c r="I561" s="63">
        <v>0</v>
      </c>
      <c r="J561" s="64">
        <v>10602.84</v>
      </c>
      <c r="K561" s="64">
        <v>0</v>
      </c>
      <c r="L561" s="65">
        <v>10395.5</v>
      </c>
      <c r="M561" s="65">
        <v>0</v>
      </c>
      <c r="N561" s="66">
        <f t="shared" si="142"/>
        <v>33441.18</v>
      </c>
      <c r="O561" s="66">
        <f t="shared" si="142"/>
        <v>0</v>
      </c>
      <c r="P561" s="69">
        <f t="shared" si="130"/>
        <v>11147.06</v>
      </c>
      <c r="Q561" s="69">
        <f t="shared" si="130"/>
        <v>0</v>
      </c>
      <c r="R561" s="54"/>
      <c r="S561" s="49"/>
      <c r="T561" s="49"/>
      <c r="U561" s="49"/>
      <c r="V561" s="49"/>
      <c r="W561" s="49" t="s">
        <v>557</v>
      </c>
      <c r="X561" s="49"/>
      <c r="Y561" s="49"/>
      <c r="Z561" s="66"/>
      <c r="AA561" s="140"/>
      <c r="AB561" s="66"/>
      <c r="AC561" s="66"/>
      <c r="AD561" s="66"/>
    </row>
    <row r="562" spans="1:30" ht="16" thickBot="1" x14ac:dyDescent="0.4">
      <c r="A562" s="66"/>
      <c r="B562" s="66"/>
      <c r="C562" s="49"/>
      <c r="D562" s="49"/>
      <c r="E562" s="49" t="s">
        <v>558</v>
      </c>
      <c r="F562" s="49"/>
      <c r="G562" s="49"/>
      <c r="H562" s="70">
        <v>1000</v>
      </c>
      <c r="I562" s="70">
        <v>0</v>
      </c>
      <c r="J562" s="71">
        <v>1000</v>
      </c>
      <c r="K562" s="64">
        <v>0</v>
      </c>
      <c r="L562" s="72">
        <v>1000</v>
      </c>
      <c r="M562" s="65">
        <v>0</v>
      </c>
      <c r="N562" s="73">
        <f t="shared" si="142"/>
        <v>3000</v>
      </c>
      <c r="O562" s="73">
        <f t="shared" si="142"/>
        <v>0</v>
      </c>
      <c r="P562" s="74">
        <f t="shared" si="130"/>
        <v>1000</v>
      </c>
      <c r="Q562" s="74">
        <f t="shared" si="130"/>
        <v>0</v>
      </c>
      <c r="R562" s="54"/>
      <c r="S562" s="49"/>
      <c r="T562" s="49"/>
      <c r="U562" s="49"/>
      <c r="V562" s="49"/>
      <c r="W562" s="49" t="s">
        <v>558</v>
      </c>
      <c r="X562" s="49"/>
      <c r="Y562" s="49"/>
      <c r="Z562" s="66"/>
      <c r="AA562" s="140"/>
      <c r="AB562" s="66"/>
      <c r="AC562" s="66"/>
      <c r="AD562" s="66"/>
    </row>
    <row r="563" spans="1:30" x14ac:dyDescent="0.35">
      <c r="A563" s="66"/>
      <c r="B563" s="66"/>
      <c r="C563" s="49"/>
      <c r="D563" s="49" t="s">
        <v>559</v>
      </c>
      <c r="E563" s="49"/>
      <c r="F563" s="49"/>
      <c r="G563" s="49"/>
      <c r="H563" s="63">
        <f t="shared" ref="H563:M563" si="143">ROUND(SUM(H557:H562),5)</f>
        <v>24373.45</v>
      </c>
      <c r="I563" s="63">
        <f t="shared" si="143"/>
        <v>0</v>
      </c>
      <c r="J563" s="64">
        <f t="shared" si="143"/>
        <v>27995.16</v>
      </c>
      <c r="K563" s="76">
        <f t="shared" si="143"/>
        <v>0</v>
      </c>
      <c r="L563" s="65">
        <f t="shared" si="143"/>
        <v>28732.99</v>
      </c>
      <c r="M563" s="77">
        <f t="shared" si="143"/>
        <v>0</v>
      </c>
      <c r="N563" s="66">
        <f t="shared" si="142"/>
        <v>81101.600000000006</v>
      </c>
      <c r="O563" s="66">
        <f t="shared" si="142"/>
        <v>0</v>
      </c>
      <c r="P563" s="69">
        <f t="shared" si="130"/>
        <v>27033.866666666669</v>
      </c>
      <c r="Q563" s="69">
        <f t="shared" si="130"/>
        <v>0</v>
      </c>
      <c r="R563" s="54"/>
      <c r="S563" s="49"/>
      <c r="T563" s="49"/>
      <c r="U563" s="49"/>
      <c r="V563" s="49" t="s">
        <v>559</v>
      </c>
      <c r="W563" s="49"/>
      <c r="X563" s="49"/>
      <c r="Y563" s="49"/>
      <c r="Z563" s="66"/>
      <c r="AA563" s="140"/>
      <c r="AB563" s="66"/>
      <c r="AC563" s="66"/>
      <c r="AD563" s="66"/>
    </row>
    <row r="564" spans="1:30" x14ac:dyDescent="0.35">
      <c r="A564" s="66"/>
      <c r="B564" s="66"/>
      <c r="C564" s="49"/>
      <c r="D564" s="49" t="s">
        <v>560</v>
      </c>
      <c r="E564" s="49"/>
      <c r="F564" s="49"/>
      <c r="G564" s="49"/>
      <c r="H564" s="63"/>
      <c r="I564" s="63"/>
      <c r="J564" s="64"/>
      <c r="K564" s="64"/>
      <c r="L564" s="65"/>
      <c r="M564" s="65"/>
      <c r="N564" s="66"/>
      <c r="O564" s="66"/>
      <c r="P564" s="69"/>
      <c r="Q564" s="69"/>
      <c r="R564" s="54"/>
      <c r="S564" s="49"/>
      <c r="T564" s="49"/>
      <c r="U564" s="49"/>
      <c r="V564" s="49" t="s">
        <v>560</v>
      </c>
      <c r="W564" s="49"/>
      <c r="X564" s="49"/>
      <c r="Y564" s="49"/>
      <c r="Z564" s="66"/>
      <c r="AA564" s="140"/>
      <c r="AB564" s="66"/>
      <c r="AC564" s="66"/>
      <c r="AD564" s="66"/>
    </row>
    <row r="565" spans="1:30" x14ac:dyDescent="0.35">
      <c r="A565" s="66"/>
      <c r="B565" s="66"/>
      <c r="C565" s="49"/>
      <c r="D565" s="49"/>
      <c r="E565" s="49" t="s">
        <v>561</v>
      </c>
      <c r="F565" s="49"/>
      <c r="G565" s="49"/>
      <c r="H565" s="63">
        <v>558.27</v>
      </c>
      <c r="I565" s="63">
        <v>0</v>
      </c>
      <c r="J565" s="64">
        <v>-985.85</v>
      </c>
      <c r="K565" s="64">
        <v>0</v>
      </c>
      <c r="L565" s="65">
        <v>6774.89</v>
      </c>
      <c r="M565" s="65">
        <v>0</v>
      </c>
      <c r="N565" s="66">
        <f t="shared" ref="N565:O569" si="144">ROUND(H565+J565+L565,5)</f>
        <v>6347.31</v>
      </c>
      <c r="O565" s="66">
        <f t="shared" si="144"/>
        <v>0</v>
      </c>
      <c r="P565" s="69">
        <f t="shared" si="130"/>
        <v>2115.77</v>
      </c>
      <c r="Q565" s="69">
        <f t="shared" si="130"/>
        <v>0</v>
      </c>
      <c r="R565" s="54"/>
      <c r="S565" s="49"/>
      <c r="T565" s="49"/>
      <c r="U565" s="49"/>
      <c r="V565" s="49"/>
      <c r="W565" s="49" t="s">
        <v>561</v>
      </c>
      <c r="X565" s="49"/>
      <c r="Y565" s="49"/>
      <c r="Z565" s="66"/>
      <c r="AA565" s="140"/>
      <c r="AB565" s="66"/>
      <c r="AC565" s="66"/>
      <c r="AD565" s="66"/>
    </row>
    <row r="566" spans="1:30" x14ac:dyDescent="0.35">
      <c r="A566" s="66"/>
      <c r="B566" s="66"/>
      <c r="C566" s="49"/>
      <c r="D566" s="49"/>
      <c r="E566" s="49" t="s">
        <v>562</v>
      </c>
      <c r="F566" s="49"/>
      <c r="G566" s="49"/>
      <c r="H566" s="63">
        <v>0</v>
      </c>
      <c r="I566" s="63">
        <v>0</v>
      </c>
      <c r="J566" s="64">
        <v>0</v>
      </c>
      <c r="K566" s="64">
        <v>0</v>
      </c>
      <c r="L566" s="65">
        <v>-58.71</v>
      </c>
      <c r="M566" s="65">
        <v>0</v>
      </c>
      <c r="N566" s="66">
        <f t="shared" si="144"/>
        <v>-58.71</v>
      </c>
      <c r="O566" s="66">
        <f t="shared" si="144"/>
        <v>0</v>
      </c>
      <c r="P566" s="69">
        <f t="shared" si="130"/>
        <v>-19.57</v>
      </c>
      <c r="Q566" s="69">
        <f t="shared" si="130"/>
        <v>0</v>
      </c>
      <c r="R566" s="54"/>
      <c r="S566" s="49"/>
      <c r="T566" s="49"/>
      <c r="U566" s="49"/>
      <c r="V566" s="49"/>
      <c r="W566" s="49" t="s">
        <v>562</v>
      </c>
      <c r="X566" s="49"/>
      <c r="Y566" s="49"/>
      <c r="Z566" s="66"/>
      <c r="AA566" s="140"/>
      <c r="AB566" s="66"/>
      <c r="AC566" s="66"/>
      <c r="AD566" s="66"/>
    </row>
    <row r="567" spans="1:30" ht="16" thickBot="1" x14ac:dyDescent="0.4">
      <c r="A567" s="66"/>
      <c r="B567" s="66"/>
      <c r="C567" s="49"/>
      <c r="D567" s="49"/>
      <c r="E567" s="49" t="s">
        <v>563</v>
      </c>
      <c r="F567" s="49"/>
      <c r="G567" s="49"/>
      <c r="H567" s="63">
        <v>136732.6</v>
      </c>
      <c r="I567" s="63">
        <v>0</v>
      </c>
      <c r="J567" s="64">
        <v>235676.86</v>
      </c>
      <c r="K567" s="64">
        <v>0</v>
      </c>
      <c r="L567" s="65">
        <v>195303.78</v>
      </c>
      <c r="M567" s="65">
        <v>0</v>
      </c>
      <c r="N567" s="66">
        <f t="shared" si="144"/>
        <v>567713.24</v>
      </c>
      <c r="O567" s="66">
        <f t="shared" si="144"/>
        <v>0</v>
      </c>
      <c r="P567" s="69">
        <f t="shared" si="130"/>
        <v>189237.74666666667</v>
      </c>
      <c r="Q567" s="69">
        <f t="shared" si="130"/>
        <v>0</v>
      </c>
      <c r="R567" s="54"/>
      <c r="S567" s="49"/>
      <c r="T567" s="49"/>
      <c r="U567" s="49"/>
      <c r="V567" s="49"/>
      <c r="W567" s="49" t="s">
        <v>563</v>
      </c>
      <c r="X567" s="49"/>
      <c r="Y567" s="49"/>
      <c r="Z567" s="66"/>
      <c r="AA567" s="140"/>
      <c r="AB567" s="66"/>
      <c r="AC567" s="66"/>
      <c r="AD567" s="66"/>
    </row>
    <row r="568" spans="1:30" ht="16" thickBot="1" x14ac:dyDescent="0.4">
      <c r="A568" s="66"/>
      <c r="B568" s="66"/>
      <c r="C568" s="49"/>
      <c r="D568" s="49" t="s">
        <v>564</v>
      </c>
      <c r="E568" s="49"/>
      <c r="F568" s="49"/>
      <c r="G568" s="49"/>
      <c r="H568" s="83">
        <f t="shared" ref="H568:M568" si="145">ROUND(SUM(H564:H567),5)</f>
        <v>137290.87</v>
      </c>
      <c r="I568" s="83">
        <f t="shared" si="145"/>
        <v>0</v>
      </c>
      <c r="J568" s="84">
        <f t="shared" si="145"/>
        <v>234691.01</v>
      </c>
      <c r="K568" s="84">
        <f t="shared" si="145"/>
        <v>0</v>
      </c>
      <c r="L568" s="85">
        <f t="shared" si="145"/>
        <v>202019.96</v>
      </c>
      <c r="M568" s="85">
        <f t="shared" si="145"/>
        <v>0</v>
      </c>
      <c r="N568" s="86">
        <f t="shared" si="144"/>
        <v>574001.84</v>
      </c>
      <c r="O568" s="86">
        <f t="shared" si="144"/>
        <v>0</v>
      </c>
      <c r="P568" s="87">
        <f t="shared" si="130"/>
        <v>191333.94666666666</v>
      </c>
      <c r="Q568" s="87">
        <f t="shared" si="130"/>
        <v>0</v>
      </c>
      <c r="R568" s="54"/>
      <c r="S568" s="49"/>
      <c r="T568" s="49"/>
      <c r="U568" s="49"/>
      <c r="V568" s="49" t="s">
        <v>564</v>
      </c>
      <c r="W568" s="49"/>
      <c r="X568" s="49"/>
      <c r="Y568" s="49"/>
      <c r="Z568" s="66"/>
      <c r="AA568" s="140"/>
      <c r="AB568" s="66"/>
      <c r="AC568" s="66"/>
      <c r="AD568" s="66"/>
    </row>
    <row r="569" spans="1:30" x14ac:dyDescent="0.35">
      <c r="A569" s="66"/>
      <c r="B569" s="66"/>
      <c r="C569" s="49" t="s">
        <v>565</v>
      </c>
      <c r="D569" s="49"/>
      <c r="E569" s="49"/>
      <c r="F569" s="49"/>
      <c r="G569" s="49"/>
      <c r="H569" s="63">
        <f t="shared" ref="H569:M569" si="146">ROUND(SUM(H555:H556)+H563+H568,5)</f>
        <v>450050.37</v>
      </c>
      <c r="I569" s="63">
        <f t="shared" si="146"/>
        <v>0</v>
      </c>
      <c r="J569" s="64">
        <f t="shared" si="146"/>
        <v>576400.43000000005</v>
      </c>
      <c r="K569" s="64">
        <f t="shared" si="146"/>
        <v>0</v>
      </c>
      <c r="L569" s="65">
        <f t="shared" si="146"/>
        <v>594185.98</v>
      </c>
      <c r="M569" s="65">
        <f t="shared" si="146"/>
        <v>0</v>
      </c>
      <c r="N569" s="66">
        <f t="shared" si="144"/>
        <v>1620636.78</v>
      </c>
      <c r="O569" s="66">
        <f t="shared" si="144"/>
        <v>0</v>
      </c>
      <c r="P569" s="69">
        <f t="shared" si="130"/>
        <v>540212.26</v>
      </c>
      <c r="Q569" s="69">
        <f t="shared" si="130"/>
        <v>0</v>
      </c>
      <c r="R569" s="54"/>
      <c r="S569" s="49"/>
      <c r="T569" s="49"/>
      <c r="U569" s="49" t="s">
        <v>565</v>
      </c>
      <c r="V569" s="49"/>
      <c r="W569" s="49"/>
      <c r="X569" s="49"/>
      <c r="Y569" s="49"/>
      <c r="Z569" s="66"/>
      <c r="AA569" s="140"/>
      <c r="AB569" s="66"/>
      <c r="AC569" s="66"/>
      <c r="AD569" s="66"/>
    </row>
    <row r="570" spans="1:30" x14ac:dyDescent="0.35">
      <c r="A570" s="66"/>
      <c r="B570" s="66"/>
      <c r="C570" s="49" t="s">
        <v>566</v>
      </c>
      <c r="D570" s="49"/>
      <c r="E570" s="49"/>
      <c r="F570" s="49"/>
      <c r="G570" s="49"/>
      <c r="H570" s="63"/>
      <c r="I570" s="63"/>
      <c r="J570" s="64"/>
      <c r="K570" s="64"/>
      <c r="L570" s="65"/>
      <c r="M570" s="65"/>
      <c r="N570" s="66"/>
      <c r="O570" s="66"/>
      <c r="P570" s="69"/>
      <c r="Q570" s="69"/>
      <c r="R570" s="54"/>
      <c r="S570" s="49"/>
      <c r="T570" s="49"/>
      <c r="U570" s="49" t="s">
        <v>566</v>
      </c>
      <c r="V570" s="49"/>
      <c r="W570" s="49"/>
      <c r="X570" s="49"/>
      <c r="Y570" s="49"/>
      <c r="Z570" s="66"/>
      <c r="AA570" s="140"/>
      <c r="AB570" s="66"/>
      <c r="AC570" s="66"/>
      <c r="AD570" s="66"/>
    </row>
    <row r="571" spans="1:30" x14ac:dyDescent="0.35">
      <c r="A571" s="66"/>
      <c r="B571" s="66"/>
      <c r="C571" s="49"/>
      <c r="D571" s="49" t="s">
        <v>567</v>
      </c>
      <c r="E571" s="49"/>
      <c r="F571" s="49"/>
      <c r="G571" s="49"/>
      <c r="H571" s="63"/>
      <c r="I571" s="63"/>
      <c r="J571" s="64"/>
      <c r="K571" s="64"/>
      <c r="L571" s="65"/>
      <c r="M571" s="65"/>
      <c r="N571" s="66"/>
      <c r="O571" s="66"/>
      <c r="P571" s="69"/>
      <c r="Q571" s="69"/>
      <c r="R571" s="54"/>
      <c r="S571" s="49"/>
      <c r="T571" s="49"/>
      <c r="U571" s="49"/>
      <c r="V571" s="49" t="s">
        <v>567</v>
      </c>
      <c r="W571" s="49"/>
      <c r="X571" s="49"/>
      <c r="Y571" s="49"/>
      <c r="Z571" s="66"/>
      <c r="AA571" s="140"/>
      <c r="AB571" s="66"/>
      <c r="AC571" s="66"/>
      <c r="AD571" s="66"/>
    </row>
    <row r="572" spans="1:30" x14ac:dyDescent="0.35">
      <c r="A572" s="66"/>
      <c r="B572" s="66"/>
      <c r="C572" s="49"/>
      <c r="D572" s="49"/>
      <c r="E572" s="49" t="s">
        <v>568</v>
      </c>
      <c r="F572" s="49"/>
      <c r="G572" s="49"/>
      <c r="H572" s="63">
        <v>541.88</v>
      </c>
      <c r="I572" s="63">
        <v>0</v>
      </c>
      <c r="J572" s="64">
        <v>554.29999999999995</v>
      </c>
      <c r="K572" s="64">
        <v>0</v>
      </c>
      <c r="L572" s="65">
        <v>645.24</v>
      </c>
      <c r="M572" s="65">
        <v>0</v>
      </c>
      <c r="N572" s="66">
        <f t="shared" ref="N572:O580" si="147">ROUND(H572+J572+L572,5)</f>
        <v>1741.42</v>
      </c>
      <c r="O572" s="66">
        <f t="shared" si="147"/>
        <v>0</v>
      </c>
      <c r="P572" s="69">
        <f t="shared" ref="P572:Q580" si="148">N572/3</f>
        <v>580.47333333333336</v>
      </c>
      <c r="Q572" s="69">
        <f t="shared" si="148"/>
        <v>0</v>
      </c>
      <c r="R572" s="54"/>
      <c r="S572" s="49"/>
      <c r="T572" s="49"/>
      <c r="U572" s="49"/>
      <c r="V572" s="49"/>
      <c r="W572" s="49" t="s">
        <v>568</v>
      </c>
      <c r="X572" s="49"/>
      <c r="Y572" s="49"/>
      <c r="Z572" s="66"/>
      <c r="AA572" s="140"/>
      <c r="AB572" s="66"/>
      <c r="AC572" s="66"/>
      <c r="AD572" s="66"/>
    </row>
    <row r="573" spans="1:30" x14ac:dyDescent="0.35">
      <c r="A573" s="66"/>
      <c r="B573" s="66"/>
      <c r="C573" s="49"/>
      <c r="D573" s="49"/>
      <c r="E573" s="49" t="s">
        <v>569</v>
      </c>
      <c r="F573" s="49"/>
      <c r="G573" s="49"/>
      <c r="H573" s="63">
        <v>0</v>
      </c>
      <c r="I573" s="63">
        <v>0</v>
      </c>
      <c r="J573" s="64">
        <v>0</v>
      </c>
      <c r="K573" s="64">
        <v>0</v>
      </c>
      <c r="L573" s="65">
        <v>0</v>
      </c>
      <c r="M573" s="65">
        <v>0</v>
      </c>
      <c r="N573" s="66">
        <f t="shared" si="147"/>
        <v>0</v>
      </c>
      <c r="O573" s="66">
        <f t="shared" si="147"/>
        <v>0</v>
      </c>
      <c r="P573" s="69">
        <f t="shared" si="148"/>
        <v>0</v>
      </c>
      <c r="Q573" s="69">
        <f t="shared" si="148"/>
        <v>0</v>
      </c>
      <c r="R573" s="54"/>
      <c r="S573" s="49"/>
      <c r="T573" s="49"/>
      <c r="U573" s="49"/>
      <c r="V573" s="49"/>
      <c r="W573" s="49" t="s">
        <v>569</v>
      </c>
      <c r="X573" s="49"/>
      <c r="Y573" s="49"/>
      <c r="Z573" s="66"/>
      <c r="AA573" s="143"/>
      <c r="AB573" s="66"/>
      <c r="AC573" s="66"/>
      <c r="AD573" s="66"/>
    </row>
    <row r="574" spans="1:30" x14ac:dyDescent="0.35">
      <c r="A574" s="66"/>
      <c r="B574" s="66"/>
      <c r="C574" s="49"/>
      <c r="D574" s="49"/>
      <c r="E574" s="49" t="s">
        <v>570</v>
      </c>
      <c r="F574" s="49"/>
      <c r="G574" s="49"/>
      <c r="H574" s="63">
        <v>2500</v>
      </c>
      <c r="I574" s="63">
        <v>0</v>
      </c>
      <c r="J574" s="64">
        <v>4000</v>
      </c>
      <c r="K574" s="64">
        <v>0</v>
      </c>
      <c r="L574" s="65">
        <v>4500</v>
      </c>
      <c r="M574" s="65">
        <v>0</v>
      </c>
      <c r="N574" s="66">
        <f t="shared" si="147"/>
        <v>11000</v>
      </c>
      <c r="O574" s="66">
        <f t="shared" si="147"/>
        <v>0</v>
      </c>
      <c r="P574" s="69">
        <f t="shared" si="148"/>
        <v>3666.6666666666665</v>
      </c>
      <c r="Q574" s="69">
        <f t="shared" si="148"/>
        <v>0</v>
      </c>
      <c r="R574" s="54"/>
      <c r="S574" s="49"/>
      <c r="T574" s="49"/>
      <c r="U574" s="49"/>
      <c r="V574" s="49"/>
      <c r="W574" s="49" t="s">
        <v>570</v>
      </c>
      <c r="X574" s="49"/>
      <c r="Y574" s="49"/>
      <c r="Z574" s="66"/>
      <c r="AA574" s="140"/>
      <c r="AB574" s="66"/>
      <c r="AC574" s="66"/>
      <c r="AD574" s="66"/>
    </row>
    <row r="575" spans="1:30" ht="16" thickBot="1" x14ac:dyDescent="0.4">
      <c r="A575" s="66"/>
      <c r="B575" s="66"/>
      <c r="C575" s="49"/>
      <c r="D575" s="49"/>
      <c r="E575" s="49" t="s">
        <v>571</v>
      </c>
      <c r="F575" s="49"/>
      <c r="G575" s="49"/>
      <c r="H575" s="70">
        <v>21487.599999999999</v>
      </c>
      <c r="I575" s="70">
        <v>0</v>
      </c>
      <c r="J575" s="71">
        <v>19409.990000000002</v>
      </c>
      <c r="K575" s="64">
        <v>0</v>
      </c>
      <c r="L575" s="72">
        <v>19578.830000000002</v>
      </c>
      <c r="M575" s="65">
        <v>0</v>
      </c>
      <c r="N575" s="73">
        <f t="shared" si="147"/>
        <v>60476.42</v>
      </c>
      <c r="O575" s="73">
        <f t="shared" si="147"/>
        <v>0</v>
      </c>
      <c r="P575" s="74">
        <f t="shared" si="148"/>
        <v>20158.806666666667</v>
      </c>
      <c r="Q575" s="74">
        <f t="shared" si="148"/>
        <v>0</v>
      </c>
      <c r="R575" s="54"/>
      <c r="S575" s="49"/>
      <c r="T575" s="49"/>
      <c r="U575" s="49"/>
      <c r="V575" s="49"/>
      <c r="W575" s="49" t="s">
        <v>571</v>
      </c>
      <c r="X575" s="49"/>
      <c r="Y575" s="49"/>
      <c r="Z575" s="66"/>
      <c r="AA575" s="140"/>
      <c r="AB575" s="66"/>
      <c r="AC575" s="66"/>
      <c r="AD575" s="66"/>
    </row>
    <row r="576" spans="1:30" x14ac:dyDescent="0.35">
      <c r="A576" s="66"/>
      <c r="B576" s="66"/>
      <c r="C576" s="49"/>
      <c r="D576" s="49" t="s">
        <v>572</v>
      </c>
      <c r="E576" s="49"/>
      <c r="F576" s="49"/>
      <c r="G576" s="49"/>
      <c r="H576" s="63">
        <f t="shared" ref="H576:M576" si="149">ROUND(SUM(H571:H575),5)</f>
        <v>24529.48</v>
      </c>
      <c r="I576" s="63">
        <f t="shared" si="149"/>
        <v>0</v>
      </c>
      <c r="J576" s="64">
        <f t="shared" si="149"/>
        <v>23964.29</v>
      </c>
      <c r="K576" s="76">
        <f t="shared" si="149"/>
        <v>0</v>
      </c>
      <c r="L576" s="65">
        <f t="shared" si="149"/>
        <v>24724.07</v>
      </c>
      <c r="M576" s="77">
        <f t="shared" si="149"/>
        <v>0</v>
      </c>
      <c r="N576" s="66">
        <f t="shared" si="147"/>
        <v>73217.84</v>
      </c>
      <c r="O576" s="66">
        <f t="shared" si="147"/>
        <v>0</v>
      </c>
      <c r="P576" s="69">
        <f t="shared" si="148"/>
        <v>24405.946666666667</v>
      </c>
      <c r="Q576" s="69">
        <f t="shared" si="148"/>
        <v>0</v>
      </c>
      <c r="R576" s="54"/>
      <c r="S576" s="49"/>
      <c r="T576" s="49"/>
      <c r="U576" s="49"/>
      <c r="V576" s="49" t="s">
        <v>572</v>
      </c>
      <c r="W576" s="49"/>
      <c r="X576" s="49"/>
      <c r="Y576" s="49"/>
      <c r="Z576" s="66"/>
      <c r="AA576" s="140"/>
      <c r="AB576" s="66"/>
      <c r="AC576" s="66"/>
      <c r="AD576" s="66"/>
    </row>
    <row r="577" spans="1:32" ht="16" thickBot="1" x14ac:dyDescent="0.4">
      <c r="A577" s="66"/>
      <c r="B577" s="66"/>
      <c r="C577" s="49"/>
      <c r="D577" s="49" t="s">
        <v>573</v>
      </c>
      <c r="E577" s="49"/>
      <c r="F577" s="49"/>
      <c r="G577" s="49"/>
      <c r="H577" s="63">
        <v>288386.05</v>
      </c>
      <c r="I577" s="63">
        <v>0</v>
      </c>
      <c r="J577" s="64">
        <v>313714.26</v>
      </c>
      <c r="K577" s="64">
        <v>0</v>
      </c>
      <c r="L577" s="65">
        <v>363433.03</v>
      </c>
      <c r="M577" s="65">
        <v>0</v>
      </c>
      <c r="N577" s="66">
        <f t="shared" si="147"/>
        <v>965533.34</v>
      </c>
      <c r="O577" s="66">
        <f t="shared" si="147"/>
        <v>0</v>
      </c>
      <c r="P577" s="69">
        <f t="shared" si="148"/>
        <v>321844.44666666666</v>
      </c>
      <c r="Q577" s="69">
        <f t="shared" si="148"/>
        <v>0</v>
      </c>
      <c r="R577" s="54"/>
      <c r="S577" s="49"/>
      <c r="T577" s="49"/>
      <c r="U577" s="49"/>
      <c r="V577" s="49" t="s">
        <v>573</v>
      </c>
      <c r="W577" s="49"/>
      <c r="X577" s="49"/>
      <c r="Y577" s="49"/>
      <c r="Z577" s="66"/>
      <c r="AA577" s="140"/>
      <c r="AB577" s="66"/>
      <c r="AC577" s="66"/>
      <c r="AD577" s="66"/>
    </row>
    <row r="578" spans="1:32" ht="16" thickBot="1" x14ac:dyDescent="0.4">
      <c r="A578" s="66"/>
      <c r="B578" s="66"/>
      <c r="C578" s="49" t="s">
        <v>574</v>
      </c>
      <c r="D578" s="49"/>
      <c r="E578" s="49"/>
      <c r="F578" s="49"/>
      <c r="G578" s="49"/>
      <c r="H578" s="75">
        <f t="shared" ref="H578:M578" si="150">ROUND(H570+SUM(H576:H577),5)</f>
        <v>312915.53000000003</v>
      </c>
      <c r="I578" s="75">
        <f t="shared" si="150"/>
        <v>0</v>
      </c>
      <c r="J578" s="76">
        <f t="shared" si="150"/>
        <v>337678.55</v>
      </c>
      <c r="K578" s="76">
        <f t="shared" si="150"/>
        <v>0</v>
      </c>
      <c r="L578" s="77">
        <f t="shared" si="150"/>
        <v>388157.1</v>
      </c>
      <c r="M578" s="77">
        <f t="shared" si="150"/>
        <v>0</v>
      </c>
      <c r="N578" s="78">
        <f t="shared" si="147"/>
        <v>1038751.18</v>
      </c>
      <c r="O578" s="78">
        <f t="shared" si="147"/>
        <v>0</v>
      </c>
      <c r="P578" s="79">
        <f t="shared" si="148"/>
        <v>346250.39333333337</v>
      </c>
      <c r="Q578" s="79">
        <f t="shared" si="148"/>
        <v>0</v>
      </c>
      <c r="R578" s="54"/>
      <c r="S578" s="49"/>
      <c r="T578" s="49"/>
      <c r="U578" s="49" t="s">
        <v>574</v>
      </c>
      <c r="V578" s="49"/>
      <c r="W578" s="49"/>
      <c r="X578" s="49"/>
      <c r="Y578" s="49"/>
      <c r="Z578" s="66"/>
      <c r="AA578" s="140"/>
      <c r="AB578" s="66"/>
      <c r="AC578" s="66"/>
      <c r="AD578" s="66"/>
      <c r="AF578" s="45"/>
    </row>
    <row r="579" spans="1:32" ht="16" thickBot="1" x14ac:dyDescent="0.4">
      <c r="A579" s="66"/>
      <c r="B579" s="66" t="s">
        <v>575</v>
      </c>
      <c r="C579" s="49"/>
      <c r="D579" s="49"/>
      <c r="E579" s="49"/>
      <c r="F579" s="49"/>
      <c r="G579" s="49"/>
      <c r="H579" s="75">
        <f t="shared" ref="H579:M579" si="151">ROUND(H554+H569-H578,5)</f>
        <v>137134.84</v>
      </c>
      <c r="I579" s="75">
        <f t="shared" si="151"/>
        <v>0</v>
      </c>
      <c r="J579" s="76">
        <f t="shared" si="151"/>
        <v>238721.88</v>
      </c>
      <c r="K579" s="76">
        <f t="shared" si="151"/>
        <v>0</v>
      </c>
      <c r="L579" s="77">
        <f t="shared" si="151"/>
        <v>206028.88</v>
      </c>
      <c r="M579" s="77">
        <f t="shared" si="151"/>
        <v>0</v>
      </c>
      <c r="N579" s="78">
        <f t="shared" si="147"/>
        <v>581885.6</v>
      </c>
      <c r="O579" s="78">
        <f t="shared" si="147"/>
        <v>0</v>
      </c>
      <c r="P579" s="79">
        <f t="shared" si="148"/>
        <v>193961.86666666667</v>
      </c>
      <c r="Q579" s="79">
        <f t="shared" si="148"/>
        <v>0</v>
      </c>
      <c r="R579" s="54"/>
      <c r="S579" s="49"/>
      <c r="T579" s="49" t="s">
        <v>575</v>
      </c>
      <c r="U579" s="49"/>
      <c r="V579" s="49"/>
      <c r="W579" s="49"/>
      <c r="X579" s="49"/>
      <c r="Y579" s="49"/>
      <c r="Z579" s="66"/>
      <c r="AA579" s="140"/>
      <c r="AB579" s="66"/>
      <c r="AC579" s="66"/>
      <c r="AD579" s="66"/>
    </row>
    <row r="580" spans="1:32" s="45" customFormat="1" ht="16" thickBot="1" x14ac:dyDescent="0.4">
      <c r="A580" s="95" t="s">
        <v>576</v>
      </c>
      <c r="B580" s="95"/>
      <c r="C580" s="49"/>
      <c r="D580" s="49"/>
      <c r="E580" s="49"/>
      <c r="F580" s="49"/>
      <c r="G580" s="49"/>
      <c r="H580" s="96">
        <f t="shared" ref="H580:M580" si="152">ROUND(H553+H579,5)</f>
        <v>44542.64</v>
      </c>
      <c r="I580" s="96">
        <f t="shared" si="152"/>
        <v>8714.58</v>
      </c>
      <c r="J580" s="97">
        <f t="shared" si="152"/>
        <v>51342.9</v>
      </c>
      <c r="K580" s="97">
        <f t="shared" si="152"/>
        <v>826.41</v>
      </c>
      <c r="L580" s="98">
        <f t="shared" si="152"/>
        <v>184453.41</v>
      </c>
      <c r="M580" s="98">
        <f t="shared" si="152"/>
        <v>354.02</v>
      </c>
      <c r="N580" s="99">
        <f t="shared" si="147"/>
        <v>280338.95</v>
      </c>
      <c r="O580" s="99">
        <f t="shared" si="147"/>
        <v>9895.01</v>
      </c>
      <c r="P580" s="100">
        <f t="shared" si="148"/>
        <v>93446.316666666666</v>
      </c>
      <c r="Q580" s="100">
        <f t="shared" si="148"/>
        <v>3298.3366666666666</v>
      </c>
      <c r="R580" s="101"/>
      <c r="S580" s="49" t="s">
        <v>576</v>
      </c>
      <c r="T580" s="49"/>
      <c r="U580" s="49"/>
      <c r="V580" s="49"/>
      <c r="W580" s="49"/>
      <c r="X580" s="49"/>
      <c r="Y580" s="49"/>
      <c r="Z580" s="99">
        <f>ROUND(Z553+Z579,5)</f>
        <v>811.37</v>
      </c>
      <c r="AA580" s="140"/>
      <c r="AB580" s="99">
        <f>ROUND(AB553+AB579,5)</f>
        <v>-193160.46642000001</v>
      </c>
      <c r="AC580" s="99">
        <f>ROUND(AC553+AC579,5)</f>
        <v>-8678.4714199999999</v>
      </c>
      <c r="AD580" s="99">
        <f>ROUND(AD553+AD579,5)</f>
        <v>15325.98798</v>
      </c>
      <c r="AE580"/>
      <c r="AF580" s="46"/>
    </row>
    <row r="581" spans="1:32" ht="16" thickTop="1" x14ac:dyDescent="0.35">
      <c r="AB581" s="47"/>
      <c r="AC581" s="47"/>
      <c r="AD581" s="47"/>
    </row>
  </sheetData>
  <mergeCells count="1"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7DBB-C2A0-4829-BDDC-483E14F4A977}">
  <sheetPr>
    <tabColor rgb="FFFFC000"/>
  </sheetPr>
  <dimension ref="A1:AL581"/>
  <sheetViews>
    <sheetView topLeftCell="O1" zoomScale="130" zoomScaleNormal="130" workbookViewId="0">
      <pane ySplit="4" topLeftCell="A485" activePane="bottomLeft" state="frozen"/>
      <selection pane="bottomLeft" activeCell="O1" sqref="A1:XFD1048576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4.1796875" style="46" bestFit="1" customWidth="1"/>
    <col min="10" max="10" width="16.81640625" style="46" customWidth="1"/>
    <col min="11" max="11" width="14.1796875" style="46" bestFit="1" customWidth="1"/>
    <col min="12" max="12" width="16.81640625" style="46" customWidth="1"/>
    <col min="13" max="13" width="14.1796875" style="46" bestFit="1" customWidth="1"/>
    <col min="14" max="14" width="16.81640625" style="46" bestFit="1" customWidth="1"/>
    <col min="15" max="15" width="14.81640625" style="46" bestFit="1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453125" style="45" customWidth="1"/>
    <col min="26" max="26" width="14.1796875" style="47" bestFit="1" customWidth="1"/>
    <col min="27" max="27" width="0.6328125" style="46" customWidth="1"/>
    <col min="28" max="31" width="17.1796875" style="46" bestFit="1" customWidth="1"/>
    <col min="32" max="32" width="17.54296875" bestFit="1" customWidth="1"/>
    <col min="33" max="33" width="47.81640625" style="46" customWidth="1"/>
    <col min="34" max="35" width="11.54296875" style="46" bestFit="1" customWidth="1"/>
    <col min="36" max="36" width="9.54296875" style="46" bestFit="1" customWidth="1"/>
    <col min="37" max="37" width="8.81640625" style="46"/>
    <col min="38" max="38" width="10.1796875" style="46" bestFit="1" customWidth="1"/>
    <col min="39" max="16384" width="8.81640625" style="46"/>
  </cols>
  <sheetData>
    <row r="1" spans="1:33" ht="25" customHeight="1" x14ac:dyDescent="0.35">
      <c r="H1" s="103">
        <f t="shared" ref="H1:Q1" si="0">H580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Z580</f>
        <v>811.37</v>
      </c>
      <c r="AA1" s="139"/>
      <c r="AB1" s="106">
        <f>AB580</f>
        <v>-193160.46642000001</v>
      </c>
      <c r="AC1" s="129">
        <f>AC580</f>
        <v>-8678.4714199999999</v>
      </c>
      <c r="AD1" s="132">
        <f>AD580</f>
        <v>15325.98798</v>
      </c>
      <c r="AE1" s="153">
        <f>AE580</f>
        <v>6387.1</v>
      </c>
      <c r="AG1" s="81"/>
    </row>
    <row r="2" spans="1:33" ht="16" x14ac:dyDescent="0.35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</row>
    <row r="3" spans="1:33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A3" s="140"/>
      <c r="AB3" s="1" t="s">
        <v>582</v>
      </c>
      <c r="AC3" s="1" t="s">
        <v>582</v>
      </c>
      <c r="AD3" s="1" t="s">
        <v>582</v>
      </c>
      <c r="AE3" s="1" t="s">
        <v>582</v>
      </c>
    </row>
    <row r="4" spans="1:33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A4" s="141"/>
      <c r="AB4" s="59" t="s">
        <v>2</v>
      </c>
      <c r="AC4" s="59" t="s">
        <v>2</v>
      </c>
      <c r="AD4" s="59" t="s">
        <v>2</v>
      </c>
      <c r="AE4" s="59" t="s">
        <v>2</v>
      </c>
      <c r="AF4"/>
    </row>
    <row r="5" spans="1:33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F5"/>
    </row>
    <row r="6" spans="1:33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33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33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33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</row>
    <row r="10" spans="1:33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1">ROUND(H10+J10+L10,5)</f>
        <v>270788.24</v>
      </c>
      <c r="O10" s="66">
        <f t="shared" si="1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</row>
    <row r="11" spans="1:33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1"/>
        <v>104161.84</v>
      </c>
      <c r="O11" s="66">
        <f t="shared" si="1"/>
        <v>47215</v>
      </c>
      <c r="P11" s="69">
        <f t="shared" ref="P11:Q74" si="2">N11/3</f>
        <v>34720.613333333335</v>
      </c>
      <c r="Q11" s="69">
        <f t="shared" si="2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</row>
    <row r="12" spans="1:33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1"/>
        <v>0</v>
      </c>
      <c r="O12" s="66">
        <f t="shared" si="1"/>
        <v>8970</v>
      </c>
      <c r="P12" s="69">
        <f t="shared" si="2"/>
        <v>0</v>
      </c>
      <c r="Q12" s="69">
        <f t="shared" si="2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</row>
    <row r="13" spans="1:33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1"/>
        <v>49113.85</v>
      </c>
      <c r="O13" s="66">
        <f t="shared" si="1"/>
        <v>22276</v>
      </c>
      <c r="P13" s="69">
        <f t="shared" si="2"/>
        <v>16371.283333333333</v>
      </c>
      <c r="Q13" s="69">
        <f t="shared" si="2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</row>
    <row r="14" spans="1:33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1"/>
        <v>7790</v>
      </c>
      <c r="O14" s="73">
        <f t="shared" si="1"/>
        <v>1400</v>
      </c>
      <c r="P14" s="74">
        <f t="shared" si="2"/>
        <v>2596.6666666666665</v>
      </c>
      <c r="Q14" s="74">
        <f t="shared" si="2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</row>
    <row r="15" spans="1:33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3">ROUND(SUM(H9:H14),5)</f>
        <v>171173.36</v>
      </c>
      <c r="I15" s="63">
        <f t="shared" si="3"/>
        <v>33072</v>
      </c>
      <c r="J15" s="64">
        <f t="shared" si="3"/>
        <v>129396.15</v>
      </c>
      <c r="K15" s="64">
        <f t="shared" si="3"/>
        <v>61776</v>
      </c>
      <c r="L15" s="65">
        <f t="shared" si="3"/>
        <v>131284.42000000001</v>
      </c>
      <c r="M15" s="65">
        <f t="shared" si="3"/>
        <v>159494</v>
      </c>
      <c r="N15" s="66">
        <f t="shared" si="1"/>
        <v>431853.93</v>
      </c>
      <c r="O15" s="66">
        <f t="shared" si="1"/>
        <v>254342</v>
      </c>
      <c r="P15" s="69">
        <f t="shared" si="2"/>
        <v>143951.31</v>
      </c>
      <c r="Q15" s="69">
        <f t="shared" si="2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>ROUND(SUM(AB9:AB14),5)</f>
        <v>960784.8</v>
      </c>
      <c r="AC15" s="66">
        <f>ROUND(SUM(AC9:AC14),5)</f>
        <v>960784.8</v>
      </c>
      <c r="AD15" s="66">
        <f>ROUND(SUM(AD9:AD14),5)</f>
        <v>1026054.2</v>
      </c>
      <c r="AE15" s="66">
        <f>ROUND(SUM(AE9:AE14),5)</f>
        <v>1026054.2</v>
      </c>
    </row>
    <row r="16" spans="1:33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</row>
    <row r="17" spans="1:31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4">ROUND(H17+J17+L17,5)</f>
        <v>101809.82</v>
      </c>
      <c r="O17" s="66">
        <f t="shared" si="4"/>
        <v>79973</v>
      </c>
      <c r="P17" s="69">
        <f t="shared" si="2"/>
        <v>33936.606666666667</v>
      </c>
      <c r="Q17" s="69">
        <f t="shared" si="2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</row>
    <row r="18" spans="1:31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4"/>
        <v>26984.29</v>
      </c>
      <c r="O18" s="66">
        <f t="shared" si="4"/>
        <v>23625</v>
      </c>
      <c r="P18" s="69">
        <f t="shared" si="2"/>
        <v>8994.7633333333342</v>
      </c>
      <c r="Q18" s="69">
        <f t="shared" si="2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</row>
    <row r="19" spans="1:31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4"/>
        <v>17270</v>
      </c>
      <c r="O19" s="66">
        <f t="shared" si="4"/>
        <v>35512</v>
      </c>
      <c r="P19" s="69">
        <f t="shared" si="2"/>
        <v>5756.666666666667</v>
      </c>
      <c r="Q19" s="69">
        <f t="shared" si="2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</row>
    <row r="20" spans="1:31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4"/>
        <v>22714.81</v>
      </c>
      <c r="O20" s="66">
        <f t="shared" si="4"/>
        <v>35292</v>
      </c>
      <c r="P20" s="69">
        <f t="shared" si="2"/>
        <v>7571.6033333333335</v>
      </c>
      <c r="Q20" s="69">
        <f t="shared" si="2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</row>
    <row r="21" spans="1:31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4"/>
        <v>3255.05</v>
      </c>
      <c r="O21" s="66">
        <f t="shared" si="4"/>
        <v>0</v>
      </c>
      <c r="P21" s="69">
        <f t="shared" si="2"/>
        <v>1085.0166666666667</v>
      </c>
      <c r="Q21" s="69">
        <f t="shared" si="2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</row>
    <row r="22" spans="1:31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4"/>
        <v>24336.65</v>
      </c>
      <c r="O22" s="66">
        <f t="shared" si="4"/>
        <v>58135</v>
      </c>
      <c r="P22" s="69">
        <f t="shared" si="2"/>
        <v>8112.2166666666672</v>
      </c>
      <c r="Q22" s="69">
        <f t="shared" si="2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</row>
    <row r="23" spans="1:31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4"/>
        <v>3560.05</v>
      </c>
      <c r="O23" s="66">
        <f t="shared" si="4"/>
        <v>0</v>
      </c>
      <c r="P23" s="69">
        <f t="shared" si="2"/>
        <v>1186.6833333333334</v>
      </c>
      <c r="Q23" s="69">
        <f t="shared" si="2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</row>
    <row r="24" spans="1:31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4"/>
        <v>20454.099999999999</v>
      </c>
      <c r="O24" s="66">
        <f t="shared" si="4"/>
        <v>42287</v>
      </c>
      <c r="P24" s="69">
        <f t="shared" si="2"/>
        <v>6818.0333333333328</v>
      </c>
      <c r="Q24" s="69">
        <f t="shared" si="2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</row>
    <row r="25" spans="1:31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4"/>
        <v>13358.41</v>
      </c>
      <c r="O25" s="66">
        <f t="shared" si="4"/>
        <v>17758</v>
      </c>
      <c r="P25" s="69">
        <f t="shared" si="2"/>
        <v>4452.8033333333333</v>
      </c>
      <c r="Q25" s="69">
        <f t="shared" si="2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</row>
    <row r="26" spans="1:31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4"/>
        <v>5642.08</v>
      </c>
      <c r="O26" s="66">
        <f t="shared" si="4"/>
        <v>0</v>
      </c>
      <c r="P26" s="69">
        <f t="shared" si="2"/>
        <v>1880.6933333333334</v>
      </c>
      <c r="Q26" s="69">
        <f t="shared" si="2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</row>
    <row r="27" spans="1:31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4"/>
        <v>28947.17</v>
      </c>
      <c r="O27" s="66">
        <f t="shared" si="4"/>
        <v>23569</v>
      </c>
      <c r="P27" s="69">
        <f t="shared" si="2"/>
        <v>9649.0566666666655</v>
      </c>
      <c r="Q27" s="69">
        <f t="shared" si="2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</row>
    <row r="28" spans="1:31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4"/>
        <v>6391.99</v>
      </c>
      <c r="O28" s="66">
        <f t="shared" si="4"/>
        <v>5858</v>
      </c>
      <c r="P28" s="69">
        <f t="shared" si="2"/>
        <v>2130.6633333333334</v>
      </c>
      <c r="Q28" s="69">
        <f t="shared" si="2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</row>
    <row r="29" spans="1:31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4"/>
        <v>33957.879999999997</v>
      </c>
      <c r="O29" s="66">
        <f t="shared" si="4"/>
        <v>66808</v>
      </c>
      <c r="P29" s="69">
        <f t="shared" si="2"/>
        <v>11319.293333333333</v>
      </c>
      <c r="Q29" s="69">
        <f t="shared" si="2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</row>
    <row r="30" spans="1:31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4"/>
        <v>44017.48</v>
      </c>
      <c r="O30" s="66">
        <f t="shared" si="4"/>
        <v>49854</v>
      </c>
      <c r="P30" s="69">
        <f t="shared" si="2"/>
        <v>14672.493333333334</v>
      </c>
      <c r="Q30" s="69">
        <f t="shared" si="2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</row>
    <row r="31" spans="1:31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4"/>
        <v>64578.81</v>
      </c>
      <c r="O31" s="66">
        <f t="shared" si="4"/>
        <v>27090</v>
      </c>
      <c r="P31" s="69">
        <f t="shared" si="2"/>
        <v>21526.27</v>
      </c>
      <c r="Q31" s="69">
        <f t="shared" si="2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</row>
    <row r="32" spans="1:31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4"/>
        <v>14800.16</v>
      </c>
      <c r="O32" s="66">
        <f t="shared" si="4"/>
        <v>0</v>
      </c>
      <c r="P32" s="69">
        <f t="shared" si="2"/>
        <v>4933.3866666666663</v>
      </c>
      <c r="Q32" s="69">
        <f t="shared" si="2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</row>
    <row r="33" spans="1:31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4"/>
        <v>1604.11</v>
      </c>
      <c r="O33" s="66">
        <f t="shared" si="4"/>
        <v>22561</v>
      </c>
      <c r="P33" s="69">
        <f t="shared" si="2"/>
        <v>534.70333333333326</v>
      </c>
      <c r="Q33" s="69">
        <f t="shared" si="2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</row>
    <row r="34" spans="1:31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4"/>
        <v>1104</v>
      </c>
      <c r="O34" s="66">
        <f t="shared" si="4"/>
        <v>7038</v>
      </c>
      <c r="P34" s="69">
        <f t="shared" si="2"/>
        <v>368</v>
      </c>
      <c r="Q34" s="69">
        <f t="shared" si="2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</row>
    <row r="35" spans="1:31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4"/>
        <v>0</v>
      </c>
      <c r="O35" s="66">
        <f t="shared" si="4"/>
        <v>15254</v>
      </c>
      <c r="P35" s="69">
        <f t="shared" si="2"/>
        <v>0</v>
      </c>
      <c r="Q35" s="69">
        <f t="shared" si="2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</row>
    <row r="36" spans="1:31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2"/>
        <v>1854.64</v>
      </c>
      <c r="Q36" s="69">
        <f t="shared" si="2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</row>
    <row r="37" spans="1:31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2"/>
        <v>0</v>
      </c>
      <c r="Q37" s="69">
        <f t="shared" si="2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</row>
    <row r="38" spans="1:31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2"/>
        <v>0</v>
      </c>
      <c r="Q38" s="74">
        <f t="shared" si="2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</row>
    <row r="39" spans="1:31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5">ROUND(SUM(H16:H38),5)</f>
        <v>125929.22</v>
      </c>
      <c r="I39" s="63">
        <f t="shared" si="5"/>
        <v>120263</v>
      </c>
      <c r="J39" s="64">
        <f t="shared" si="5"/>
        <v>136830.26</v>
      </c>
      <c r="K39" s="64">
        <f t="shared" si="5"/>
        <v>203448</v>
      </c>
      <c r="L39" s="65">
        <f t="shared" si="5"/>
        <v>177591.3</v>
      </c>
      <c r="M39" s="65">
        <f t="shared" si="5"/>
        <v>186903</v>
      </c>
      <c r="N39" s="66">
        <f>ROUND(H39+J39+L39,5)</f>
        <v>440350.78</v>
      </c>
      <c r="O39" s="66">
        <f>ROUND(I39+K39+M39,5)</f>
        <v>510614</v>
      </c>
      <c r="P39" s="69">
        <f t="shared" si="2"/>
        <v>146783.59333333335</v>
      </c>
      <c r="Q39" s="69">
        <f t="shared" si="2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>ROUND(SUM(AB16:AB38),5)</f>
        <v>0</v>
      </c>
      <c r="AC39" s="66">
        <f>ROUND(SUM(AC16:AC38),5)</f>
        <v>0</v>
      </c>
      <c r="AD39" s="66">
        <f>ROUND(SUM(AD16:AD38),5)</f>
        <v>0</v>
      </c>
      <c r="AE39" s="66">
        <f>ROUND(SUM(AE16:AE38),5)</f>
        <v>0</v>
      </c>
    </row>
    <row r="40" spans="1:31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</row>
    <row r="41" spans="1:31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6">ROUND(H41+J41+L41,5)</f>
        <v>17081.599999999999</v>
      </c>
      <c r="O41" s="66">
        <f t="shared" si="6"/>
        <v>44688</v>
      </c>
      <c r="P41" s="69">
        <f t="shared" si="2"/>
        <v>5693.8666666666659</v>
      </c>
      <c r="Q41" s="69">
        <f t="shared" si="2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</row>
    <row r="42" spans="1:31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6"/>
        <v>1953.03</v>
      </c>
      <c r="O42" s="66">
        <f t="shared" si="6"/>
        <v>0</v>
      </c>
      <c r="P42" s="69">
        <f t="shared" si="2"/>
        <v>651.01</v>
      </c>
      <c r="Q42" s="69">
        <f t="shared" si="2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</row>
    <row r="43" spans="1:31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6"/>
        <v>6637.98</v>
      </c>
      <c r="O43" s="66">
        <f t="shared" si="6"/>
        <v>16220</v>
      </c>
      <c r="P43" s="69">
        <f t="shared" si="2"/>
        <v>2212.66</v>
      </c>
      <c r="Q43" s="69">
        <f t="shared" si="2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</row>
    <row r="44" spans="1:31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6"/>
        <v>0</v>
      </c>
      <c r="O44" s="73">
        <f t="shared" si="6"/>
        <v>0</v>
      </c>
      <c r="P44" s="74">
        <f t="shared" si="2"/>
        <v>0</v>
      </c>
      <c r="Q44" s="74">
        <f t="shared" si="2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</row>
    <row r="45" spans="1:31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7">ROUND(SUM(H40:H44),5)</f>
        <v>5918.6</v>
      </c>
      <c r="I45" s="63">
        <f t="shared" si="7"/>
        <v>27950</v>
      </c>
      <c r="J45" s="64">
        <f t="shared" si="7"/>
        <v>10455</v>
      </c>
      <c r="K45" s="64">
        <f t="shared" si="7"/>
        <v>22248</v>
      </c>
      <c r="L45" s="65">
        <f t="shared" si="7"/>
        <v>9299.01</v>
      </c>
      <c r="M45" s="65">
        <f t="shared" si="7"/>
        <v>10710</v>
      </c>
      <c r="N45" s="66">
        <f t="shared" si="6"/>
        <v>25672.61</v>
      </c>
      <c r="O45" s="66">
        <f t="shared" si="6"/>
        <v>60908</v>
      </c>
      <c r="P45" s="69">
        <f t="shared" si="2"/>
        <v>8557.5366666666669</v>
      </c>
      <c r="Q45" s="69">
        <f t="shared" si="2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>ROUND(SUM(AB40:AB44),5)</f>
        <v>0</v>
      </c>
      <c r="AC45" s="66">
        <f>ROUND(SUM(AC40:AC44),5)</f>
        <v>0</v>
      </c>
      <c r="AD45" s="66">
        <f>ROUND(SUM(AD40:AD44),5)</f>
        <v>0</v>
      </c>
      <c r="AE45" s="66">
        <f>ROUND(SUM(AE40:AE44),5)</f>
        <v>0</v>
      </c>
    </row>
    <row r="46" spans="1:31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</row>
    <row r="47" spans="1:31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8">ROUND(H47+J47+L47,5)</f>
        <v>87354.12</v>
      </c>
      <c r="O47" s="66">
        <f t="shared" si="8"/>
        <v>72146</v>
      </c>
      <c r="P47" s="69">
        <f t="shared" si="2"/>
        <v>29118.039999999997</v>
      </c>
      <c r="Q47" s="69">
        <f t="shared" si="2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</row>
    <row r="48" spans="1:31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8"/>
        <v>12866.68</v>
      </c>
      <c r="O48" s="66">
        <f t="shared" si="8"/>
        <v>23176</v>
      </c>
      <c r="P48" s="69">
        <f t="shared" si="2"/>
        <v>4288.8933333333334</v>
      </c>
      <c r="Q48" s="69">
        <f t="shared" si="2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</row>
    <row r="49" spans="1:31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8"/>
        <v>1104</v>
      </c>
      <c r="O49" s="66">
        <f t="shared" si="8"/>
        <v>19670</v>
      </c>
      <c r="P49" s="69">
        <f t="shared" si="2"/>
        <v>368</v>
      </c>
      <c r="Q49" s="69">
        <f t="shared" si="2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</row>
    <row r="50" spans="1:31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8"/>
        <v>35352.550000000003</v>
      </c>
      <c r="O50" s="66">
        <f t="shared" si="8"/>
        <v>25225</v>
      </c>
      <c r="P50" s="69">
        <f t="shared" si="2"/>
        <v>11784.183333333334</v>
      </c>
      <c r="Q50" s="69">
        <f t="shared" si="2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</row>
    <row r="51" spans="1:31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8"/>
        <v>3884.55</v>
      </c>
      <c r="O51" s="66">
        <f t="shared" si="8"/>
        <v>1190</v>
      </c>
      <c r="P51" s="69">
        <f t="shared" si="2"/>
        <v>1294.8500000000001</v>
      </c>
      <c r="Q51" s="69">
        <f t="shared" si="2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</row>
    <row r="52" spans="1:31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8"/>
        <v>3960</v>
      </c>
      <c r="O52" s="66">
        <f t="shared" si="8"/>
        <v>11560</v>
      </c>
      <c r="P52" s="69">
        <f t="shared" si="2"/>
        <v>1320</v>
      </c>
      <c r="Q52" s="69">
        <f t="shared" si="2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</row>
    <row r="53" spans="1:31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8"/>
        <v>546</v>
      </c>
      <c r="O53" s="66">
        <f t="shared" si="8"/>
        <v>10387</v>
      </c>
      <c r="P53" s="69">
        <f t="shared" si="2"/>
        <v>182</v>
      </c>
      <c r="Q53" s="69">
        <f t="shared" si="2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</row>
    <row r="54" spans="1:31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8"/>
        <v>8740.36</v>
      </c>
      <c r="O54" s="66">
        <f t="shared" si="8"/>
        <v>19808</v>
      </c>
      <c r="P54" s="69">
        <f t="shared" si="2"/>
        <v>2913.4533333333334</v>
      </c>
      <c r="Q54" s="69">
        <f t="shared" si="2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</row>
    <row r="55" spans="1:31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8"/>
        <v>594</v>
      </c>
      <c r="O55" s="66">
        <f t="shared" si="8"/>
        <v>24884</v>
      </c>
      <c r="P55" s="69">
        <f t="shared" si="2"/>
        <v>198</v>
      </c>
      <c r="Q55" s="69">
        <f t="shared" si="2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</row>
    <row r="56" spans="1:31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8"/>
        <v>690</v>
      </c>
      <c r="O56" s="66">
        <f t="shared" si="8"/>
        <v>5419</v>
      </c>
      <c r="P56" s="69">
        <f t="shared" si="2"/>
        <v>230</v>
      </c>
      <c r="Q56" s="69">
        <f t="shared" si="2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</row>
    <row r="57" spans="1:31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8"/>
        <v>1413.6</v>
      </c>
      <c r="O57" s="66">
        <f t="shared" si="8"/>
        <v>27552</v>
      </c>
      <c r="P57" s="69">
        <f t="shared" si="2"/>
        <v>471.2</v>
      </c>
      <c r="Q57" s="69">
        <f t="shared" si="2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</row>
    <row r="58" spans="1:31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8"/>
        <v>174920.21</v>
      </c>
      <c r="O58" s="66">
        <f t="shared" si="8"/>
        <v>143746</v>
      </c>
      <c r="P58" s="69">
        <f t="shared" si="2"/>
        <v>58306.736666666664</v>
      </c>
      <c r="Q58" s="69">
        <f t="shared" si="2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</row>
    <row r="59" spans="1:31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8"/>
        <v>12307.07</v>
      </c>
      <c r="O59" s="66">
        <f t="shared" si="8"/>
        <v>24217</v>
      </c>
      <c r="P59" s="69">
        <f t="shared" si="2"/>
        <v>4102.3566666666666</v>
      </c>
      <c r="Q59" s="69">
        <f t="shared" si="2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</row>
    <row r="60" spans="1:31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8"/>
        <v>23322.21</v>
      </c>
      <c r="O60" s="66">
        <f t="shared" si="8"/>
        <v>22992</v>
      </c>
      <c r="P60" s="69">
        <f t="shared" si="2"/>
        <v>7774.07</v>
      </c>
      <c r="Q60" s="69">
        <f t="shared" si="2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</row>
    <row r="61" spans="1:31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8"/>
        <v>4553.9799999999996</v>
      </c>
      <c r="O61" s="73">
        <f t="shared" si="8"/>
        <v>0</v>
      </c>
      <c r="P61" s="74">
        <f t="shared" si="2"/>
        <v>1517.9933333333331</v>
      </c>
      <c r="Q61" s="74">
        <f t="shared" si="2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</row>
    <row r="62" spans="1:31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9">ROUND(SUM(H46:H61),5)</f>
        <v>137372.26</v>
      </c>
      <c r="I62" s="63">
        <f t="shared" si="9"/>
        <v>73450</v>
      </c>
      <c r="J62" s="64">
        <f t="shared" si="9"/>
        <v>111914.03</v>
      </c>
      <c r="K62" s="64">
        <f t="shared" si="9"/>
        <v>203796</v>
      </c>
      <c r="L62" s="65">
        <f t="shared" si="9"/>
        <v>122323.04</v>
      </c>
      <c r="M62" s="65">
        <f t="shared" si="9"/>
        <v>154726</v>
      </c>
      <c r="N62" s="66">
        <f t="shared" si="8"/>
        <v>371609.33</v>
      </c>
      <c r="O62" s="66">
        <f t="shared" si="8"/>
        <v>431972</v>
      </c>
      <c r="P62" s="69">
        <f t="shared" si="2"/>
        <v>123869.77666666667</v>
      </c>
      <c r="Q62" s="69">
        <f t="shared" si="2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>ROUND(SUM(AB46:AB61),5)</f>
        <v>0</v>
      </c>
      <c r="AC62" s="66">
        <f>ROUND(SUM(AC46:AC61),5)</f>
        <v>0</v>
      </c>
      <c r="AD62" s="66">
        <f>ROUND(SUM(AD46:AD61),5)</f>
        <v>0</v>
      </c>
      <c r="AE62" s="66">
        <f>ROUND(SUM(AE46:AE61),5)</f>
        <v>0</v>
      </c>
    </row>
    <row r="63" spans="1:31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8"/>
        <v>34181.74</v>
      </c>
      <c r="O63" s="66">
        <f t="shared" si="8"/>
        <v>66123.38</v>
      </c>
      <c r="P63" s="69">
        <f t="shared" si="2"/>
        <v>11393.913333333332</v>
      </c>
      <c r="Q63" s="69">
        <f t="shared" si="2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</row>
    <row r="64" spans="1:31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</row>
    <row r="65" spans="1:31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10">ROUND(H65+J65+L65,5)</f>
        <v>106817.3</v>
      </c>
      <c r="O65" s="66">
        <f t="shared" si="10"/>
        <v>56558</v>
      </c>
      <c r="P65" s="69">
        <f t="shared" si="2"/>
        <v>35605.76666666667</v>
      </c>
      <c r="Q65" s="69">
        <f t="shared" si="2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</row>
    <row r="66" spans="1:31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10"/>
        <v>63970.64</v>
      </c>
      <c r="O66" s="66">
        <f t="shared" si="10"/>
        <v>68284</v>
      </c>
      <c r="P66" s="69">
        <f t="shared" si="2"/>
        <v>21323.546666666665</v>
      </c>
      <c r="Q66" s="69">
        <f t="shared" si="2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</row>
    <row r="67" spans="1:31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10"/>
        <v>1794</v>
      </c>
      <c r="O67" s="66">
        <f t="shared" si="10"/>
        <v>15153</v>
      </c>
      <c r="P67" s="69">
        <f t="shared" si="2"/>
        <v>598</v>
      </c>
      <c r="Q67" s="69">
        <f t="shared" si="2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</row>
    <row r="68" spans="1:31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10"/>
        <v>22842.29</v>
      </c>
      <c r="O68" s="66">
        <f t="shared" si="10"/>
        <v>61166</v>
      </c>
      <c r="P68" s="69">
        <f t="shared" si="2"/>
        <v>7614.0966666666673</v>
      </c>
      <c r="Q68" s="69">
        <f t="shared" si="2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</row>
    <row r="69" spans="1:31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10"/>
        <v>9232</v>
      </c>
      <c r="O69" s="66">
        <f t="shared" si="10"/>
        <v>16972</v>
      </c>
      <c r="P69" s="69">
        <f t="shared" si="2"/>
        <v>3077.3333333333335</v>
      </c>
      <c r="Q69" s="69">
        <f t="shared" si="2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</row>
    <row r="70" spans="1:31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10"/>
        <v>11879.44</v>
      </c>
      <c r="O70" s="73">
        <f t="shared" si="10"/>
        <v>43386</v>
      </c>
      <c r="P70" s="74">
        <f t="shared" si="2"/>
        <v>3959.8133333333335</v>
      </c>
      <c r="Q70" s="74">
        <f t="shared" si="2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</row>
    <row r="71" spans="1:31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11">ROUND(SUM(H64:H70),5)</f>
        <v>53816.6</v>
      </c>
      <c r="I71" s="63">
        <f t="shared" si="11"/>
        <v>52052</v>
      </c>
      <c r="J71" s="64">
        <f t="shared" si="11"/>
        <v>74785.06</v>
      </c>
      <c r="K71" s="64">
        <f t="shared" si="11"/>
        <v>127356</v>
      </c>
      <c r="L71" s="65">
        <f t="shared" si="11"/>
        <v>87934.01</v>
      </c>
      <c r="M71" s="65">
        <f t="shared" si="11"/>
        <v>82111</v>
      </c>
      <c r="N71" s="66">
        <f t="shared" si="10"/>
        <v>216535.67</v>
      </c>
      <c r="O71" s="66">
        <f t="shared" si="10"/>
        <v>261519</v>
      </c>
      <c r="P71" s="69">
        <f t="shared" si="2"/>
        <v>72178.556666666671</v>
      </c>
      <c r="Q71" s="69">
        <f t="shared" si="2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>ROUND(SUM(AB64:AB70),5)</f>
        <v>0</v>
      </c>
      <c r="AC71" s="66">
        <f>ROUND(SUM(AC64:AC70),5)</f>
        <v>0</v>
      </c>
      <c r="AD71" s="66">
        <f>ROUND(SUM(AD64:AD70),5)</f>
        <v>0</v>
      </c>
      <c r="AE71" s="66">
        <f>ROUND(SUM(AE64:AE70),5)</f>
        <v>0</v>
      </c>
    </row>
    <row r="72" spans="1:31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</row>
    <row r="73" spans="1:31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12">ROUND(H73+J73+L73,5)</f>
        <v>5364.31</v>
      </c>
      <c r="O73" s="66">
        <f t="shared" si="12"/>
        <v>9909</v>
      </c>
      <c r="P73" s="69">
        <f t="shared" si="2"/>
        <v>1788.1033333333335</v>
      </c>
      <c r="Q73" s="69">
        <f t="shared" si="2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</row>
    <row r="74" spans="1:31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12"/>
        <v>46000.91</v>
      </c>
      <c r="O74" s="66">
        <f t="shared" si="12"/>
        <v>29903</v>
      </c>
      <c r="P74" s="69">
        <f t="shared" si="2"/>
        <v>15333.636666666667</v>
      </c>
      <c r="Q74" s="69">
        <f t="shared" si="2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</row>
    <row r="75" spans="1:31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12"/>
        <v>0</v>
      </c>
      <c r="O75" s="66">
        <f t="shared" si="12"/>
        <v>31248</v>
      </c>
      <c r="P75" s="69">
        <f t="shared" ref="P75:Q137" si="13">N75/3</f>
        <v>0</v>
      </c>
      <c r="Q75" s="69">
        <f t="shared" si="13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</row>
    <row r="76" spans="1:31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12"/>
        <v>29409.79</v>
      </c>
      <c r="O76" s="66">
        <f t="shared" si="12"/>
        <v>27007</v>
      </c>
      <c r="P76" s="69">
        <f t="shared" si="13"/>
        <v>9803.2633333333342</v>
      </c>
      <c r="Q76" s="69">
        <f t="shared" si="13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</row>
    <row r="77" spans="1:31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12"/>
        <v>3458.77</v>
      </c>
      <c r="O77" s="66">
        <f t="shared" si="12"/>
        <v>7965</v>
      </c>
      <c r="P77" s="69">
        <f t="shared" si="13"/>
        <v>1152.9233333333334</v>
      </c>
      <c r="Q77" s="69">
        <f t="shared" si="13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</row>
    <row r="78" spans="1:31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12"/>
        <v>21632.07</v>
      </c>
      <c r="O78" s="66">
        <f t="shared" si="12"/>
        <v>25676</v>
      </c>
      <c r="P78" s="69">
        <f t="shared" si="13"/>
        <v>7210.69</v>
      </c>
      <c r="Q78" s="69">
        <f t="shared" si="13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</row>
    <row r="79" spans="1:31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12"/>
        <v>966</v>
      </c>
      <c r="O79" s="66">
        <f t="shared" si="12"/>
        <v>3588</v>
      </c>
      <c r="P79" s="69">
        <f t="shared" si="13"/>
        <v>322</v>
      </c>
      <c r="Q79" s="69">
        <f t="shared" si="13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</row>
    <row r="80" spans="1:31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12"/>
        <v>0</v>
      </c>
      <c r="O80" s="66">
        <f t="shared" si="12"/>
        <v>3901</v>
      </c>
      <c r="P80" s="69">
        <f t="shared" si="13"/>
        <v>0</v>
      </c>
      <c r="Q80" s="69">
        <f t="shared" si="13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</row>
    <row r="81" spans="1:31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13"/>
        <v>0</v>
      </c>
      <c r="Q81" s="69">
        <f t="shared" si="13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</row>
    <row r="82" spans="1:31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14">ROUND(H82+J82+L82,5)</f>
        <v>0</v>
      </c>
      <c r="O82" s="66">
        <f t="shared" si="14"/>
        <v>0</v>
      </c>
      <c r="P82" s="69">
        <f t="shared" si="13"/>
        <v>0</v>
      </c>
      <c r="Q82" s="69">
        <f t="shared" si="13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</row>
    <row r="83" spans="1:31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14"/>
        <v>0</v>
      </c>
      <c r="O83" s="73">
        <f t="shared" si="14"/>
        <v>0</v>
      </c>
      <c r="P83" s="74">
        <f t="shared" si="13"/>
        <v>0</v>
      </c>
      <c r="Q83" s="74">
        <f t="shared" si="13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</row>
    <row r="84" spans="1:31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15">ROUND(SUM(H72:H83),5)</f>
        <v>39159.980000000003</v>
      </c>
      <c r="I84" s="63">
        <f t="shared" si="15"/>
        <v>39468</v>
      </c>
      <c r="J84" s="64">
        <f t="shared" si="15"/>
        <v>32291.99</v>
      </c>
      <c r="K84" s="64">
        <f t="shared" si="15"/>
        <v>31248</v>
      </c>
      <c r="L84" s="65">
        <f t="shared" si="15"/>
        <v>35379.879999999997</v>
      </c>
      <c r="M84" s="65">
        <f t="shared" si="15"/>
        <v>68481</v>
      </c>
      <c r="N84" s="66">
        <f t="shared" si="14"/>
        <v>106831.85</v>
      </c>
      <c r="O84" s="66">
        <f t="shared" si="14"/>
        <v>139197</v>
      </c>
      <c r="P84" s="69">
        <f t="shared" si="13"/>
        <v>35610.616666666669</v>
      </c>
      <c r="Q84" s="69">
        <f t="shared" si="13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>ROUND(SUM(AB72:AB83),5)</f>
        <v>0</v>
      </c>
      <c r="AC84" s="66">
        <f>ROUND(SUM(AC72:AC83),5)</f>
        <v>0</v>
      </c>
      <c r="AD84" s="66">
        <f>ROUND(SUM(AD72:AD83),5)</f>
        <v>0</v>
      </c>
      <c r="AE84" s="66">
        <f>ROUND(SUM(AE72:AE83),5)</f>
        <v>0</v>
      </c>
    </row>
    <row r="85" spans="1:31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</row>
    <row r="86" spans="1:31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16">ROUND(H86+J86+L86,5)</f>
        <v>41055.360000000001</v>
      </c>
      <c r="O86" s="66">
        <f t="shared" si="16"/>
        <v>61593</v>
      </c>
      <c r="P86" s="69">
        <f t="shared" si="13"/>
        <v>13685.12</v>
      </c>
      <c r="Q86" s="69">
        <f t="shared" si="13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</row>
    <row r="87" spans="1:31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16"/>
        <v>4557.07</v>
      </c>
      <c r="O87" s="66">
        <f t="shared" si="16"/>
        <v>5852</v>
      </c>
      <c r="P87" s="69">
        <f t="shared" si="13"/>
        <v>1519.0233333333333</v>
      </c>
      <c r="Q87" s="69">
        <f t="shared" si="13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</row>
    <row r="88" spans="1:31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16"/>
        <v>9699</v>
      </c>
      <c r="O88" s="66">
        <f t="shared" si="16"/>
        <v>58996</v>
      </c>
      <c r="P88" s="69">
        <f t="shared" si="13"/>
        <v>3233</v>
      </c>
      <c r="Q88" s="69">
        <f t="shared" si="13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</row>
    <row r="89" spans="1:31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16"/>
        <v>4967.9799999999996</v>
      </c>
      <c r="O89" s="73">
        <f t="shared" si="16"/>
        <v>15466</v>
      </c>
      <c r="P89" s="74">
        <f t="shared" si="13"/>
        <v>1655.9933333333331</v>
      </c>
      <c r="Q89" s="74">
        <f t="shared" si="13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</row>
    <row r="90" spans="1:31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17">ROUND(SUM(H85:H89),5)</f>
        <v>20271.38</v>
      </c>
      <c r="I90" s="63">
        <f t="shared" si="17"/>
        <v>42055</v>
      </c>
      <c r="J90" s="64">
        <f t="shared" si="17"/>
        <v>14973.03</v>
      </c>
      <c r="K90" s="64">
        <f t="shared" si="17"/>
        <v>58944</v>
      </c>
      <c r="L90" s="65">
        <f t="shared" si="17"/>
        <v>25035</v>
      </c>
      <c r="M90" s="65">
        <f t="shared" si="17"/>
        <v>40908</v>
      </c>
      <c r="N90" s="66">
        <f t="shared" si="16"/>
        <v>60279.41</v>
      </c>
      <c r="O90" s="66">
        <f t="shared" si="16"/>
        <v>141907</v>
      </c>
      <c r="P90" s="69">
        <f t="shared" si="13"/>
        <v>20093.136666666669</v>
      </c>
      <c r="Q90" s="69">
        <f t="shared" si="13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>ROUND(SUM(AB85:AB89),5)</f>
        <v>0</v>
      </c>
      <c r="AC90" s="66">
        <f>ROUND(SUM(AC85:AC89),5)</f>
        <v>0</v>
      </c>
      <c r="AD90" s="66">
        <f>ROUND(SUM(AD85:AD89),5)</f>
        <v>0</v>
      </c>
      <c r="AE90" s="66">
        <f>ROUND(SUM(AE85:AE89),5)</f>
        <v>0</v>
      </c>
    </row>
    <row r="91" spans="1:31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</row>
    <row r="92" spans="1:31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18">ROUND(H92+J92+L92,5)</f>
        <v>108862.85</v>
      </c>
      <c r="O92" s="66">
        <f t="shared" si="18"/>
        <v>69579</v>
      </c>
      <c r="P92" s="69">
        <f t="shared" si="13"/>
        <v>36287.616666666669</v>
      </c>
      <c r="Q92" s="69">
        <f t="shared" si="13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</row>
    <row r="93" spans="1:31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18"/>
        <v>14518.12</v>
      </c>
      <c r="O93" s="66">
        <f t="shared" si="18"/>
        <v>19733</v>
      </c>
      <c r="P93" s="69">
        <f t="shared" si="13"/>
        <v>4839.3733333333339</v>
      </c>
      <c r="Q93" s="69">
        <f t="shared" si="13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</row>
    <row r="94" spans="1:31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18"/>
        <v>43484.49</v>
      </c>
      <c r="O94" s="66">
        <f t="shared" si="18"/>
        <v>62432</v>
      </c>
      <c r="P94" s="69">
        <f t="shared" si="13"/>
        <v>14494.83</v>
      </c>
      <c r="Q94" s="69">
        <f t="shared" si="13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</row>
    <row r="95" spans="1:31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18"/>
        <v>4211.0600000000004</v>
      </c>
      <c r="O95" s="66">
        <f t="shared" si="18"/>
        <v>13454</v>
      </c>
      <c r="P95" s="69">
        <f t="shared" si="13"/>
        <v>1403.6866666666667</v>
      </c>
      <c r="Q95" s="69">
        <f t="shared" si="13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</row>
    <row r="96" spans="1:31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18"/>
        <v>49443.53</v>
      </c>
      <c r="O96" s="66">
        <f t="shared" si="18"/>
        <v>34119</v>
      </c>
      <c r="P96" s="69">
        <f t="shared" si="13"/>
        <v>16481.176666666666</v>
      </c>
      <c r="Q96" s="69">
        <f t="shared" si="13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</row>
    <row r="97" spans="1:31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18"/>
        <v>5328.03</v>
      </c>
      <c r="O97" s="66">
        <f t="shared" si="18"/>
        <v>7526</v>
      </c>
      <c r="P97" s="69">
        <f t="shared" si="13"/>
        <v>1776.01</v>
      </c>
      <c r="Q97" s="69">
        <f t="shared" si="13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</row>
    <row r="98" spans="1:31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18"/>
        <v>63633.29</v>
      </c>
      <c r="O98" s="66">
        <f t="shared" si="18"/>
        <v>69145</v>
      </c>
      <c r="P98" s="69">
        <f t="shared" si="13"/>
        <v>21211.096666666668</v>
      </c>
      <c r="Q98" s="69">
        <f t="shared" si="13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</row>
    <row r="99" spans="1:31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18"/>
        <v>7554.05</v>
      </c>
      <c r="O99" s="66">
        <f t="shared" si="18"/>
        <v>16058</v>
      </c>
      <c r="P99" s="69">
        <f t="shared" si="13"/>
        <v>2518.0166666666669</v>
      </c>
      <c r="Q99" s="69">
        <f t="shared" si="13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</row>
    <row r="100" spans="1:31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18"/>
        <v>5514</v>
      </c>
      <c r="O100" s="66">
        <f t="shared" si="18"/>
        <v>12319</v>
      </c>
      <c r="P100" s="69">
        <f t="shared" si="13"/>
        <v>1838</v>
      </c>
      <c r="Q100" s="69">
        <f t="shared" si="13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</row>
    <row r="101" spans="1:31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</row>
    <row r="102" spans="1:31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19">ROUND(SUM(H91:H100),5)</f>
        <v>81944.17</v>
      </c>
      <c r="I102" s="63">
        <f t="shared" si="19"/>
        <v>70005</v>
      </c>
      <c r="J102" s="64">
        <f t="shared" si="19"/>
        <v>112983.21</v>
      </c>
      <c r="K102" s="64">
        <f t="shared" si="19"/>
        <v>122376</v>
      </c>
      <c r="L102" s="65">
        <f t="shared" si="19"/>
        <v>107622.04</v>
      </c>
      <c r="M102" s="65">
        <f t="shared" si="19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13"/>
        <v>100849.80666666666</v>
      </c>
      <c r="Q102" s="69">
        <f t="shared" si="13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>ROUND(SUM(AB91:AB101),5)</f>
        <v>0</v>
      </c>
      <c r="AC102" s="66">
        <f>ROUND(SUM(AC91:AC101),5)</f>
        <v>0</v>
      </c>
      <c r="AD102" s="66">
        <f>ROUND(SUM(AD91:AD101),5)</f>
        <v>0</v>
      </c>
      <c r="AE102" s="66">
        <f>ROUND(SUM(AE91:AE101),5)</f>
        <v>0</v>
      </c>
    </row>
    <row r="103" spans="1:31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13"/>
        <v>0</v>
      </c>
      <c r="Q103" s="69">
        <f t="shared" si="13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</row>
    <row r="104" spans="1:31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20">ROUND(H104+J104+L104,5)</f>
        <v>74439.240000000005</v>
      </c>
      <c r="O104" s="66">
        <f t="shared" si="20"/>
        <v>63264</v>
      </c>
      <c r="P104" s="69">
        <f t="shared" si="13"/>
        <v>24813.08</v>
      </c>
      <c r="Q104" s="69">
        <f t="shared" si="13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</row>
    <row r="105" spans="1:31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20"/>
        <v>13570.83</v>
      </c>
      <c r="O105" s="66">
        <f t="shared" si="20"/>
        <v>26229</v>
      </c>
      <c r="P105" s="69">
        <f t="shared" si="13"/>
        <v>4523.6099999999997</v>
      </c>
      <c r="Q105" s="69">
        <f t="shared" si="13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</row>
    <row r="106" spans="1:31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20"/>
        <v>31132.720000000001</v>
      </c>
      <c r="O106" s="66">
        <f t="shared" si="20"/>
        <v>23118</v>
      </c>
      <c r="P106" s="69">
        <f t="shared" si="13"/>
        <v>10377.573333333334</v>
      </c>
      <c r="Q106" s="69">
        <f t="shared" si="13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</row>
    <row r="107" spans="1:31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20"/>
        <v>5105.97</v>
      </c>
      <c r="O107" s="66">
        <f t="shared" si="20"/>
        <v>7489</v>
      </c>
      <c r="P107" s="69">
        <f t="shared" si="13"/>
        <v>1701.99</v>
      </c>
      <c r="Q107" s="69">
        <f t="shared" si="13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</row>
    <row r="108" spans="1:31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20"/>
        <v>60762.3</v>
      </c>
      <c r="O108" s="66">
        <f t="shared" si="20"/>
        <v>41781</v>
      </c>
      <c r="P108" s="69">
        <f t="shared" si="13"/>
        <v>20254.100000000002</v>
      </c>
      <c r="Q108" s="69">
        <f t="shared" si="13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</row>
    <row r="109" spans="1:31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20"/>
        <v>20355.89</v>
      </c>
      <c r="O109" s="66">
        <f t="shared" si="20"/>
        <v>5382</v>
      </c>
      <c r="P109" s="69">
        <f t="shared" si="13"/>
        <v>6785.2966666666662</v>
      </c>
      <c r="Q109" s="69">
        <f t="shared" si="13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</row>
    <row r="110" spans="1:31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20"/>
        <v>3399.97</v>
      </c>
      <c r="O110" s="66">
        <f t="shared" si="20"/>
        <v>0</v>
      </c>
      <c r="P110" s="69">
        <f t="shared" si="13"/>
        <v>1133.3233333333333</v>
      </c>
      <c r="Q110" s="69">
        <f t="shared" si="13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</row>
    <row r="111" spans="1:31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21">ROUND(SUM(H103:H110),5)</f>
        <v>59018.03</v>
      </c>
      <c r="I111" s="75">
        <f t="shared" si="21"/>
        <v>31525</v>
      </c>
      <c r="J111" s="76">
        <f t="shared" si="21"/>
        <v>66518.98</v>
      </c>
      <c r="K111" s="76">
        <f t="shared" si="21"/>
        <v>44976</v>
      </c>
      <c r="L111" s="77">
        <f t="shared" si="21"/>
        <v>83229.91</v>
      </c>
      <c r="M111" s="77">
        <f t="shared" si="21"/>
        <v>90762</v>
      </c>
      <c r="N111" s="78">
        <f t="shared" si="20"/>
        <v>208766.92</v>
      </c>
      <c r="O111" s="78">
        <f t="shared" si="20"/>
        <v>167263</v>
      </c>
      <c r="P111" s="79">
        <f t="shared" si="13"/>
        <v>69588.973333333342</v>
      </c>
      <c r="Q111" s="79">
        <f t="shared" si="13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>ROUND(SUM(AB103:AB110),5)</f>
        <v>0</v>
      </c>
      <c r="AC111" s="78">
        <f>ROUND(SUM(AC103:AC110),5)</f>
        <v>0</v>
      </c>
      <c r="AD111" s="78">
        <f>ROUND(SUM(AD103:AD110),5)</f>
        <v>0</v>
      </c>
      <c r="AE111" s="78">
        <f>ROUND(SUM(AE103:AE110),5)</f>
        <v>0</v>
      </c>
    </row>
    <row r="112" spans="1:31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13"/>
        <v>0</v>
      </c>
      <c r="Q112" s="69">
        <f t="shared" si="13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</row>
    <row r="113" spans="1:34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22">ROUND(H113+J113+L113,5)</f>
        <v>453828.9</v>
      </c>
      <c r="O113" s="66">
        <f t="shared" si="22"/>
        <v>406218</v>
      </c>
      <c r="P113" s="69">
        <f t="shared" si="13"/>
        <v>151276.30000000002</v>
      </c>
      <c r="Q113" s="69">
        <f t="shared" si="13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</row>
    <row r="114" spans="1:34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22"/>
        <v>0</v>
      </c>
      <c r="O114" s="73">
        <f t="shared" si="22"/>
        <v>0</v>
      </c>
      <c r="P114" s="74">
        <f t="shared" si="13"/>
        <v>0</v>
      </c>
      <c r="Q114" s="74">
        <f t="shared" si="13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</row>
    <row r="115" spans="1:34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23">ROUND(SUM(H112:H114),5)</f>
        <v>57491.4</v>
      </c>
      <c r="I115" s="63">
        <f t="shared" si="23"/>
        <v>406218</v>
      </c>
      <c r="J115" s="64">
        <f t="shared" si="23"/>
        <v>150471.5</v>
      </c>
      <c r="K115" s="64">
        <f t="shared" si="23"/>
        <v>0</v>
      </c>
      <c r="L115" s="65">
        <f t="shared" si="23"/>
        <v>245866</v>
      </c>
      <c r="M115" s="65">
        <f t="shared" si="23"/>
        <v>0</v>
      </c>
      <c r="N115" s="66">
        <f t="shared" si="22"/>
        <v>453828.9</v>
      </c>
      <c r="O115" s="66">
        <f t="shared" si="22"/>
        <v>406218</v>
      </c>
      <c r="P115" s="69">
        <f t="shared" si="13"/>
        <v>151276.30000000002</v>
      </c>
      <c r="Q115" s="69">
        <f t="shared" si="13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</row>
    <row r="116" spans="1:34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24">ROUND(H8+H15+H39+H45+SUM(H62:H63)+H71+H84+H90+H102+H111+SUM(H115:H115),5)</f>
        <v>760409.73</v>
      </c>
      <c r="I116" s="75">
        <f t="shared" si="24"/>
        <v>912984</v>
      </c>
      <c r="J116" s="76">
        <f t="shared" si="24"/>
        <v>855809.22</v>
      </c>
      <c r="K116" s="76">
        <f t="shared" si="24"/>
        <v>904615.38</v>
      </c>
      <c r="L116" s="77">
        <f t="shared" si="24"/>
        <v>1036241.61</v>
      </c>
      <c r="M116" s="77">
        <f t="shared" si="24"/>
        <v>926829</v>
      </c>
      <c r="N116" s="78">
        <f t="shared" si="22"/>
        <v>2652460.56</v>
      </c>
      <c r="O116" s="78">
        <f t="shared" si="22"/>
        <v>2744428.38</v>
      </c>
      <c r="P116" s="79">
        <f t="shared" si="13"/>
        <v>884153.52</v>
      </c>
      <c r="Q116" s="79">
        <f t="shared" si="13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>ROUND(AB8+AB15+AB39+AB45+SUM(AB62:AB63)+AB71+AB84+AB90+AB102+AB111+SUM(AB115:AB115),5)</f>
        <v>960784.8</v>
      </c>
      <c r="AC116" s="80">
        <f>ROUND(AC8+AC15+AC39+AC45+SUM(AC62:AC63)+AC71+AC84+AC90+AC102+AC111+SUM(AC115:AC115),5)</f>
        <v>960784.8</v>
      </c>
      <c r="AD116" s="80">
        <f>ROUND(AD8+AD15+AD39+AD45+SUM(AD62:AD63)+AD71+AD84+AD90+AD102+AD111+SUM(AD115:AD115),5)</f>
        <v>1026054.2</v>
      </c>
      <c r="AE116" s="80">
        <f>ROUND(AE8+AE15+AE39+AE45+SUM(AE62:AE63)+AE71+AE84+AE90+AE102+AE111+SUM(AE115:AE115),5)</f>
        <v>1026054.2</v>
      </c>
      <c r="AF116" s="144"/>
      <c r="AH116" s="112"/>
    </row>
    <row r="117" spans="1:34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13"/>
        <v>0</v>
      </c>
      <c r="Q117" s="69">
        <f t="shared" si="13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</row>
    <row r="118" spans="1:34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13"/>
        <v>0</v>
      </c>
      <c r="Q118" s="69">
        <f t="shared" si="13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</row>
    <row r="119" spans="1:34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25">ROUND(H119+J119+L119,5)</f>
        <v>488400</v>
      </c>
      <c r="O119" s="66">
        <f t="shared" si="25"/>
        <v>485585</v>
      </c>
      <c r="P119" s="69">
        <f t="shared" si="13"/>
        <v>162800</v>
      </c>
      <c r="Q119" s="69">
        <f t="shared" si="13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</row>
    <row r="120" spans="1:34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25"/>
        <v>399075</v>
      </c>
      <c r="O120" s="66">
        <f t="shared" si="25"/>
        <v>126010</v>
      </c>
      <c r="P120" s="69">
        <f t="shared" si="13"/>
        <v>133025</v>
      </c>
      <c r="Q120" s="69">
        <f t="shared" si="13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</row>
    <row r="121" spans="1:34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25"/>
        <v>265</v>
      </c>
      <c r="O121" s="66">
        <f t="shared" si="25"/>
        <v>0</v>
      </c>
      <c r="P121" s="69">
        <f t="shared" si="13"/>
        <v>88.333333333333329</v>
      </c>
      <c r="Q121" s="69">
        <f t="shared" si="13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</row>
    <row r="122" spans="1:34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25"/>
        <v>265</v>
      </c>
      <c r="O122" s="66">
        <f t="shared" si="25"/>
        <v>91390</v>
      </c>
      <c r="P122" s="69">
        <f t="shared" si="13"/>
        <v>88.333333333333329</v>
      </c>
      <c r="Q122" s="69">
        <f t="shared" si="13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</row>
    <row r="123" spans="1:34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25"/>
        <v>98830</v>
      </c>
      <c r="O123" s="66">
        <f t="shared" si="25"/>
        <v>125165</v>
      </c>
      <c r="P123" s="69">
        <f t="shared" si="13"/>
        <v>32943.333333333336</v>
      </c>
      <c r="Q123" s="69">
        <f t="shared" si="13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</row>
    <row r="124" spans="1:34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26">ROUND(SUM(H118:H123),5)</f>
        <v>322815</v>
      </c>
      <c r="I124" s="75">
        <f t="shared" si="26"/>
        <v>280085</v>
      </c>
      <c r="J124" s="76">
        <f t="shared" si="26"/>
        <v>327395</v>
      </c>
      <c r="K124" s="76">
        <f t="shared" si="26"/>
        <v>231075</v>
      </c>
      <c r="L124" s="77">
        <f t="shared" si="26"/>
        <v>336625</v>
      </c>
      <c r="M124" s="77">
        <f t="shared" si="26"/>
        <v>316990</v>
      </c>
      <c r="N124" s="78">
        <f t="shared" si="25"/>
        <v>986835</v>
      </c>
      <c r="O124" s="78">
        <f t="shared" si="25"/>
        <v>828150</v>
      </c>
      <c r="P124" s="79">
        <f t="shared" si="13"/>
        <v>328945</v>
      </c>
      <c r="Q124" s="79">
        <f t="shared" si="13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>ROUND(SUM(AB118:AB123),5)</f>
        <v>1043950</v>
      </c>
      <c r="AC124" s="78">
        <f>ROUND(SUM(AC118:AC123),5)</f>
        <v>1043950</v>
      </c>
      <c r="AD124" s="78">
        <f>ROUND(SUM(AD118:AD123),5)</f>
        <v>1043950</v>
      </c>
      <c r="AE124" s="78">
        <f>ROUND(SUM(AE118:AE123),5)</f>
        <v>1043950</v>
      </c>
    </row>
    <row r="125" spans="1:34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13"/>
        <v>0</v>
      </c>
      <c r="Q125" s="69">
        <f t="shared" si="13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</row>
    <row r="126" spans="1:34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27">ROUND(H126+J126+L126,5)</f>
        <v>294615</v>
      </c>
      <c r="O126" s="66">
        <f t="shared" si="27"/>
        <v>236035</v>
      </c>
      <c r="P126" s="69">
        <f t="shared" si="13"/>
        <v>98205</v>
      </c>
      <c r="Q126" s="69">
        <f t="shared" si="13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</row>
    <row r="127" spans="1:34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27"/>
        <v>96940</v>
      </c>
      <c r="O127" s="66">
        <f t="shared" si="27"/>
        <v>135795</v>
      </c>
      <c r="P127" s="69">
        <f t="shared" si="13"/>
        <v>32313.333333333332</v>
      </c>
      <c r="Q127" s="69">
        <f t="shared" si="13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</row>
    <row r="128" spans="1:34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27"/>
        <v>69790</v>
      </c>
      <c r="O128" s="66">
        <f t="shared" si="27"/>
        <v>111720</v>
      </c>
      <c r="P128" s="69">
        <f t="shared" si="13"/>
        <v>23263.333333333332</v>
      </c>
      <c r="Q128" s="69">
        <f t="shared" si="13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</row>
    <row r="129" spans="1:31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27"/>
        <v>81000</v>
      </c>
      <c r="O129" s="73">
        <f t="shared" si="27"/>
        <v>99880</v>
      </c>
      <c r="P129" s="74">
        <f t="shared" si="13"/>
        <v>27000</v>
      </c>
      <c r="Q129" s="74">
        <f t="shared" si="13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</row>
    <row r="130" spans="1:31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28">ROUND(SUM(H125:H129),5)</f>
        <v>172910</v>
      </c>
      <c r="I130" s="63">
        <f t="shared" si="28"/>
        <v>222395</v>
      </c>
      <c r="J130" s="64">
        <f t="shared" si="28"/>
        <v>180035</v>
      </c>
      <c r="K130" s="64">
        <f t="shared" si="28"/>
        <v>178545</v>
      </c>
      <c r="L130" s="65">
        <f t="shared" si="28"/>
        <v>189400</v>
      </c>
      <c r="M130" s="65">
        <f t="shared" si="28"/>
        <v>182490</v>
      </c>
      <c r="N130" s="66">
        <f t="shared" si="27"/>
        <v>542345</v>
      </c>
      <c r="O130" s="66">
        <f t="shared" si="27"/>
        <v>583430</v>
      </c>
      <c r="P130" s="69">
        <f t="shared" si="13"/>
        <v>180781.66666666666</v>
      </c>
      <c r="Q130" s="69">
        <f t="shared" si="13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>ROUND(SUM(AB125:AB129),5)</f>
        <v>0</v>
      </c>
      <c r="AC130" s="66">
        <f>ROUND(SUM(AC125:AC129),5)</f>
        <v>0</v>
      </c>
      <c r="AD130" s="66">
        <f>ROUND(SUM(AD125:AD129),5)</f>
        <v>0</v>
      </c>
      <c r="AE130" s="66">
        <f>ROUND(SUM(AE125:AE129),5)</f>
        <v>0</v>
      </c>
    </row>
    <row r="131" spans="1:31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13"/>
        <v>0</v>
      </c>
      <c r="Q131" s="69">
        <f t="shared" si="13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</row>
    <row r="132" spans="1:31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29">ROUND(H132+J132+L132,5)</f>
        <v>59355</v>
      </c>
      <c r="O132" s="66">
        <f t="shared" si="29"/>
        <v>117110</v>
      </c>
      <c r="P132" s="69">
        <f t="shared" si="13"/>
        <v>19785</v>
      </c>
      <c r="Q132" s="69">
        <f t="shared" si="13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</row>
    <row r="133" spans="1:31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29"/>
        <v>22765</v>
      </c>
      <c r="O133" s="66">
        <f t="shared" si="29"/>
        <v>58385</v>
      </c>
      <c r="P133" s="69">
        <f t="shared" si="13"/>
        <v>7588.333333333333</v>
      </c>
      <c r="Q133" s="69">
        <f t="shared" si="13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</row>
    <row r="134" spans="1:31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29"/>
        <v>55100</v>
      </c>
      <c r="O134" s="73">
        <f t="shared" si="29"/>
        <v>63285</v>
      </c>
      <c r="P134" s="74">
        <f t="shared" si="13"/>
        <v>18366.666666666668</v>
      </c>
      <c r="Q134" s="74">
        <f t="shared" si="13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</row>
    <row r="135" spans="1:31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30">ROUND(SUM(H131:H134),5)</f>
        <v>47660</v>
      </c>
      <c r="I135" s="63">
        <f t="shared" si="30"/>
        <v>89480</v>
      </c>
      <c r="J135" s="64">
        <f t="shared" si="30"/>
        <v>50325</v>
      </c>
      <c r="K135" s="64">
        <f t="shared" si="30"/>
        <v>95015</v>
      </c>
      <c r="L135" s="65">
        <f t="shared" si="30"/>
        <v>39235</v>
      </c>
      <c r="M135" s="65">
        <f t="shared" si="30"/>
        <v>54285</v>
      </c>
      <c r="N135" s="66">
        <f t="shared" si="29"/>
        <v>137220</v>
      </c>
      <c r="O135" s="66">
        <f t="shared" si="29"/>
        <v>238780</v>
      </c>
      <c r="P135" s="69">
        <f t="shared" si="13"/>
        <v>45740</v>
      </c>
      <c r="Q135" s="69">
        <f t="shared" si="13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>ROUND(SUM(AB131:AB134),5)</f>
        <v>0</v>
      </c>
      <c r="AC135" s="66">
        <f>ROUND(SUM(AC131:AC134),5)</f>
        <v>0</v>
      </c>
      <c r="AD135" s="66">
        <f>ROUND(SUM(AD131:AD134),5)</f>
        <v>0</v>
      </c>
      <c r="AE135" s="66">
        <f>ROUND(SUM(AE131:AE134),5)</f>
        <v>0</v>
      </c>
    </row>
    <row r="136" spans="1:31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13"/>
        <v>0</v>
      </c>
      <c r="Q136" s="69">
        <f t="shared" si="13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</row>
    <row r="137" spans="1:31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31">ROUND(H137+J137+L137,5)</f>
        <v>139495</v>
      </c>
      <c r="O137" s="66">
        <f t="shared" si="31"/>
        <v>160315</v>
      </c>
      <c r="P137" s="69">
        <f t="shared" si="13"/>
        <v>46498.333333333336</v>
      </c>
      <c r="Q137" s="69">
        <f t="shared" si="13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</row>
    <row r="138" spans="1:31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31"/>
        <v>11925</v>
      </c>
      <c r="O138" s="66">
        <f t="shared" si="31"/>
        <v>57525</v>
      </c>
      <c r="P138" s="69">
        <f t="shared" ref="P138:Q198" si="32">N138/3</f>
        <v>3975</v>
      </c>
      <c r="Q138" s="69">
        <f t="shared" si="32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</row>
    <row r="139" spans="1:31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31"/>
        <v>54560</v>
      </c>
      <c r="O139" s="66">
        <f t="shared" si="31"/>
        <v>80605</v>
      </c>
      <c r="P139" s="69">
        <f t="shared" si="32"/>
        <v>18186.666666666668</v>
      </c>
      <c r="Q139" s="69">
        <f t="shared" si="32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</row>
    <row r="140" spans="1:31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31"/>
        <v>35915</v>
      </c>
      <c r="O140" s="73">
        <f t="shared" si="31"/>
        <v>52710</v>
      </c>
      <c r="P140" s="74">
        <f t="shared" si="32"/>
        <v>11971.666666666666</v>
      </c>
      <c r="Q140" s="74">
        <f t="shared" si="32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</row>
    <row r="141" spans="1:31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33">ROUND(SUM(H136:H140),5)</f>
        <v>92055</v>
      </c>
      <c r="I141" s="63">
        <f t="shared" si="33"/>
        <v>121215</v>
      </c>
      <c r="J141" s="64">
        <f t="shared" si="33"/>
        <v>73370</v>
      </c>
      <c r="K141" s="64">
        <f t="shared" si="33"/>
        <v>124725</v>
      </c>
      <c r="L141" s="65">
        <f t="shared" si="33"/>
        <v>76470</v>
      </c>
      <c r="M141" s="65">
        <f t="shared" si="33"/>
        <v>105215</v>
      </c>
      <c r="N141" s="66">
        <f t="shared" si="31"/>
        <v>241895</v>
      </c>
      <c r="O141" s="66">
        <f t="shared" si="31"/>
        <v>351155</v>
      </c>
      <c r="P141" s="69">
        <f t="shared" si="32"/>
        <v>80631.666666666672</v>
      </c>
      <c r="Q141" s="69">
        <f t="shared" si="32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>ROUND(SUM(AB136:AB140),5)</f>
        <v>0</v>
      </c>
      <c r="AC141" s="66">
        <f>ROUND(SUM(AC136:AC140),5)</f>
        <v>0</v>
      </c>
      <c r="AD141" s="66">
        <f>ROUND(SUM(AD136:AD140),5)</f>
        <v>0</v>
      </c>
      <c r="AE141" s="66">
        <f>ROUND(SUM(AE136:AE140),5)</f>
        <v>0</v>
      </c>
    </row>
    <row r="142" spans="1:31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32"/>
        <v>0</v>
      </c>
      <c r="Q142" s="69">
        <f t="shared" si="32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</row>
    <row r="143" spans="1:31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32"/>
        <v>-129721.66666666667</v>
      </c>
      <c r="Q143" s="74">
        <f t="shared" si="32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</row>
    <row r="144" spans="1:31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34">ROUND(SUM(H142:H143),5)</f>
        <v>-125650</v>
      </c>
      <c r="I144" s="63">
        <f t="shared" si="34"/>
        <v>-126150</v>
      </c>
      <c r="J144" s="64">
        <f t="shared" si="34"/>
        <v>-133460</v>
      </c>
      <c r="K144" s="64">
        <f t="shared" si="34"/>
        <v>-130115.02</v>
      </c>
      <c r="L144" s="65">
        <f t="shared" si="34"/>
        <v>-130055</v>
      </c>
      <c r="M144" s="65">
        <f t="shared" si="34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32"/>
        <v>-129721.66666666667</v>
      </c>
      <c r="Q144" s="69">
        <f t="shared" si="32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>ROUND(SUM(AB142:AB143),5)</f>
        <v>-116261.69</v>
      </c>
      <c r="AC144" s="66">
        <f>ROUND(SUM(AC142:AC143),5)</f>
        <v>-116261.69</v>
      </c>
      <c r="AD144" s="66">
        <f>ROUND(SUM(AD142:AD143),5)</f>
        <v>-116261.69</v>
      </c>
      <c r="AE144" s="66">
        <f>ROUND(SUM(AE142:AE143),5)</f>
        <v>-116261.69</v>
      </c>
    </row>
    <row r="145" spans="1:33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32"/>
        <v>0</v>
      </c>
      <c r="Q145" s="69">
        <f t="shared" si="32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G145" s="81"/>
    </row>
    <row r="146" spans="1:33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35">ROUND(H146+J146+L146,5)</f>
        <v>15355</v>
      </c>
      <c r="O146" s="66">
        <f t="shared" si="35"/>
        <v>40980</v>
      </c>
      <c r="P146" s="69">
        <f t="shared" si="32"/>
        <v>5118.333333333333</v>
      </c>
      <c r="Q146" s="69">
        <f t="shared" si="32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</row>
    <row r="147" spans="1:33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35"/>
        <v>11325</v>
      </c>
      <c r="O147" s="66">
        <f t="shared" si="35"/>
        <v>40155</v>
      </c>
      <c r="P147" s="69">
        <f t="shared" si="32"/>
        <v>3775</v>
      </c>
      <c r="Q147" s="69">
        <f t="shared" si="32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</row>
    <row r="148" spans="1:33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35"/>
        <v>13910</v>
      </c>
      <c r="O148" s="66">
        <f t="shared" si="35"/>
        <v>41310</v>
      </c>
      <c r="P148" s="69">
        <f t="shared" si="32"/>
        <v>4636.666666666667</v>
      </c>
      <c r="Q148" s="69">
        <f t="shared" si="32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</row>
    <row r="149" spans="1:33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35"/>
        <v>14095</v>
      </c>
      <c r="O149" s="66">
        <f t="shared" si="35"/>
        <v>40355</v>
      </c>
      <c r="P149" s="69">
        <f t="shared" si="32"/>
        <v>4698.333333333333</v>
      </c>
      <c r="Q149" s="69">
        <f t="shared" si="32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</row>
    <row r="150" spans="1:33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35"/>
        <v>25215</v>
      </c>
      <c r="O150" s="73">
        <f t="shared" si="35"/>
        <v>66355</v>
      </c>
      <c r="P150" s="74">
        <f t="shared" si="32"/>
        <v>8405</v>
      </c>
      <c r="Q150" s="74">
        <f t="shared" si="32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</row>
    <row r="151" spans="1:33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36">ROUND(SUM(H145:H150),5)</f>
        <v>28635</v>
      </c>
      <c r="I151" s="63">
        <f t="shared" si="36"/>
        <v>84725</v>
      </c>
      <c r="J151" s="64">
        <f t="shared" si="36"/>
        <v>25420</v>
      </c>
      <c r="K151" s="64">
        <f t="shared" si="36"/>
        <v>100435</v>
      </c>
      <c r="L151" s="65">
        <f t="shared" si="36"/>
        <v>25845</v>
      </c>
      <c r="M151" s="65">
        <f t="shared" si="36"/>
        <v>43995</v>
      </c>
      <c r="N151" s="66">
        <f t="shared" si="35"/>
        <v>79900</v>
      </c>
      <c r="O151" s="66">
        <f t="shared" si="35"/>
        <v>229155</v>
      </c>
      <c r="P151" s="69">
        <f t="shared" si="32"/>
        <v>26633.333333333332</v>
      </c>
      <c r="Q151" s="69">
        <f t="shared" si="32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>ROUND(SUM(AB145:AB150),5)</f>
        <v>0</v>
      </c>
      <c r="AC151" s="66">
        <f>ROUND(SUM(AC145:AC150),5)</f>
        <v>0</v>
      </c>
      <c r="AD151" s="66">
        <f>ROUND(SUM(AD145:AD150),5)</f>
        <v>0</v>
      </c>
      <c r="AE151" s="66">
        <f>ROUND(SUM(AE145:AE150),5)</f>
        <v>0</v>
      </c>
    </row>
    <row r="152" spans="1:33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32"/>
        <v>0</v>
      </c>
      <c r="Q152" s="69">
        <f t="shared" si="32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</row>
    <row r="153" spans="1:33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37">ROUND(H153+J153+L153,5)</f>
        <v>158780</v>
      </c>
      <c r="O153" s="66">
        <f t="shared" si="37"/>
        <v>106120</v>
      </c>
      <c r="P153" s="69">
        <f t="shared" si="32"/>
        <v>52926.666666666664</v>
      </c>
      <c r="Q153" s="69">
        <f t="shared" si="32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</row>
    <row r="154" spans="1:33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37"/>
        <v>0</v>
      </c>
      <c r="O154" s="66">
        <f t="shared" si="37"/>
        <v>0</v>
      </c>
      <c r="P154" s="69">
        <f t="shared" si="32"/>
        <v>0</v>
      </c>
      <c r="Q154" s="69">
        <f t="shared" si="32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</row>
    <row r="155" spans="1:33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37"/>
        <v>20005</v>
      </c>
      <c r="O155" s="73">
        <f t="shared" si="37"/>
        <v>57720</v>
      </c>
      <c r="P155" s="74">
        <f t="shared" si="32"/>
        <v>6668.333333333333</v>
      </c>
      <c r="Q155" s="74">
        <f t="shared" si="32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</row>
    <row r="156" spans="1:33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38">ROUND(SUM(H152:H155),5)</f>
        <v>49410</v>
      </c>
      <c r="I156" s="63">
        <f t="shared" si="38"/>
        <v>53770</v>
      </c>
      <c r="J156" s="64">
        <f t="shared" si="38"/>
        <v>64775</v>
      </c>
      <c r="K156" s="64">
        <f t="shared" si="38"/>
        <v>53565</v>
      </c>
      <c r="L156" s="65">
        <f t="shared" si="38"/>
        <v>64600</v>
      </c>
      <c r="M156" s="65">
        <f t="shared" si="38"/>
        <v>56505</v>
      </c>
      <c r="N156" s="66">
        <f t="shared" si="37"/>
        <v>178785</v>
      </c>
      <c r="O156" s="66">
        <f t="shared" si="37"/>
        <v>163840</v>
      </c>
      <c r="P156" s="69">
        <f t="shared" si="32"/>
        <v>59595</v>
      </c>
      <c r="Q156" s="69">
        <f t="shared" si="32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>ROUND(SUM(AB152:AB155),5)</f>
        <v>0</v>
      </c>
      <c r="AC156" s="66">
        <f>ROUND(SUM(AC152:AC155),5)</f>
        <v>0</v>
      </c>
      <c r="AD156" s="66">
        <f>ROUND(SUM(AD152:AD155),5)</f>
        <v>0</v>
      </c>
      <c r="AE156" s="66">
        <f>ROUND(SUM(AE152:AE155),5)</f>
        <v>0</v>
      </c>
    </row>
    <row r="157" spans="1:33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32"/>
        <v>0</v>
      </c>
      <c r="Q157" s="69">
        <f t="shared" si="32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</row>
    <row r="158" spans="1:33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32"/>
        <v>44666.666666666664</v>
      </c>
      <c r="Q158" s="74">
        <f t="shared" si="32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</row>
    <row r="159" spans="1:33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39">ROUND(SUM(H157:H158),5)</f>
        <v>40160</v>
      </c>
      <c r="I159" s="63">
        <f t="shared" si="39"/>
        <v>39540</v>
      </c>
      <c r="J159" s="64">
        <f t="shared" si="39"/>
        <v>42655</v>
      </c>
      <c r="K159" s="64">
        <f t="shared" si="39"/>
        <v>40060</v>
      </c>
      <c r="L159" s="65">
        <f t="shared" si="39"/>
        <v>51185</v>
      </c>
      <c r="M159" s="65">
        <f t="shared" si="39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32"/>
        <v>44666.666666666664</v>
      </c>
      <c r="Q159" s="69">
        <f t="shared" si="32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>ROUND(SUM(AB157:AB158),5)</f>
        <v>0</v>
      </c>
      <c r="AC159" s="66">
        <f>ROUND(SUM(AC157:AC158),5)</f>
        <v>0</v>
      </c>
      <c r="AD159" s="66">
        <f>ROUND(SUM(AD157:AD158),5)</f>
        <v>0</v>
      </c>
      <c r="AE159" s="66">
        <f>ROUND(SUM(AE157:AE158),5)</f>
        <v>0</v>
      </c>
    </row>
    <row r="160" spans="1:33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32"/>
        <v>0</v>
      </c>
      <c r="Q160" s="69">
        <f t="shared" si="32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</row>
    <row r="161" spans="1:33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40">ROUND(H161+J161+L161,5)</f>
        <v>246750</v>
      </c>
      <c r="O161" s="66">
        <f t="shared" si="40"/>
        <v>185670</v>
      </c>
      <c r="P161" s="69">
        <f t="shared" si="32"/>
        <v>82250</v>
      </c>
      <c r="Q161" s="69">
        <f t="shared" si="32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</row>
    <row r="162" spans="1:33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40"/>
        <v>151865</v>
      </c>
      <c r="O162" s="66">
        <f t="shared" si="40"/>
        <v>108245</v>
      </c>
      <c r="P162" s="69">
        <f t="shared" si="32"/>
        <v>50621.666666666664</v>
      </c>
      <c r="Q162" s="69">
        <f t="shared" si="32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</row>
    <row r="163" spans="1:33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40"/>
        <v>110740</v>
      </c>
      <c r="O163" s="73">
        <f t="shared" si="40"/>
        <v>97550</v>
      </c>
      <c r="P163" s="74">
        <f t="shared" si="32"/>
        <v>36913.333333333336</v>
      </c>
      <c r="Q163" s="74">
        <f t="shared" si="32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</row>
    <row r="164" spans="1:33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41">ROUND(SUM(H160:H163),5)</f>
        <v>154940</v>
      </c>
      <c r="I164" s="63">
        <f t="shared" si="41"/>
        <v>123940</v>
      </c>
      <c r="J164" s="64">
        <f t="shared" si="41"/>
        <v>167910</v>
      </c>
      <c r="K164" s="64">
        <f t="shared" si="41"/>
        <v>108130</v>
      </c>
      <c r="L164" s="65">
        <f t="shared" si="41"/>
        <v>186505</v>
      </c>
      <c r="M164" s="65">
        <f t="shared" si="41"/>
        <v>159395</v>
      </c>
      <c r="N164" s="66">
        <f t="shared" si="40"/>
        <v>509355</v>
      </c>
      <c r="O164" s="66">
        <f t="shared" si="40"/>
        <v>391465</v>
      </c>
      <c r="P164" s="69">
        <f t="shared" si="32"/>
        <v>169785</v>
      </c>
      <c r="Q164" s="69">
        <f t="shared" si="32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>ROUND(SUM(AB160:AB163),5)</f>
        <v>0</v>
      </c>
      <c r="AC164" s="66">
        <f>ROUND(SUM(AC160:AC163),5)</f>
        <v>0</v>
      </c>
      <c r="AD164" s="66">
        <f>ROUND(SUM(AD160:AD163),5)</f>
        <v>0</v>
      </c>
      <c r="AE164" s="66">
        <f>ROUND(SUM(AE160:AE163),5)</f>
        <v>0</v>
      </c>
    </row>
    <row r="165" spans="1:33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32"/>
        <v>0</v>
      </c>
      <c r="Q165" s="69">
        <f t="shared" si="32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</row>
    <row r="166" spans="1:33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42">ROUND(H166+J166+L166,5)</f>
        <v>223285</v>
      </c>
      <c r="O166" s="66">
        <f t="shared" si="42"/>
        <v>112600</v>
      </c>
      <c r="P166" s="69">
        <f t="shared" si="32"/>
        <v>74428.333333333328</v>
      </c>
      <c r="Q166" s="69">
        <f t="shared" si="32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</row>
    <row r="167" spans="1:33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42"/>
        <v>1035</v>
      </c>
      <c r="O167" s="73">
        <f t="shared" si="42"/>
        <v>10779.56</v>
      </c>
      <c r="P167" s="74">
        <f t="shared" si="32"/>
        <v>345</v>
      </c>
      <c r="Q167" s="74">
        <f t="shared" si="32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</row>
    <row r="168" spans="1:33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43">ROUND(SUM(H165:H167),5)</f>
        <v>66205</v>
      </c>
      <c r="I168" s="63">
        <f t="shared" si="43"/>
        <v>36000</v>
      </c>
      <c r="J168" s="64">
        <f t="shared" si="43"/>
        <v>76590</v>
      </c>
      <c r="K168" s="64">
        <f t="shared" si="43"/>
        <v>32349.56</v>
      </c>
      <c r="L168" s="65">
        <f t="shared" si="43"/>
        <v>81525</v>
      </c>
      <c r="M168" s="65">
        <f t="shared" si="43"/>
        <v>55030</v>
      </c>
      <c r="N168" s="66">
        <f t="shared" si="42"/>
        <v>224320</v>
      </c>
      <c r="O168" s="66">
        <f t="shared" si="42"/>
        <v>123379.56</v>
      </c>
      <c r="P168" s="69">
        <f t="shared" si="32"/>
        <v>74773.333333333328</v>
      </c>
      <c r="Q168" s="69">
        <f t="shared" si="32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>ROUND(SUM(AB165:AB167),5)</f>
        <v>0</v>
      </c>
      <c r="AC168" s="66">
        <f>ROUND(SUM(AC165:AC167),5)</f>
        <v>0</v>
      </c>
      <c r="AD168" s="66">
        <f>ROUND(SUM(AD165:AD167),5)</f>
        <v>0</v>
      </c>
      <c r="AE168" s="66">
        <f>ROUND(SUM(AE165:AE167),5)</f>
        <v>0</v>
      </c>
    </row>
    <row r="169" spans="1:33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42"/>
        <v>0</v>
      </c>
      <c r="O169" s="73">
        <f t="shared" si="42"/>
        <v>0</v>
      </c>
      <c r="P169" s="74">
        <f t="shared" si="32"/>
        <v>0</v>
      </c>
      <c r="Q169" s="74">
        <f t="shared" si="32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</row>
    <row r="170" spans="1:33" ht="47" x14ac:dyDescent="0.55000000000000004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44">ROUND(H117+H124+H130+H135+H141+H144+H151+H156+H159+H164+SUM(H168:H169),5)</f>
        <v>849140</v>
      </c>
      <c r="I170" s="63">
        <f t="shared" si="44"/>
        <v>925000</v>
      </c>
      <c r="J170" s="64">
        <f t="shared" si="44"/>
        <v>875015</v>
      </c>
      <c r="K170" s="64">
        <f t="shared" si="44"/>
        <v>833784.54</v>
      </c>
      <c r="L170" s="65">
        <f t="shared" si="44"/>
        <v>921335</v>
      </c>
      <c r="M170" s="65">
        <f t="shared" si="44"/>
        <v>890121</v>
      </c>
      <c r="N170" s="66">
        <f t="shared" si="42"/>
        <v>2645490</v>
      </c>
      <c r="O170" s="66">
        <f t="shared" si="42"/>
        <v>2648905.54</v>
      </c>
      <c r="P170" s="69">
        <f t="shared" si="32"/>
        <v>881830</v>
      </c>
      <c r="Q170" s="69">
        <f t="shared" si="32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>ROUND(AB117+AB124+AB130+AB135+AB141+AB144+AB151+AB156+AB159+AB164+SUM(AB168:AB169),5)</f>
        <v>927688.31</v>
      </c>
      <c r="AC170" s="80">
        <f>ROUND(AC117+AC124+AC130+AC135+AC141+AC144+AC151+AC156+AC159+AC164+SUM(AC168:AC169),5)</f>
        <v>927688.31</v>
      </c>
      <c r="AD170" s="80">
        <f>ROUND(AD117+AD124+AD130+AD135+AD141+AD144+AD151+AD156+AD159+AD164+SUM(AD168:AD169),5)</f>
        <v>927688.31</v>
      </c>
      <c r="AE170" s="80">
        <f>ROUND(AE117+AE124+AE130+AE135+AE141+AE144+AE151+AE156+AE159+AE164+SUM(AE168:AE169),5)</f>
        <v>927688.31</v>
      </c>
      <c r="AG170" s="158" t="s">
        <v>939</v>
      </c>
    </row>
    <row r="171" spans="1:33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32"/>
        <v>0</v>
      </c>
      <c r="Q171" s="69">
        <f t="shared" si="32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</row>
    <row r="172" spans="1:33" ht="47" x14ac:dyDescent="0.55000000000000004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45">ROUND(H172+J172+L172,5)</f>
        <v>322169.82</v>
      </c>
      <c r="O172" s="66">
        <f t="shared" si="45"/>
        <v>137000</v>
      </c>
      <c r="P172" s="69">
        <f t="shared" si="32"/>
        <v>107389.94</v>
      </c>
      <c r="Q172" s="69">
        <f t="shared" si="32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158" t="s">
        <v>940</v>
      </c>
      <c r="AG172" s="102" t="s">
        <v>881</v>
      </c>
    </row>
    <row r="173" spans="1:33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45"/>
        <v>242478.99</v>
      </c>
      <c r="O173" s="66">
        <f t="shared" si="45"/>
        <v>253000</v>
      </c>
      <c r="P173" s="69">
        <f>N173/3</f>
        <v>80826.33</v>
      </c>
      <c r="Q173" s="69">
        <f t="shared" si="32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>26750+29750+19500+10625</f>
        <v>86625</v>
      </c>
      <c r="AC173" s="66">
        <f>26750+29750+19500+10625</f>
        <v>86625</v>
      </c>
      <c r="AD173" s="66">
        <f>26750+29750+19500+10625</f>
        <v>86625</v>
      </c>
      <c r="AE173" s="66">
        <f>26750+29750+19500+10625</f>
        <v>86625</v>
      </c>
      <c r="AF173" s="144"/>
    </row>
    <row r="174" spans="1:33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45"/>
        <v>7072</v>
      </c>
      <c r="O174" s="66">
        <f t="shared" si="45"/>
        <v>8000</v>
      </c>
      <c r="P174" s="69">
        <f t="shared" si="32"/>
        <v>2357.3333333333335</v>
      </c>
      <c r="Q174" s="69">
        <f t="shared" si="32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</row>
    <row r="175" spans="1:33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45"/>
        <v>0</v>
      </c>
      <c r="O175" s="66">
        <f t="shared" si="45"/>
        <v>0</v>
      </c>
      <c r="P175" s="69">
        <f t="shared" si="32"/>
        <v>0</v>
      </c>
      <c r="Q175" s="69">
        <f t="shared" si="32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</row>
    <row r="176" spans="1:33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45"/>
        <v>11385</v>
      </c>
      <c r="O176" s="66">
        <f t="shared" si="45"/>
        <v>39800</v>
      </c>
      <c r="P176" s="69">
        <f t="shared" si="32"/>
        <v>3795</v>
      </c>
      <c r="Q176" s="69">
        <f t="shared" si="32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144"/>
      <c r="AG176" s="46" t="s">
        <v>895</v>
      </c>
    </row>
    <row r="177" spans="1:34" ht="26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45"/>
        <v>0</v>
      </c>
      <c r="O177" s="66">
        <f t="shared" si="45"/>
        <v>15000</v>
      </c>
      <c r="P177" s="69">
        <f t="shared" si="32"/>
        <v>0</v>
      </c>
      <c r="Q177" s="69">
        <f t="shared" si="32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G177" s="138" t="s">
        <v>897</v>
      </c>
      <c r="AH177" s="46">
        <v>1000</v>
      </c>
    </row>
    <row r="178" spans="1:34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45"/>
        <v>3000</v>
      </c>
      <c r="O178" s="66">
        <f t="shared" si="45"/>
        <v>11000</v>
      </c>
      <c r="P178" s="69">
        <f t="shared" si="32"/>
        <v>1000</v>
      </c>
      <c r="Q178" s="69">
        <f t="shared" si="32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H178" s="111">
        <v>265</v>
      </c>
    </row>
    <row r="179" spans="1:34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45"/>
        <v>56296.39</v>
      </c>
      <c r="O179" s="66">
        <f t="shared" si="45"/>
        <v>28065</v>
      </c>
      <c r="P179" s="69">
        <f t="shared" si="32"/>
        <v>18765.463333333333</v>
      </c>
      <c r="Q179" s="69">
        <f t="shared" si="32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144"/>
      <c r="AH179" s="111">
        <f>AH177*AH178</f>
        <v>265000</v>
      </c>
    </row>
    <row r="180" spans="1:34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45"/>
        <v>9375</v>
      </c>
      <c r="O180" s="66">
        <f t="shared" si="45"/>
        <v>18070</v>
      </c>
      <c r="P180" s="69">
        <f t="shared" si="32"/>
        <v>3125</v>
      </c>
      <c r="Q180" s="69">
        <f t="shared" si="32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144"/>
    </row>
    <row r="181" spans="1:34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45"/>
        <v>5322.15</v>
      </c>
      <c r="O181" s="66">
        <f t="shared" si="45"/>
        <v>4200</v>
      </c>
      <c r="P181" s="69">
        <f t="shared" si="32"/>
        <v>1774.05</v>
      </c>
      <c r="Q181" s="69">
        <f t="shared" si="32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144"/>
    </row>
    <row r="182" spans="1:34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46">ROUND(SUM(H171:H181),5)</f>
        <v>94478.28</v>
      </c>
      <c r="I182" s="83">
        <f t="shared" si="46"/>
        <v>186755</v>
      </c>
      <c r="J182" s="84">
        <f t="shared" si="46"/>
        <v>252523.42</v>
      </c>
      <c r="K182" s="84">
        <f t="shared" si="46"/>
        <v>146000</v>
      </c>
      <c r="L182" s="85">
        <f t="shared" si="46"/>
        <v>310097.65000000002</v>
      </c>
      <c r="M182" s="85">
        <f t="shared" si="46"/>
        <v>181380</v>
      </c>
      <c r="N182" s="86">
        <f t="shared" si="45"/>
        <v>657099.35</v>
      </c>
      <c r="O182" s="86">
        <f t="shared" si="45"/>
        <v>514135</v>
      </c>
      <c r="P182" s="87">
        <f t="shared" si="32"/>
        <v>219033.11666666667</v>
      </c>
      <c r="Q182" s="87">
        <f t="shared" si="32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>ROUND(SUM(AB171:AB181),5)</f>
        <v>385875</v>
      </c>
      <c r="AC182" s="88">
        <f>ROUND(SUM(AC171:AC181),5)</f>
        <v>385875</v>
      </c>
      <c r="AD182" s="88">
        <f>ROUND(SUM(AD171:AD181),5)</f>
        <v>385875</v>
      </c>
      <c r="AE182" s="88">
        <f>ROUND(SUM(AE171:AE181),5)</f>
        <v>385875</v>
      </c>
    </row>
    <row r="183" spans="1:34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47">ROUND(H7+H116+H170+H182,5)</f>
        <v>1704028.01</v>
      </c>
      <c r="I183" s="63">
        <f t="shared" si="47"/>
        <v>2024739</v>
      </c>
      <c r="J183" s="64">
        <f t="shared" si="47"/>
        <v>1983347.64</v>
      </c>
      <c r="K183" s="64">
        <f t="shared" si="47"/>
        <v>1884399.92</v>
      </c>
      <c r="L183" s="65">
        <f t="shared" si="47"/>
        <v>2267674.2599999998</v>
      </c>
      <c r="M183" s="65">
        <f t="shared" si="47"/>
        <v>1998330</v>
      </c>
      <c r="N183" s="66">
        <f t="shared" si="45"/>
        <v>5955049.9100000001</v>
      </c>
      <c r="O183" s="66">
        <f t="shared" si="45"/>
        <v>5907468.9199999999</v>
      </c>
      <c r="P183" s="69">
        <f t="shared" si="32"/>
        <v>1985016.6366666667</v>
      </c>
      <c r="Q183" s="69">
        <f t="shared" si="32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>ROUND(AB7+AB116+AB170+AB182,5)</f>
        <v>2274348.11</v>
      </c>
      <c r="AC183" s="66">
        <f>ROUND(AC7+AC116+AC170+AC182,5)</f>
        <v>2274348.11</v>
      </c>
      <c r="AD183" s="66">
        <f>ROUND(AD7+AD116+AD170+AD182,5)</f>
        <v>2339617.5099999998</v>
      </c>
      <c r="AE183" s="66">
        <f>ROUND(AE7+AE116+AE170+AE182,5)</f>
        <v>2339617.5099999998</v>
      </c>
    </row>
    <row r="184" spans="1:34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32"/>
        <v>0</v>
      </c>
      <c r="Q184" s="69">
        <f t="shared" si="32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</row>
    <row r="185" spans="1:34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48">ROUND(H185+J185+L185,5)</f>
        <v>465847.8</v>
      </c>
      <c r="O185" s="66">
        <f t="shared" si="48"/>
        <v>521768</v>
      </c>
      <c r="P185" s="69">
        <f t="shared" si="32"/>
        <v>155282.6</v>
      </c>
      <c r="Q185" s="69">
        <f t="shared" si="32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>ROUND(94796.75, 0)</f>
        <v>94797</v>
      </c>
      <c r="AC185" s="66">
        <f>ROUND(94796.75, 0)</f>
        <v>94797</v>
      </c>
      <c r="AD185" s="66">
        <f>ROUND(94796.75, 0)</f>
        <v>94797</v>
      </c>
      <c r="AE185" s="66">
        <f>ROUND(94796.75, 0)</f>
        <v>94797</v>
      </c>
      <c r="AF185" s="144"/>
      <c r="AG185" s="115" t="s">
        <v>900</v>
      </c>
    </row>
    <row r="186" spans="1:34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48"/>
        <v>77592.62</v>
      </c>
      <c r="O186" s="66">
        <f t="shared" si="48"/>
        <v>92000</v>
      </c>
      <c r="P186" s="69">
        <f t="shared" si="32"/>
        <v>25864.206666666665</v>
      </c>
      <c r="Q186" s="69">
        <f t="shared" si="32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144"/>
      <c r="AH186" s="111"/>
    </row>
    <row r="187" spans="1:34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48"/>
        <v>15133.13</v>
      </c>
      <c r="O187" s="66">
        <f t="shared" si="48"/>
        <v>61000</v>
      </c>
      <c r="P187" s="69">
        <f t="shared" si="32"/>
        <v>5044.3766666666661</v>
      </c>
      <c r="Q187" s="69">
        <f t="shared" si="32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144"/>
    </row>
    <row r="188" spans="1:34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49">ROUND(SUM(H184:H187),5)</f>
        <v>213369.38</v>
      </c>
      <c r="I188" s="75">
        <f t="shared" si="49"/>
        <v>213000</v>
      </c>
      <c r="J188" s="76">
        <f t="shared" si="49"/>
        <v>193755.57</v>
      </c>
      <c r="K188" s="76">
        <f t="shared" si="49"/>
        <v>240000</v>
      </c>
      <c r="L188" s="77">
        <f t="shared" si="49"/>
        <v>151448.6</v>
      </c>
      <c r="M188" s="77">
        <f t="shared" si="49"/>
        <v>221768</v>
      </c>
      <c r="N188" s="78">
        <f t="shared" si="48"/>
        <v>558573.55000000005</v>
      </c>
      <c r="O188" s="78">
        <f t="shared" si="48"/>
        <v>674768</v>
      </c>
      <c r="P188" s="79">
        <f t="shared" si="32"/>
        <v>186191.18333333335</v>
      </c>
      <c r="Q188" s="79">
        <f t="shared" si="32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>ROUND(SUM(AB184:AB187),5)</f>
        <v>124797</v>
      </c>
      <c r="AC188" s="80">
        <f>ROUND(SUM(AC184:AC187),5)</f>
        <v>124797</v>
      </c>
      <c r="AD188" s="80">
        <f>ROUND(SUM(AD184:AD187),5)</f>
        <v>124797</v>
      </c>
      <c r="AE188" s="80">
        <f>ROUND(SUM(AE184:AE187),5)</f>
        <v>114797</v>
      </c>
      <c r="AF188" s="144"/>
      <c r="AG188"/>
    </row>
    <row r="189" spans="1:34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32"/>
        <v>0</v>
      </c>
      <c r="Q189" s="69">
        <f t="shared" si="32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144"/>
    </row>
    <row r="190" spans="1:34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32"/>
        <v>96804.536666666667</v>
      </c>
      <c r="Q190" s="74">
        <f t="shared" si="32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144"/>
    </row>
    <row r="191" spans="1:34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50">ROUND(SUM(H189:H190),5)</f>
        <v>61772.91</v>
      </c>
      <c r="I191" s="63">
        <f t="shared" si="50"/>
        <v>30000</v>
      </c>
      <c r="J191" s="64">
        <f t="shared" si="50"/>
        <v>114884.79</v>
      </c>
      <c r="K191" s="64">
        <f t="shared" si="50"/>
        <v>60000</v>
      </c>
      <c r="L191" s="65">
        <f t="shared" si="50"/>
        <v>113755.91</v>
      </c>
      <c r="M191" s="65">
        <f t="shared" si="50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32"/>
        <v>96804.536666666667</v>
      </c>
      <c r="Q191" s="69">
        <f t="shared" si="32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>ROUND(SUM(AB189:AB190),5)</f>
        <v>100000</v>
      </c>
      <c r="AC191" s="80">
        <f>ROUND(SUM(AC189:AC190),5)</f>
        <v>100000</v>
      </c>
      <c r="AD191" s="80">
        <f>ROUND(SUM(AD189:AD190),5)</f>
        <v>100000</v>
      </c>
      <c r="AE191" s="80">
        <f>ROUND(SUM(AE189:AE190),5)</f>
        <v>90000</v>
      </c>
      <c r="AF191" s="144"/>
    </row>
    <row r="192" spans="1:34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</row>
    <row r="193" spans="1:33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51">ROUND(H193+J193+L193,5)</f>
        <v>333403.68</v>
      </c>
      <c r="O193" s="66">
        <f t="shared" si="51"/>
        <v>338929</v>
      </c>
      <c r="P193" s="69">
        <f t="shared" si="32"/>
        <v>111134.56</v>
      </c>
      <c r="Q193" s="69">
        <f t="shared" si="32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>ROUND(142010.17, 0)</f>
        <v>142010</v>
      </c>
      <c r="AC193" s="66">
        <f>ROUND(142010.17, 0)</f>
        <v>142010</v>
      </c>
      <c r="AD193" s="66">
        <f>ROUND(142010.17, 0)</f>
        <v>142010</v>
      </c>
      <c r="AE193" s="66">
        <f>ROUND(142010.17, 0)</f>
        <v>142010</v>
      </c>
    </row>
    <row r="194" spans="1:33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51"/>
        <v>694468.19</v>
      </c>
      <c r="O194" s="66">
        <f t="shared" si="51"/>
        <v>750379</v>
      </c>
      <c r="P194" s="69">
        <f t="shared" si="32"/>
        <v>231489.39666666664</v>
      </c>
      <c r="Q194" s="69">
        <f t="shared" si="32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</row>
    <row r="195" spans="1:33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51"/>
        <v>76944.899999999994</v>
      </c>
      <c r="O195" s="66">
        <f t="shared" si="51"/>
        <v>54756</v>
      </c>
      <c r="P195" s="69">
        <f t="shared" si="32"/>
        <v>25648.3</v>
      </c>
      <c r="Q195" s="69">
        <f t="shared" si="32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>(88*12)*25</f>
        <v>26400</v>
      </c>
      <c r="AC195" s="66">
        <f>(88*12)*25</f>
        <v>26400</v>
      </c>
      <c r="AD195" s="66">
        <f>(88*12)*25</f>
        <v>26400</v>
      </c>
      <c r="AE195" s="66">
        <f>(88*12)*25</f>
        <v>26400</v>
      </c>
      <c r="AG195" s="46" t="s">
        <v>849</v>
      </c>
    </row>
    <row r="196" spans="1:33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51"/>
        <v>582630.68999999994</v>
      </c>
      <c r="O196" s="66">
        <f t="shared" si="51"/>
        <v>470773.25</v>
      </c>
      <c r="P196" s="69">
        <f t="shared" si="32"/>
        <v>194210.22999999998</v>
      </c>
      <c r="Q196" s="69">
        <f t="shared" si="32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G196" s="110" t="s">
        <v>850</v>
      </c>
    </row>
    <row r="197" spans="1:33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51"/>
        <v>3315663.86</v>
      </c>
      <c r="O197" s="66">
        <f t="shared" si="51"/>
        <v>3738792</v>
      </c>
      <c r="P197" s="69">
        <f t="shared" si="32"/>
        <v>1105221.2866666666</v>
      </c>
      <c r="Q197" s="69">
        <f t="shared" si="32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</row>
    <row r="198" spans="1:33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52">ROUND(SUM(H192:H197),5)</f>
        <v>1617990.72</v>
      </c>
      <c r="I198" s="75">
        <f t="shared" si="52"/>
        <v>1764843.75</v>
      </c>
      <c r="J198" s="76">
        <f t="shared" si="52"/>
        <v>1649149.39</v>
      </c>
      <c r="K198" s="76">
        <f t="shared" si="52"/>
        <v>1716700</v>
      </c>
      <c r="L198" s="77">
        <f t="shared" si="52"/>
        <v>1735971.21</v>
      </c>
      <c r="M198" s="77">
        <f t="shared" si="52"/>
        <v>1872085.5</v>
      </c>
      <c r="N198" s="78">
        <f t="shared" si="51"/>
        <v>5003111.32</v>
      </c>
      <c r="O198" s="78">
        <f t="shared" si="51"/>
        <v>5353629.25</v>
      </c>
      <c r="P198" s="79">
        <f t="shared" si="32"/>
        <v>1667703.7733333334</v>
      </c>
      <c r="Q198" s="79">
        <f t="shared" si="32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>ROUND(SUM(AB192:AB197),5)</f>
        <v>1916936</v>
      </c>
      <c r="AC198" s="80">
        <f>ROUND(SUM(AC192:AC197),5)</f>
        <v>1916936</v>
      </c>
      <c r="AD198" s="80">
        <f>ROUND(SUM(AD192:AD197),5)</f>
        <v>1916936</v>
      </c>
      <c r="AE198" s="80">
        <f>ROUND(SUM(AE192:AE197),5)</f>
        <v>1916936</v>
      </c>
      <c r="AG198" s="81">
        <f>Z198-AB198</f>
        <v>21289</v>
      </c>
    </row>
    <row r="199" spans="1:33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</row>
    <row r="200" spans="1:33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53">N200/3</f>
        <v>5375.666666666667</v>
      </c>
      <c r="Q200" s="74">
        <f t="shared" si="53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G200" s="111">
        <f>AB196+AB197</f>
        <v>1449526</v>
      </c>
    </row>
    <row r="201" spans="1:33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54">ROUND(SUM(H199:H200),5)</f>
        <v>5928</v>
      </c>
      <c r="I201" s="63">
        <f t="shared" si="54"/>
        <v>6321</v>
      </c>
      <c r="J201" s="64">
        <f t="shared" si="54"/>
        <v>4164</v>
      </c>
      <c r="K201" s="64">
        <f t="shared" si="54"/>
        <v>7265</v>
      </c>
      <c r="L201" s="65">
        <f t="shared" si="54"/>
        <v>6035</v>
      </c>
      <c r="M201" s="65">
        <f t="shared" si="54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53"/>
        <v>5375.666666666667</v>
      </c>
      <c r="Q201" s="69">
        <f t="shared" si="53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>ROUND(SUM(AB199:AB200),5)</f>
        <v>6980</v>
      </c>
      <c r="AC201" s="80">
        <f>ROUND(SUM(AC199:AC200),5)</f>
        <v>6980</v>
      </c>
      <c r="AD201" s="80">
        <f>ROUND(SUM(AD199:AD200),5)</f>
        <v>6980</v>
      </c>
      <c r="AE201" s="80">
        <f>ROUND(SUM(AE199:AE200),5)</f>
        <v>6980</v>
      </c>
      <c r="AG201" s="111">
        <f>AG200*0.86</f>
        <v>1246592.3599999999</v>
      </c>
    </row>
    <row r="202" spans="1:33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</row>
    <row r="203" spans="1:33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53"/>
        <v>4066.6533333333332</v>
      </c>
      <c r="Q203" s="69">
        <f t="shared" si="53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</row>
    <row r="204" spans="1:33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53"/>
        <v>666.66666666666663</v>
      </c>
      <c r="Q204" s="69">
        <f t="shared" si="53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</row>
    <row r="205" spans="1:33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53"/>
        <v>330</v>
      </c>
      <c r="Q205" s="69">
        <f t="shared" si="53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</row>
    <row r="206" spans="1:33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53"/>
        <v>11731.87</v>
      </c>
      <c r="Q206" s="69">
        <f t="shared" si="53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</row>
    <row r="207" spans="1:33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55">ROUND(SUM(H202:H206),5)</f>
        <v>22749.62</v>
      </c>
      <c r="I207" s="75">
        <f t="shared" si="55"/>
        <v>7950</v>
      </c>
      <c r="J207" s="76">
        <f t="shared" si="55"/>
        <v>10219.52</v>
      </c>
      <c r="K207" s="76">
        <f t="shared" si="55"/>
        <v>2840</v>
      </c>
      <c r="L207" s="77">
        <f t="shared" si="55"/>
        <v>17416.43</v>
      </c>
      <c r="M207" s="77">
        <f t="shared" si="5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53"/>
        <v>16795.189999999999</v>
      </c>
      <c r="Q207" s="79">
        <f t="shared" si="53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>ROUND(SUM(AB202:AB206),5)</f>
        <v>12610</v>
      </c>
      <c r="AC207" s="80">
        <f>ROUND(SUM(AC202:AC206),5)</f>
        <v>12610</v>
      </c>
      <c r="AD207" s="80">
        <f>ROUND(SUM(AD202:AD206),5)</f>
        <v>12610</v>
      </c>
      <c r="AE207" s="80">
        <f>ROUND(SUM(AE202:AE206),5)</f>
        <v>12610</v>
      </c>
    </row>
    <row r="208" spans="1:33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</row>
    <row r="209" spans="1:33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</row>
    <row r="210" spans="1:33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53"/>
        <v>4434.333333333333</v>
      </c>
      <c r="Q210" s="69">
        <f t="shared" si="53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G210" s="46" t="s">
        <v>901</v>
      </c>
    </row>
    <row r="211" spans="1:33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53"/>
        <v>78916.666666666672</v>
      </c>
      <c r="Q211" s="69">
        <f t="shared" si="53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G211" s="46" t="s">
        <v>854</v>
      </c>
    </row>
    <row r="212" spans="1:33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53"/>
        <v>1180</v>
      </c>
      <c r="Q212" s="69">
        <f t="shared" si="53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</row>
    <row r="213" spans="1:33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53"/>
        <v>725696</v>
      </c>
      <c r="Q213" s="69">
        <f t="shared" si="53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G213" s="46" t="s">
        <v>853</v>
      </c>
    </row>
    <row r="214" spans="1:33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53"/>
        <v>114800</v>
      </c>
      <c r="Q214" s="69">
        <f t="shared" si="53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G214" s="46" t="s">
        <v>855</v>
      </c>
    </row>
    <row r="215" spans="1:33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56">ROUND(SUM(H209:H214),5)</f>
        <v>884166</v>
      </c>
      <c r="I215" s="75">
        <f t="shared" si="56"/>
        <v>788300</v>
      </c>
      <c r="J215" s="76">
        <f t="shared" si="56"/>
        <v>968225</v>
      </c>
      <c r="K215" s="76">
        <f t="shared" si="56"/>
        <v>966375</v>
      </c>
      <c r="L215" s="77">
        <f t="shared" si="56"/>
        <v>922690</v>
      </c>
      <c r="M215" s="77">
        <f t="shared" si="56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53"/>
        <v>925027</v>
      </c>
      <c r="Q215" s="79">
        <f t="shared" si="53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>ROUND(SUM(AB209:AB214),5)</f>
        <v>876000</v>
      </c>
      <c r="AC215" s="80">
        <f>ROUND(SUM(AC209:AC214),5)</f>
        <v>876000</v>
      </c>
      <c r="AD215" s="80">
        <f>ROUND(SUM(AD209:AD214),5)</f>
        <v>876000</v>
      </c>
      <c r="AE215" s="80">
        <f>ROUND(SUM(AE209:AE214),5)</f>
        <v>876000</v>
      </c>
      <c r="AG215" s="127">
        <f>AB215-AB423</f>
        <v>-28046</v>
      </c>
    </row>
    <row r="216" spans="1:33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G216" s="128" t="s">
        <v>892</v>
      </c>
    </row>
    <row r="217" spans="1:33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53"/>
        <v>4578.333333333333</v>
      </c>
      <c r="Q217" s="69">
        <f t="shared" si="53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</row>
    <row r="218" spans="1:33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53"/>
        <v>4578.333333333333</v>
      </c>
      <c r="Q218" s="79">
        <f t="shared" si="53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</row>
    <row r="219" spans="1:33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57">ROUND(H208+H215+H218,5)</f>
        <v>884166</v>
      </c>
      <c r="I219" s="83">
        <f t="shared" si="57"/>
        <v>788300</v>
      </c>
      <c r="J219" s="84">
        <f t="shared" si="57"/>
        <v>981960</v>
      </c>
      <c r="K219" s="84">
        <f t="shared" si="57"/>
        <v>966375</v>
      </c>
      <c r="L219" s="85">
        <f t="shared" si="57"/>
        <v>922690</v>
      </c>
      <c r="M219" s="85">
        <f t="shared" si="57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53"/>
        <v>929605.33333333337</v>
      </c>
      <c r="Q219" s="87">
        <f t="shared" si="53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>ROUND(AB208+AB215+AB218,5)</f>
        <v>876000</v>
      </c>
      <c r="AC219" s="88">
        <f>ROUND(AC208+AC215+AC218,5)</f>
        <v>876000</v>
      </c>
      <c r="AD219" s="88">
        <f>ROUND(AD208+AD215+AD218,5)</f>
        <v>876000</v>
      </c>
      <c r="AE219" s="88">
        <f>ROUND(AE208+AE215+AE218,5)</f>
        <v>876000</v>
      </c>
    </row>
    <row r="220" spans="1:33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58">ROUND(H6+H183+H188+H191+H198+H201+H207+H219,5)</f>
        <v>4510004.6399999997</v>
      </c>
      <c r="I220" s="63">
        <f t="shared" si="58"/>
        <v>4835153.75</v>
      </c>
      <c r="J220" s="64">
        <f t="shared" si="58"/>
        <v>4937480.91</v>
      </c>
      <c r="K220" s="64">
        <f t="shared" si="58"/>
        <v>4877579.92</v>
      </c>
      <c r="L220" s="65">
        <f t="shared" si="58"/>
        <v>5214991.41</v>
      </c>
      <c r="M220" s="65">
        <f t="shared" si="58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53"/>
        <v>4887492.32</v>
      </c>
      <c r="Q220" s="69">
        <f t="shared" si="53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>ROUND(AB6+AB183+AB188+AB191+AB198+AB201+AB207+AB219,5)</f>
        <v>5311671.1100000003</v>
      </c>
      <c r="AC220" s="66">
        <f>ROUND(AC6+AC183+AC188+AC191+AC198+AC201+AC207+AC219,5)</f>
        <v>5311671.1100000003</v>
      </c>
      <c r="AD220" s="66">
        <f>ROUND(AD6+AD183+AD188+AD191+AD198+AD201+AD207+AD219,5)</f>
        <v>5376940.5099999998</v>
      </c>
      <c r="AE220" s="66">
        <f>ROUND(AE6+AE183+AE188+AE191+AE198+AE201+AE207+AE219,5)</f>
        <v>5356940.51</v>
      </c>
      <c r="AG220" s="111">
        <f>AB220-Z220</f>
        <v>35303.919999999925</v>
      </c>
    </row>
    <row r="221" spans="1:33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</row>
    <row r="222" spans="1:33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</row>
    <row r="223" spans="1:33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59">ROUND(H223+J223+L223,5)</f>
        <v>14645.71</v>
      </c>
      <c r="O223" s="66">
        <f t="shared" si="59"/>
        <v>15644.98</v>
      </c>
      <c r="P223" s="69">
        <f t="shared" si="53"/>
        <v>4881.9033333333327</v>
      </c>
      <c r="Q223" s="69">
        <f t="shared" si="53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>ROUND(5691.67, 0)</f>
        <v>5692</v>
      </c>
      <c r="AC223" s="66">
        <f>ROUND(5691.67, 0)</f>
        <v>5692</v>
      </c>
      <c r="AD223" s="66">
        <f>ROUND(5691.67, 0)</f>
        <v>5692</v>
      </c>
      <c r="AE223" s="66">
        <f>ROUND(5691.67, 0)</f>
        <v>5692</v>
      </c>
    </row>
    <row r="224" spans="1:33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59"/>
        <v>3195.19</v>
      </c>
      <c r="O224" s="66">
        <f t="shared" si="59"/>
        <v>7437.44</v>
      </c>
      <c r="P224" s="69">
        <f t="shared" si="53"/>
        <v>1065.0633333333333</v>
      </c>
      <c r="Q224" s="69">
        <f t="shared" si="53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</row>
    <row r="225" spans="1:31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60">ROUND(SUM(H222:H224),5)</f>
        <v>5911.22</v>
      </c>
      <c r="I225" s="75">
        <f t="shared" si="60"/>
        <v>5833.45</v>
      </c>
      <c r="J225" s="76">
        <f t="shared" si="60"/>
        <v>5605.52</v>
      </c>
      <c r="K225" s="76">
        <f t="shared" si="60"/>
        <v>5849.17</v>
      </c>
      <c r="L225" s="77">
        <f t="shared" si="60"/>
        <v>6324.16</v>
      </c>
      <c r="M225" s="77">
        <f t="shared" si="60"/>
        <v>11399.8</v>
      </c>
      <c r="N225" s="78">
        <f t="shared" si="59"/>
        <v>17840.900000000001</v>
      </c>
      <c r="O225" s="78">
        <f t="shared" si="59"/>
        <v>23082.42</v>
      </c>
      <c r="P225" s="79">
        <f t="shared" si="53"/>
        <v>5946.9666666666672</v>
      </c>
      <c r="Q225" s="79">
        <f t="shared" si="53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>ROUND(SUM(AB222:AB224),5)</f>
        <v>9040</v>
      </c>
      <c r="AC225" s="80">
        <f>ROUND(SUM(AC222:AC224),5)</f>
        <v>9040</v>
      </c>
      <c r="AD225" s="80">
        <f>ROUND(SUM(AD222:AD224),5)</f>
        <v>9040</v>
      </c>
      <c r="AE225" s="80">
        <f>ROUND(SUM(AE222:AE224),5)</f>
        <v>9040</v>
      </c>
    </row>
    <row r="226" spans="1:31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</row>
    <row r="227" spans="1:31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>AE9*0.2</f>
        <v>205210.84</v>
      </c>
    </row>
    <row r="228" spans="1:31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53"/>
        <v>621.57000000000005</v>
      </c>
      <c r="Q228" s="69">
        <f t="shared" si="53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</row>
    <row r="229" spans="1:31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53"/>
        <v>0</v>
      </c>
      <c r="Q229" s="69">
        <f t="shared" si="53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</row>
    <row r="230" spans="1:31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61">ROUND(H230+J230+L230,5)</f>
        <v>160678.19</v>
      </c>
      <c r="O230" s="66">
        <f t="shared" si="61"/>
        <v>76847.710000000006</v>
      </c>
      <c r="P230" s="69">
        <f t="shared" si="53"/>
        <v>53559.396666666667</v>
      </c>
      <c r="Q230" s="69">
        <f t="shared" si="53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</row>
    <row r="231" spans="1:31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61"/>
        <v>4393.6000000000004</v>
      </c>
      <c r="O231" s="66">
        <f t="shared" si="61"/>
        <v>3748.32</v>
      </c>
      <c r="P231" s="69">
        <f t="shared" si="53"/>
        <v>1464.5333333333335</v>
      </c>
      <c r="Q231" s="69">
        <f t="shared" si="53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</row>
    <row r="232" spans="1:31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61"/>
        <v>3931.71</v>
      </c>
      <c r="O232" s="66">
        <f t="shared" si="61"/>
        <v>1056.04</v>
      </c>
      <c r="P232" s="69">
        <f t="shared" si="53"/>
        <v>1310.57</v>
      </c>
      <c r="Q232" s="69">
        <f t="shared" si="53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</row>
    <row r="233" spans="1:31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61"/>
        <v>1953.44</v>
      </c>
      <c r="O233" s="73">
        <f t="shared" si="61"/>
        <v>100</v>
      </c>
      <c r="P233" s="74">
        <f t="shared" si="53"/>
        <v>651.14666666666665</v>
      </c>
      <c r="Q233" s="74">
        <f t="shared" si="53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</row>
    <row r="234" spans="1:31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62">ROUND(SUM(H229:H233),5)</f>
        <v>66004.350000000006</v>
      </c>
      <c r="I234" s="63">
        <f t="shared" si="62"/>
        <v>0</v>
      </c>
      <c r="J234" s="64">
        <f t="shared" si="62"/>
        <v>53975.49</v>
      </c>
      <c r="K234" s="64">
        <f t="shared" si="62"/>
        <v>13281.84</v>
      </c>
      <c r="L234" s="65">
        <f t="shared" si="62"/>
        <v>50977.1</v>
      </c>
      <c r="M234" s="65">
        <f t="shared" si="62"/>
        <v>68470.23</v>
      </c>
      <c r="N234" s="66">
        <f t="shared" si="61"/>
        <v>170956.94</v>
      </c>
      <c r="O234" s="66">
        <f t="shared" si="61"/>
        <v>81752.070000000007</v>
      </c>
      <c r="P234" s="69">
        <f t="shared" si="53"/>
        <v>56985.646666666667</v>
      </c>
      <c r="Q234" s="69">
        <f t="shared" si="53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>ROUND(SUM(AB229:AB233),5)</f>
        <v>0</v>
      </c>
      <c r="AC234" s="66">
        <f>ROUND(SUM(AC229:AC233),5)</f>
        <v>0</v>
      </c>
      <c r="AD234" s="66">
        <f>ROUND(SUM(AD229:AD233),5)</f>
        <v>0</v>
      </c>
      <c r="AE234" s="66">
        <f>ROUND(SUM(AE229:AE233),5)</f>
        <v>0</v>
      </c>
    </row>
    <row r="235" spans="1:31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</row>
    <row r="236" spans="1:31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63">ROUND(H236+J236+L236,5)</f>
        <v>10300.370000000001</v>
      </c>
      <c r="O236" s="66">
        <f t="shared" si="63"/>
        <v>7978.18</v>
      </c>
      <c r="P236" s="69">
        <f t="shared" si="53"/>
        <v>3433.4566666666669</v>
      </c>
      <c r="Q236" s="69">
        <f t="shared" si="53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</row>
    <row r="237" spans="1:31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63"/>
        <v>265.04000000000002</v>
      </c>
      <c r="O237" s="66">
        <f t="shared" si="63"/>
        <v>2079.58</v>
      </c>
      <c r="P237" s="69">
        <f t="shared" si="53"/>
        <v>88.346666666666678</v>
      </c>
      <c r="Q237" s="69">
        <f t="shared" si="53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</row>
    <row r="238" spans="1:31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63"/>
        <v>291.58999999999997</v>
      </c>
      <c r="O238" s="66">
        <f t="shared" si="63"/>
        <v>6330.08</v>
      </c>
      <c r="P238" s="69">
        <f t="shared" si="53"/>
        <v>97.196666666666658</v>
      </c>
      <c r="Q238" s="69">
        <f t="shared" si="53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</row>
    <row r="239" spans="1:31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63"/>
        <v>1002.62</v>
      </c>
      <c r="O239" s="66">
        <f t="shared" si="63"/>
        <v>3299.3</v>
      </c>
      <c r="P239" s="69">
        <f t="shared" si="53"/>
        <v>334.20666666666665</v>
      </c>
      <c r="Q239" s="69">
        <f t="shared" si="53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</row>
    <row r="240" spans="1:31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63"/>
        <v>384.28</v>
      </c>
      <c r="O240" s="66">
        <f t="shared" si="63"/>
        <v>0</v>
      </c>
      <c r="P240" s="69">
        <f t="shared" si="53"/>
        <v>128.09333333333333</v>
      </c>
      <c r="Q240" s="69">
        <f t="shared" si="53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</row>
    <row r="241" spans="1:31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63"/>
        <v>1703.01</v>
      </c>
      <c r="O241" s="66">
        <f t="shared" si="63"/>
        <v>6458.46</v>
      </c>
      <c r="P241" s="69">
        <f t="shared" si="53"/>
        <v>567.66999999999996</v>
      </c>
      <c r="Q241" s="69">
        <f t="shared" si="53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</row>
    <row r="242" spans="1:31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63"/>
        <v>844.98</v>
      </c>
      <c r="O242" s="66">
        <f t="shared" si="63"/>
        <v>4878.88</v>
      </c>
      <c r="P242" s="69">
        <f t="shared" si="53"/>
        <v>281.66000000000003</v>
      </c>
      <c r="Q242" s="69">
        <f t="shared" si="53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</row>
    <row r="243" spans="1:31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63"/>
        <v>952.7</v>
      </c>
      <c r="O243" s="66">
        <f t="shared" si="63"/>
        <v>759.86</v>
      </c>
      <c r="P243" s="69">
        <f t="shared" si="53"/>
        <v>317.56666666666666</v>
      </c>
      <c r="Q243" s="69">
        <f t="shared" si="53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</row>
    <row r="244" spans="1:31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63"/>
        <v>-279.7</v>
      </c>
      <c r="O244" s="66">
        <v>0</v>
      </c>
      <c r="P244" s="69">
        <f t="shared" si="53"/>
        <v>-93.233333333333334</v>
      </c>
      <c r="Q244" s="69">
        <f t="shared" si="53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</row>
    <row r="245" spans="1:31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63"/>
        <v>2068.73</v>
      </c>
      <c r="O245" s="66">
        <f>ROUND(I245+K245+M245,5)</f>
        <v>600</v>
      </c>
      <c r="P245" s="69">
        <f t="shared" si="53"/>
        <v>689.57666666666671</v>
      </c>
      <c r="Q245" s="69">
        <f t="shared" si="53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</row>
    <row r="246" spans="1:31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63"/>
        <v>126.77</v>
      </c>
      <c r="O246" s="66">
        <f>ROUND(I246+K246+M246,5)</f>
        <v>100</v>
      </c>
      <c r="P246" s="69">
        <f t="shared" si="53"/>
        <v>42.256666666666668</v>
      </c>
      <c r="Q246" s="69">
        <f t="shared" si="53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</row>
    <row r="247" spans="1:31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63"/>
        <v>4683.93</v>
      </c>
      <c r="O247" s="66">
        <f>ROUND(I247+K247+M247,5)</f>
        <v>7118.32</v>
      </c>
      <c r="P247" s="69">
        <f t="shared" si="53"/>
        <v>1561.3100000000002</v>
      </c>
      <c r="Q247" s="69">
        <f t="shared" si="53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</row>
    <row r="248" spans="1:31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63"/>
        <v>2913.09</v>
      </c>
      <c r="O248" s="66">
        <f>ROUND(I248+K248+M248,5)</f>
        <v>4719.0200000000004</v>
      </c>
      <c r="P248" s="69">
        <f t="shared" si="53"/>
        <v>971.03000000000009</v>
      </c>
      <c r="Q248" s="69">
        <f t="shared" si="53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</row>
    <row r="249" spans="1:31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63"/>
        <v>4608.63</v>
      </c>
      <c r="O249" s="66">
        <f>ROUND(I249+K249+M249,5)</f>
        <v>1619.72</v>
      </c>
      <c r="P249" s="69">
        <f t="shared" si="53"/>
        <v>1536.21</v>
      </c>
      <c r="Q249" s="69">
        <f t="shared" si="53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</row>
    <row r="250" spans="1:31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63"/>
        <v>78.989999999999995</v>
      </c>
      <c r="O250" s="66">
        <v>0</v>
      </c>
      <c r="P250" s="69">
        <f t="shared" si="53"/>
        <v>26.33</v>
      </c>
      <c r="Q250" s="69">
        <f t="shared" si="53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</row>
    <row r="251" spans="1:31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63"/>
        <v>0</v>
      </c>
      <c r="O251" s="66">
        <f>ROUND(I251+K251+M251,5)</f>
        <v>1219.72</v>
      </c>
      <c r="P251" s="69">
        <f t="shared" si="53"/>
        <v>0</v>
      </c>
      <c r="Q251" s="69">
        <f t="shared" si="53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</row>
    <row r="252" spans="1:31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64">ROUND(H252+J252+L252,5)</f>
        <v>469.32</v>
      </c>
      <c r="O252" s="66">
        <f>ROUND(I252+K252+M252,5)</f>
        <v>356.04</v>
      </c>
      <c r="P252" s="69">
        <f t="shared" si="53"/>
        <v>156.44</v>
      </c>
      <c r="Q252" s="69">
        <f t="shared" si="53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</row>
    <row r="253" spans="1:31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64"/>
        <v>0</v>
      </c>
      <c r="O253" s="66">
        <f>ROUND(I253+K253+M253,5)</f>
        <v>1524.16</v>
      </c>
      <c r="P253" s="69">
        <f t="shared" si="53"/>
        <v>0</v>
      </c>
      <c r="Q253" s="69">
        <f t="shared" si="53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</row>
    <row r="254" spans="1:31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64"/>
        <v>295.95</v>
      </c>
      <c r="O254" s="66">
        <v>0</v>
      </c>
      <c r="P254" s="69">
        <f t="shared" si="53"/>
        <v>98.649999999999991</v>
      </c>
      <c r="Q254" s="69">
        <f t="shared" si="53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</row>
    <row r="255" spans="1:31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64"/>
        <v>0</v>
      </c>
      <c r="O255" s="66">
        <f>ROUND(I255+K255+M255,5)</f>
        <v>0</v>
      </c>
      <c r="P255" s="69">
        <f t="shared" si="53"/>
        <v>0</v>
      </c>
      <c r="Q255" s="69">
        <f t="shared" si="53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</row>
    <row r="256" spans="1:31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64"/>
        <v>0</v>
      </c>
      <c r="O256" s="73">
        <f>ROUND(I256+K256+M256,5)</f>
        <v>0</v>
      </c>
      <c r="P256" s="74">
        <f t="shared" si="53"/>
        <v>0</v>
      </c>
      <c r="Q256" s="74">
        <f t="shared" si="53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</row>
    <row r="257" spans="1:31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65">ROUND(SUM(H235:H256),5)</f>
        <v>9952.77</v>
      </c>
      <c r="I257" s="63">
        <f t="shared" si="65"/>
        <v>0</v>
      </c>
      <c r="J257" s="64">
        <f t="shared" si="65"/>
        <v>12257.65</v>
      </c>
      <c r="K257" s="64">
        <f t="shared" si="65"/>
        <v>43741.32</v>
      </c>
      <c r="L257" s="65">
        <f t="shared" si="65"/>
        <v>8499.8799999999992</v>
      </c>
      <c r="M257" s="65">
        <f t="shared" si="65"/>
        <v>5300</v>
      </c>
      <c r="N257" s="66">
        <f t="shared" si="64"/>
        <v>30710.3</v>
      </c>
      <c r="O257" s="66">
        <f>ROUND(I257+K257+M257,5)</f>
        <v>49041.32</v>
      </c>
      <c r="P257" s="69">
        <f t="shared" si="53"/>
        <v>10236.766666666666</v>
      </c>
      <c r="Q257" s="69">
        <f t="shared" si="53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>ROUND(SUM(AB235:AB256),5)</f>
        <v>0</v>
      </c>
      <c r="AC257" s="66">
        <f>ROUND(SUM(AC235:AC256),5)</f>
        <v>0</v>
      </c>
      <c r="AD257" s="66">
        <f>ROUND(SUM(AD235:AD256),5)</f>
        <v>0</v>
      </c>
      <c r="AE257" s="66">
        <f>ROUND(SUM(AE235:AE256),5)</f>
        <v>0</v>
      </c>
    </row>
    <row r="258" spans="1:31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53"/>
        <v>0</v>
      </c>
      <c r="Q258" s="69">
        <f t="shared" si="53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</row>
    <row r="259" spans="1:31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66">ROUND(H259+J259+L259,5)</f>
        <v>292.07</v>
      </c>
      <c r="O259" s="66">
        <f t="shared" si="66"/>
        <v>3559.16</v>
      </c>
      <c r="P259" s="69">
        <f t="shared" si="53"/>
        <v>97.356666666666669</v>
      </c>
      <c r="Q259" s="69">
        <f t="shared" si="53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</row>
    <row r="260" spans="1:31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66"/>
        <v>0</v>
      </c>
      <c r="O260" s="66">
        <f t="shared" si="66"/>
        <v>0</v>
      </c>
      <c r="P260" s="69">
        <f t="shared" ref="P260:Q323" si="67">N260/3</f>
        <v>0</v>
      </c>
      <c r="Q260" s="69">
        <f t="shared" si="67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</row>
    <row r="261" spans="1:31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66"/>
        <v>414.94</v>
      </c>
      <c r="O261" s="66">
        <f t="shared" si="66"/>
        <v>1624.16</v>
      </c>
      <c r="P261" s="69">
        <f t="shared" si="67"/>
        <v>138.31333333333333</v>
      </c>
      <c r="Q261" s="69">
        <f t="shared" si="67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</row>
    <row r="262" spans="1:31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66"/>
        <v>0</v>
      </c>
      <c r="O262" s="73">
        <f t="shared" si="66"/>
        <v>0</v>
      </c>
      <c r="P262" s="74">
        <f t="shared" si="67"/>
        <v>0</v>
      </c>
      <c r="Q262" s="74">
        <f t="shared" si="67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</row>
    <row r="263" spans="1:31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68">ROUND(SUM(H258:H262),5)</f>
        <v>414.94</v>
      </c>
      <c r="I263" s="63">
        <f t="shared" si="68"/>
        <v>0</v>
      </c>
      <c r="J263" s="64">
        <f t="shared" si="68"/>
        <v>73.44</v>
      </c>
      <c r="K263" s="64">
        <f t="shared" si="68"/>
        <v>4783.32</v>
      </c>
      <c r="L263" s="65">
        <f t="shared" si="68"/>
        <v>218.63</v>
      </c>
      <c r="M263" s="65">
        <f t="shared" si="68"/>
        <v>400</v>
      </c>
      <c r="N263" s="66">
        <f t="shared" si="66"/>
        <v>707.01</v>
      </c>
      <c r="O263" s="66">
        <f t="shared" si="66"/>
        <v>5183.32</v>
      </c>
      <c r="P263" s="69">
        <f t="shared" si="67"/>
        <v>235.67</v>
      </c>
      <c r="Q263" s="69">
        <f t="shared" si="67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>ROUND(SUM(AB258:AB262),5)</f>
        <v>0</v>
      </c>
      <c r="AC263" s="66">
        <f>ROUND(SUM(AC258:AC262),5)</f>
        <v>0</v>
      </c>
      <c r="AD263" s="66">
        <f>ROUND(SUM(AD258:AD262),5)</f>
        <v>0</v>
      </c>
      <c r="AE263" s="66">
        <f>ROUND(SUM(AE258:AE262),5)</f>
        <v>0</v>
      </c>
    </row>
    <row r="264" spans="1:31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</row>
    <row r="265" spans="1:31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69">ROUND(H265+J265+L265,5)</f>
        <v>9233.0499999999993</v>
      </c>
      <c r="O265" s="66">
        <f t="shared" si="69"/>
        <v>5438.74</v>
      </c>
      <c r="P265" s="69">
        <f t="shared" si="67"/>
        <v>3077.6833333333329</v>
      </c>
      <c r="Q265" s="69">
        <f t="shared" si="67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</row>
    <row r="266" spans="1:31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69"/>
        <v>173.59</v>
      </c>
      <c r="O266" s="66">
        <f t="shared" si="69"/>
        <v>2539.44</v>
      </c>
      <c r="P266" s="69">
        <f t="shared" si="67"/>
        <v>57.863333333333337</v>
      </c>
      <c r="Q266" s="69">
        <f t="shared" si="67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</row>
    <row r="267" spans="1:31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69"/>
        <v>99.76</v>
      </c>
      <c r="O267" s="66">
        <f t="shared" si="69"/>
        <v>1980.2</v>
      </c>
      <c r="P267" s="69">
        <f t="shared" si="67"/>
        <v>33.253333333333337</v>
      </c>
      <c r="Q267" s="69">
        <f t="shared" si="67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</row>
    <row r="268" spans="1:31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69"/>
        <v>2756.34</v>
      </c>
      <c r="O268" s="66">
        <f t="shared" si="69"/>
        <v>956.04</v>
      </c>
      <c r="P268" s="69">
        <f t="shared" si="67"/>
        <v>918.78000000000009</v>
      </c>
      <c r="Q268" s="69">
        <f t="shared" si="67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</row>
    <row r="269" spans="1:31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69"/>
        <v>62</v>
      </c>
      <c r="O269" s="66">
        <f t="shared" si="69"/>
        <v>718</v>
      </c>
      <c r="P269" s="69">
        <f t="shared" si="67"/>
        <v>20.666666666666668</v>
      </c>
      <c r="Q269" s="69">
        <f t="shared" si="67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</row>
    <row r="270" spans="1:31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69"/>
        <v>5017.79</v>
      </c>
      <c r="O270" s="66">
        <f t="shared" si="69"/>
        <v>1535.1</v>
      </c>
      <c r="P270" s="69">
        <f t="shared" si="67"/>
        <v>1672.5966666666666</v>
      </c>
      <c r="Q270" s="69">
        <f t="shared" si="67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</row>
    <row r="271" spans="1:31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69"/>
        <v>0</v>
      </c>
      <c r="O271" s="66">
        <f t="shared" si="69"/>
        <v>1880.2</v>
      </c>
      <c r="P271" s="69">
        <f t="shared" si="67"/>
        <v>0</v>
      </c>
      <c r="Q271" s="69">
        <f t="shared" si="67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</row>
    <row r="272" spans="1:31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69"/>
        <v>1851.6</v>
      </c>
      <c r="O272" s="66">
        <f t="shared" si="69"/>
        <v>1624.16</v>
      </c>
      <c r="P272" s="69">
        <f t="shared" si="67"/>
        <v>617.19999999999993</v>
      </c>
      <c r="Q272" s="69">
        <f t="shared" si="67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</row>
    <row r="273" spans="1:31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69"/>
        <v>0</v>
      </c>
      <c r="O273" s="66">
        <f t="shared" si="69"/>
        <v>6709.32</v>
      </c>
      <c r="P273" s="69">
        <f t="shared" si="67"/>
        <v>0</v>
      </c>
      <c r="Q273" s="69">
        <f t="shared" si="67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</row>
    <row r="274" spans="1:31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69"/>
        <v>0</v>
      </c>
      <c r="O274" s="66">
        <f t="shared" si="69"/>
        <v>1983.36</v>
      </c>
      <c r="P274" s="69">
        <f t="shared" si="67"/>
        <v>0</v>
      </c>
      <c r="Q274" s="69">
        <f t="shared" si="67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</row>
    <row r="275" spans="1:31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69"/>
        <v>0</v>
      </c>
      <c r="O275" s="66">
        <f t="shared" si="69"/>
        <v>4759.01</v>
      </c>
      <c r="P275" s="69">
        <f t="shared" si="67"/>
        <v>0</v>
      </c>
      <c r="Q275" s="69">
        <f t="shared" si="67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</row>
    <row r="276" spans="1:31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69"/>
        <v>8987.11</v>
      </c>
      <c r="O276" s="66">
        <f t="shared" si="69"/>
        <v>17088.16</v>
      </c>
      <c r="P276" s="69">
        <f t="shared" si="67"/>
        <v>2995.7033333333334</v>
      </c>
      <c r="Q276" s="69">
        <f t="shared" si="67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</row>
    <row r="277" spans="1:31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69"/>
        <v>170.91</v>
      </c>
      <c r="O277" s="66">
        <f t="shared" si="69"/>
        <v>4097.04</v>
      </c>
      <c r="P277" s="69">
        <f t="shared" si="67"/>
        <v>56.97</v>
      </c>
      <c r="Q277" s="69">
        <f t="shared" si="67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</row>
    <row r="278" spans="1:31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69"/>
        <v>1914.86</v>
      </c>
      <c r="O278" s="66">
        <f t="shared" si="69"/>
        <v>1668.12</v>
      </c>
      <c r="P278" s="69">
        <f t="shared" si="67"/>
        <v>638.28666666666663</v>
      </c>
      <c r="Q278" s="69">
        <f t="shared" si="67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</row>
    <row r="279" spans="1:31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69"/>
        <v>581.79999999999995</v>
      </c>
      <c r="O279" s="73">
        <f t="shared" si="69"/>
        <v>0</v>
      </c>
      <c r="P279" s="74">
        <f t="shared" si="67"/>
        <v>193.93333333333331</v>
      </c>
      <c r="Q279" s="74">
        <f t="shared" si="67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</row>
    <row r="280" spans="1:31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70">ROUND(SUM(H264:H279),5)</f>
        <v>11247.41</v>
      </c>
      <c r="I280" s="63">
        <f t="shared" si="70"/>
        <v>0</v>
      </c>
      <c r="J280" s="64">
        <f t="shared" si="70"/>
        <v>13538.34</v>
      </c>
      <c r="K280" s="64">
        <f t="shared" si="70"/>
        <v>43816.14</v>
      </c>
      <c r="L280" s="65">
        <f t="shared" si="70"/>
        <v>6063.06</v>
      </c>
      <c r="M280" s="65">
        <f t="shared" si="70"/>
        <v>9160.75</v>
      </c>
      <c r="N280" s="66">
        <f t="shared" si="69"/>
        <v>30848.81</v>
      </c>
      <c r="O280" s="66">
        <f t="shared" si="69"/>
        <v>52976.89</v>
      </c>
      <c r="P280" s="69">
        <f t="shared" si="67"/>
        <v>10282.936666666666</v>
      </c>
      <c r="Q280" s="69">
        <f t="shared" si="67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>ROUND(SUM(AB264:AB279),5)</f>
        <v>0</v>
      </c>
      <c r="AC280" s="66">
        <f>ROUND(SUM(AC264:AC279),5)</f>
        <v>0</v>
      </c>
      <c r="AD280" s="66">
        <f>ROUND(SUM(AD264:AD279),5)</f>
        <v>0</v>
      </c>
      <c r="AE280" s="66">
        <f>ROUND(SUM(AE264:AE279),5)</f>
        <v>0</v>
      </c>
    </row>
    <row r="281" spans="1:31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67"/>
        <v>0</v>
      </c>
      <c r="Q281" s="69">
        <f t="shared" si="67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</row>
    <row r="282" spans="1:31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71">ROUND(H282+J282+L282,5)</f>
        <v>9840.1</v>
      </c>
      <c r="O282" s="66">
        <f t="shared" si="71"/>
        <v>6658.46</v>
      </c>
      <c r="P282" s="69">
        <f t="shared" si="67"/>
        <v>3280.0333333333333</v>
      </c>
      <c r="Q282" s="69">
        <f t="shared" si="67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</row>
    <row r="283" spans="1:31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71"/>
        <v>9035.52</v>
      </c>
      <c r="O283" s="66">
        <f t="shared" si="71"/>
        <v>7418.32</v>
      </c>
      <c r="P283" s="69">
        <f t="shared" si="67"/>
        <v>3011.84</v>
      </c>
      <c r="Q283" s="69">
        <f t="shared" si="67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</row>
    <row r="284" spans="1:31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71"/>
        <v>0</v>
      </c>
      <c r="O284" s="66">
        <f t="shared" si="71"/>
        <v>656.04</v>
      </c>
      <c r="P284" s="69">
        <f t="shared" si="67"/>
        <v>0</v>
      </c>
      <c r="Q284" s="69">
        <f t="shared" si="67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</row>
    <row r="285" spans="1:31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71"/>
        <v>2620.06</v>
      </c>
      <c r="O285" s="66">
        <f t="shared" si="71"/>
        <v>7118.32</v>
      </c>
      <c r="P285" s="69">
        <f t="shared" si="67"/>
        <v>873.35333333333335</v>
      </c>
      <c r="Q285" s="69">
        <f t="shared" si="67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</row>
    <row r="286" spans="1:31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71"/>
        <v>2099.5700000000002</v>
      </c>
      <c r="O286" s="66">
        <f t="shared" si="71"/>
        <v>1012.08</v>
      </c>
      <c r="P286" s="69">
        <f t="shared" si="67"/>
        <v>699.85666666666668</v>
      </c>
      <c r="Q286" s="69">
        <f t="shared" si="67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</row>
    <row r="287" spans="1:31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71"/>
        <v>1066.75</v>
      </c>
      <c r="O287" s="73">
        <f t="shared" si="71"/>
        <v>6918.32</v>
      </c>
      <c r="P287" s="74">
        <f t="shared" si="67"/>
        <v>355.58333333333331</v>
      </c>
      <c r="Q287" s="74">
        <f t="shared" si="67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</row>
    <row r="288" spans="1:31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72">ROUND(SUM(H281:H287),5)</f>
        <v>5366.39</v>
      </c>
      <c r="I288" s="63">
        <f t="shared" si="72"/>
        <v>0</v>
      </c>
      <c r="J288" s="64">
        <f t="shared" si="72"/>
        <v>9447.02</v>
      </c>
      <c r="K288" s="64">
        <f t="shared" si="72"/>
        <v>27381.54</v>
      </c>
      <c r="L288" s="65">
        <f t="shared" si="72"/>
        <v>9848.59</v>
      </c>
      <c r="M288" s="65">
        <f t="shared" si="72"/>
        <v>2400</v>
      </c>
      <c r="N288" s="66">
        <f t="shared" si="71"/>
        <v>24662</v>
      </c>
      <c r="O288" s="66">
        <f t="shared" si="71"/>
        <v>29781.54</v>
      </c>
      <c r="P288" s="69">
        <f t="shared" si="67"/>
        <v>8220.6666666666661</v>
      </c>
      <c r="Q288" s="69">
        <f t="shared" si="67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>ROUND(SUM(AB281:AB287),5)</f>
        <v>0</v>
      </c>
      <c r="AC288" s="66">
        <f>ROUND(SUM(AC281:AC287),5)</f>
        <v>0</v>
      </c>
      <c r="AD288" s="66">
        <f>ROUND(SUM(AD281:AD287),5)</f>
        <v>0</v>
      </c>
      <c r="AE288" s="66">
        <f>ROUND(SUM(AE281:AE287),5)</f>
        <v>0</v>
      </c>
    </row>
    <row r="289" spans="1:31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</row>
    <row r="290" spans="1:31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73">ROUND(H290+J290+L290,5)</f>
        <v>513.95000000000005</v>
      </c>
      <c r="O290" s="66">
        <f t="shared" si="73"/>
        <v>300</v>
      </c>
      <c r="P290" s="69">
        <f t="shared" si="67"/>
        <v>171.31666666666669</v>
      </c>
      <c r="Q290" s="69">
        <f t="shared" si="67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</row>
    <row r="291" spans="1:31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73"/>
        <v>5543.87</v>
      </c>
      <c r="O291" s="66">
        <f t="shared" si="73"/>
        <v>800</v>
      </c>
      <c r="P291" s="69">
        <f t="shared" si="67"/>
        <v>1847.9566666666667</v>
      </c>
      <c r="Q291" s="69">
        <f t="shared" si="67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</row>
    <row r="292" spans="1:31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73"/>
        <v>0</v>
      </c>
      <c r="O292" s="66">
        <f t="shared" si="73"/>
        <v>6718.32</v>
      </c>
      <c r="P292" s="69">
        <f t="shared" si="67"/>
        <v>0</v>
      </c>
      <c r="Q292" s="69">
        <f t="shared" si="67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</row>
    <row r="293" spans="1:31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73"/>
        <v>1829.97</v>
      </c>
      <c r="O293" s="66">
        <f t="shared" si="73"/>
        <v>400</v>
      </c>
      <c r="P293" s="69">
        <f t="shared" si="67"/>
        <v>609.99</v>
      </c>
      <c r="Q293" s="69">
        <f t="shared" si="67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</row>
    <row r="294" spans="1:31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73"/>
        <v>574.11</v>
      </c>
      <c r="O294" s="66">
        <f t="shared" si="73"/>
        <v>200</v>
      </c>
      <c r="P294" s="69">
        <f t="shared" si="67"/>
        <v>191.37</v>
      </c>
      <c r="Q294" s="69">
        <f t="shared" si="67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</row>
    <row r="295" spans="1:31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73"/>
        <v>2094.56</v>
      </c>
      <c r="O295" s="66">
        <f t="shared" si="73"/>
        <v>700</v>
      </c>
      <c r="P295" s="69">
        <f t="shared" si="67"/>
        <v>698.18666666666661</v>
      </c>
      <c r="Q295" s="69">
        <f t="shared" si="67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</row>
    <row r="296" spans="1:31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73"/>
        <v>143.52000000000001</v>
      </c>
      <c r="O296" s="66">
        <f t="shared" si="73"/>
        <v>0</v>
      </c>
      <c r="P296" s="69">
        <f t="shared" si="67"/>
        <v>47.84</v>
      </c>
      <c r="Q296" s="69">
        <f t="shared" si="67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</row>
    <row r="297" spans="1:31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73"/>
        <v>0</v>
      </c>
      <c r="O297" s="66">
        <f t="shared" si="73"/>
        <v>100</v>
      </c>
      <c r="P297" s="69">
        <f t="shared" si="67"/>
        <v>0</v>
      </c>
      <c r="Q297" s="69">
        <f t="shared" si="67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</row>
    <row r="298" spans="1:31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73"/>
        <v>1205.7</v>
      </c>
      <c r="O298" s="66">
        <f t="shared" si="73"/>
        <v>0</v>
      </c>
      <c r="P298" s="69">
        <f t="shared" si="67"/>
        <v>401.90000000000003</v>
      </c>
      <c r="Q298" s="69">
        <f t="shared" si="67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</row>
    <row r="299" spans="1:31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73"/>
        <v>0</v>
      </c>
      <c r="O299" s="66">
        <f t="shared" si="73"/>
        <v>0</v>
      </c>
      <c r="P299" s="69">
        <f t="shared" si="67"/>
        <v>0</v>
      </c>
      <c r="Q299" s="69">
        <f t="shared" si="67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</row>
    <row r="300" spans="1:31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73"/>
        <v>0</v>
      </c>
      <c r="O300" s="73">
        <f t="shared" si="73"/>
        <v>0</v>
      </c>
      <c r="P300" s="74">
        <f t="shared" si="67"/>
        <v>0</v>
      </c>
      <c r="Q300" s="74">
        <f t="shared" si="67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</row>
    <row r="301" spans="1:31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74">ROUND(SUM(H289:H300),5)</f>
        <v>3691.61</v>
      </c>
      <c r="I301" s="63">
        <f t="shared" si="74"/>
        <v>0</v>
      </c>
      <c r="J301" s="64">
        <f t="shared" si="74"/>
        <v>4249.07</v>
      </c>
      <c r="K301" s="64">
        <f t="shared" si="74"/>
        <v>6718.32</v>
      </c>
      <c r="L301" s="65">
        <f t="shared" si="74"/>
        <v>3965</v>
      </c>
      <c r="M301" s="65">
        <f t="shared" si="74"/>
        <v>2500</v>
      </c>
      <c r="N301" s="66">
        <f t="shared" si="73"/>
        <v>11905.68</v>
      </c>
      <c r="O301" s="66">
        <f t="shared" si="73"/>
        <v>9218.32</v>
      </c>
      <c r="P301" s="69">
        <f t="shared" si="67"/>
        <v>3968.56</v>
      </c>
      <c r="Q301" s="69">
        <f t="shared" si="67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>ROUND(SUM(AB289:AB300),5)</f>
        <v>0</v>
      </c>
      <c r="AC301" s="66">
        <f>ROUND(SUM(AC289:AC300),5)</f>
        <v>0</v>
      </c>
      <c r="AD301" s="66">
        <f>ROUND(SUM(AD289:AD300),5)</f>
        <v>0</v>
      </c>
      <c r="AE301" s="66">
        <f>ROUND(SUM(AE289:AE300),5)</f>
        <v>0</v>
      </c>
    </row>
    <row r="302" spans="1:31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</row>
    <row r="303" spans="1:31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75">ROUND(H303+J303+L303,5)</f>
        <v>4407.63</v>
      </c>
      <c r="O303" s="66">
        <f t="shared" si="75"/>
        <v>7218.32</v>
      </c>
      <c r="P303" s="69">
        <f t="shared" si="67"/>
        <v>1469.21</v>
      </c>
      <c r="Q303" s="69">
        <f t="shared" si="67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</row>
    <row r="304" spans="1:31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75"/>
        <v>62.18</v>
      </c>
      <c r="O304" s="66">
        <f t="shared" si="75"/>
        <v>659.86</v>
      </c>
      <c r="P304" s="69">
        <f t="shared" si="67"/>
        <v>20.726666666666667</v>
      </c>
      <c r="Q304" s="69">
        <f t="shared" si="67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</row>
    <row r="305" spans="1:31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75"/>
        <v>1422.94</v>
      </c>
      <c r="O305" s="66">
        <f t="shared" si="75"/>
        <v>5438.74</v>
      </c>
      <c r="P305" s="69">
        <f t="shared" si="67"/>
        <v>474.31333333333333</v>
      </c>
      <c r="Q305" s="69">
        <f t="shared" si="67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</row>
    <row r="306" spans="1:31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75"/>
        <v>602.46</v>
      </c>
      <c r="O306" s="73">
        <f t="shared" si="75"/>
        <v>756.04</v>
      </c>
      <c r="P306" s="74">
        <f t="shared" si="67"/>
        <v>200.82000000000002</v>
      </c>
      <c r="Q306" s="74">
        <f t="shared" si="67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</row>
    <row r="307" spans="1:31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76">ROUND(SUM(H302:H306),5)</f>
        <v>358.49</v>
      </c>
      <c r="I307" s="63">
        <f t="shared" si="76"/>
        <v>0</v>
      </c>
      <c r="J307" s="64">
        <f t="shared" si="76"/>
        <v>1711.98</v>
      </c>
      <c r="K307" s="64">
        <f t="shared" si="76"/>
        <v>12672.96</v>
      </c>
      <c r="L307" s="65">
        <f t="shared" si="76"/>
        <v>4424.74</v>
      </c>
      <c r="M307" s="65">
        <f t="shared" si="76"/>
        <v>1400</v>
      </c>
      <c r="N307" s="66">
        <f t="shared" si="75"/>
        <v>6495.21</v>
      </c>
      <c r="O307" s="66">
        <f t="shared" si="75"/>
        <v>14072.96</v>
      </c>
      <c r="P307" s="69">
        <f t="shared" si="67"/>
        <v>2165.0700000000002</v>
      </c>
      <c r="Q307" s="69">
        <f t="shared" si="67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>ROUND(SUM(AB302:AB306),5)</f>
        <v>0</v>
      </c>
      <c r="AC307" s="66">
        <f>ROUND(SUM(AC302:AC306),5)</f>
        <v>0</v>
      </c>
      <c r="AD307" s="66">
        <f>ROUND(SUM(AD302:AD306),5)</f>
        <v>0</v>
      </c>
      <c r="AE307" s="66">
        <f>ROUND(SUM(AE302:AE306),5)</f>
        <v>0</v>
      </c>
    </row>
    <row r="308" spans="1:31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</row>
    <row r="309" spans="1:31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77">ROUND(H309+J309+L309,5)</f>
        <v>9703.68</v>
      </c>
      <c r="O309" s="66">
        <f t="shared" si="77"/>
        <v>5278.88</v>
      </c>
      <c r="P309" s="69">
        <f t="shared" si="67"/>
        <v>3234.56</v>
      </c>
      <c r="Q309" s="69">
        <f t="shared" si="67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</row>
    <row r="310" spans="1:31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77"/>
        <v>884.39</v>
      </c>
      <c r="O310" s="66">
        <f t="shared" si="77"/>
        <v>2439.44</v>
      </c>
      <c r="P310" s="69">
        <f t="shared" si="67"/>
        <v>294.79666666666668</v>
      </c>
      <c r="Q310" s="69">
        <f t="shared" si="67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</row>
    <row r="311" spans="1:31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77"/>
        <v>979.97</v>
      </c>
      <c r="O311" s="66">
        <f t="shared" si="77"/>
        <v>6758.46</v>
      </c>
      <c r="P311" s="69">
        <f t="shared" si="67"/>
        <v>326.65666666666669</v>
      </c>
      <c r="Q311" s="69">
        <f t="shared" si="67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</row>
    <row r="312" spans="1:31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77"/>
        <v>404.46</v>
      </c>
      <c r="O312" s="66">
        <f t="shared" si="77"/>
        <v>1679.58</v>
      </c>
      <c r="P312" s="69">
        <f t="shared" si="67"/>
        <v>134.82</v>
      </c>
      <c r="Q312" s="69">
        <f t="shared" si="67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</row>
    <row r="313" spans="1:31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77"/>
        <v>4314.07</v>
      </c>
      <c r="O313" s="66">
        <f t="shared" si="77"/>
        <v>2480.1999999999998</v>
      </c>
      <c r="P313" s="69">
        <f t="shared" si="67"/>
        <v>1438.0233333333333</v>
      </c>
      <c r="Q313" s="69">
        <f t="shared" si="67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</row>
    <row r="314" spans="1:31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77"/>
        <v>487.74</v>
      </c>
      <c r="O314" s="66">
        <f t="shared" si="77"/>
        <v>912.08</v>
      </c>
      <c r="P314" s="69">
        <f t="shared" si="67"/>
        <v>162.58000000000001</v>
      </c>
      <c r="Q314" s="69">
        <f t="shared" si="67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</row>
    <row r="315" spans="1:31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77"/>
        <v>2326.19</v>
      </c>
      <c r="O315" s="66">
        <f t="shared" si="77"/>
        <v>6398.6</v>
      </c>
      <c r="P315" s="69">
        <f t="shared" si="67"/>
        <v>775.39666666666665</v>
      </c>
      <c r="Q315" s="69">
        <f t="shared" si="67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</row>
    <row r="316" spans="1:31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77"/>
        <v>229.23</v>
      </c>
      <c r="O316" s="66">
        <f t="shared" si="77"/>
        <v>2239.44</v>
      </c>
      <c r="P316" s="69">
        <f t="shared" si="67"/>
        <v>76.41</v>
      </c>
      <c r="Q316" s="69">
        <f t="shared" si="67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</row>
    <row r="317" spans="1:31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77"/>
        <v>759.74</v>
      </c>
      <c r="O317" s="66">
        <f t="shared" si="77"/>
        <v>1524.12</v>
      </c>
      <c r="P317" s="69">
        <f t="shared" si="67"/>
        <v>253.24666666666667</v>
      </c>
      <c r="Q317" s="69">
        <f t="shared" si="67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</row>
    <row r="318" spans="1:31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77"/>
        <v>84.4</v>
      </c>
      <c r="O318" s="73">
        <f t="shared" si="77"/>
        <v>0</v>
      </c>
      <c r="P318" s="74">
        <f t="shared" si="67"/>
        <v>28.133333333333336</v>
      </c>
      <c r="Q318" s="74">
        <f t="shared" si="67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</row>
    <row r="319" spans="1:31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78">ROUND(SUM(H308:H318),5)</f>
        <v>5951.81</v>
      </c>
      <c r="I319" s="63">
        <f t="shared" si="78"/>
        <v>0</v>
      </c>
      <c r="J319" s="64">
        <f t="shared" si="78"/>
        <v>9394.2800000000007</v>
      </c>
      <c r="K319" s="64">
        <f t="shared" si="78"/>
        <v>26310.799999999999</v>
      </c>
      <c r="L319" s="65">
        <f t="shared" si="78"/>
        <v>4827.78</v>
      </c>
      <c r="M319" s="65">
        <f t="shared" si="78"/>
        <v>3400</v>
      </c>
      <c r="N319" s="66">
        <f t="shared" si="77"/>
        <v>20173.87</v>
      </c>
      <c r="O319" s="66">
        <f t="shared" si="77"/>
        <v>29710.799999999999</v>
      </c>
      <c r="P319" s="69">
        <f t="shared" si="67"/>
        <v>6724.623333333333</v>
      </c>
      <c r="Q319" s="69">
        <f t="shared" si="67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>ROUND(SUM(AB308:AB318),5)</f>
        <v>0</v>
      </c>
      <c r="AC319" s="66">
        <f>ROUND(SUM(AC308:AC318),5)</f>
        <v>0</v>
      </c>
      <c r="AD319" s="66">
        <f>ROUND(SUM(AD308:AD318),5)</f>
        <v>0</v>
      </c>
      <c r="AE319" s="66">
        <f>ROUND(SUM(AE308:AE318),5)</f>
        <v>0</v>
      </c>
    </row>
    <row r="320" spans="1:31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</row>
    <row r="321" spans="1:33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79">ROUND(H321+J321+L321,5)</f>
        <v>17798.97</v>
      </c>
      <c r="O321" s="66">
        <f t="shared" si="79"/>
        <v>26035.49</v>
      </c>
      <c r="P321" s="69">
        <f t="shared" si="67"/>
        <v>5932.9900000000007</v>
      </c>
      <c r="Q321" s="69">
        <f t="shared" si="67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</row>
    <row r="322" spans="1:33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79"/>
        <v>3570.09</v>
      </c>
      <c r="O322" s="66">
        <f t="shared" si="79"/>
        <v>10078.280000000001</v>
      </c>
      <c r="P322" s="69">
        <f t="shared" si="67"/>
        <v>1190.03</v>
      </c>
      <c r="Q322" s="69">
        <f t="shared" si="67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</row>
    <row r="323" spans="1:33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79"/>
        <v>7211.43</v>
      </c>
      <c r="O323" s="66">
        <f t="shared" si="79"/>
        <v>7893.22</v>
      </c>
      <c r="P323" s="69">
        <f t="shared" si="67"/>
        <v>2403.81</v>
      </c>
      <c r="Q323" s="69">
        <f t="shared" si="67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</row>
    <row r="324" spans="1:33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79"/>
        <v>1219.69</v>
      </c>
      <c r="O324" s="66">
        <f t="shared" si="79"/>
        <v>1271.28</v>
      </c>
      <c r="P324" s="69">
        <f t="shared" ref="P324:Q387" si="80">N324/3</f>
        <v>406.56333333333333</v>
      </c>
      <c r="Q324" s="69">
        <f t="shared" si="80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</row>
    <row r="325" spans="1:33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79"/>
        <v>20508.62</v>
      </c>
      <c r="O325" s="66">
        <f t="shared" si="79"/>
        <v>19153.73</v>
      </c>
      <c r="P325" s="69">
        <f t="shared" si="80"/>
        <v>6836.206666666666</v>
      </c>
      <c r="Q325" s="69">
        <f t="shared" si="80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</row>
    <row r="326" spans="1:33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79"/>
        <v>2276.86</v>
      </c>
      <c r="O326" s="66">
        <f t="shared" si="79"/>
        <v>0</v>
      </c>
      <c r="P326" s="69">
        <f t="shared" si="80"/>
        <v>758.95333333333338</v>
      </c>
      <c r="Q326" s="69">
        <f t="shared" si="80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</row>
    <row r="327" spans="1:33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</row>
    <row r="328" spans="1:33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81">ROUND(SUM(H320:H326),5)</f>
        <v>14703.25</v>
      </c>
      <c r="I328" s="63">
        <f t="shared" si="81"/>
        <v>0</v>
      </c>
      <c r="J328" s="64">
        <f t="shared" si="81"/>
        <v>19844.400000000001</v>
      </c>
      <c r="K328" s="64">
        <f t="shared" si="81"/>
        <v>9669.84</v>
      </c>
      <c r="L328" s="65">
        <f t="shared" si="81"/>
        <v>18038.009999999998</v>
      </c>
      <c r="M328" s="65">
        <f t="shared" si="81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80"/>
        <v>17528.553333333333</v>
      </c>
      <c r="Q328" s="69">
        <f t="shared" si="80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>ROUND(SUM(AB320:AB327),5)</f>
        <v>0</v>
      </c>
      <c r="AC328" s="66">
        <f>ROUND(SUM(AC320:AC327),5)</f>
        <v>0</v>
      </c>
      <c r="AD328" s="66">
        <f>ROUND(SUM(AD320:AD327),5)</f>
        <v>0</v>
      </c>
      <c r="AE328" s="66">
        <f>ROUND(SUM(AE320:AE327),5)</f>
        <v>0</v>
      </c>
    </row>
    <row r="329" spans="1:33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</row>
    <row r="330" spans="1:33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82">ROUND(H330+J330+L330,5)</f>
        <v>291196.26</v>
      </c>
      <c r="O330" s="73">
        <f t="shared" si="82"/>
        <v>74045.47</v>
      </c>
      <c r="P330" s="74">
        <f t="shared" si="80"/>
        <v>97065.42</v>
      </c>
      <c r="Q330" s="74">
        <f t="shared" si="80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</row>
    <row r="331" spans="1:33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83">ROUND(SUM(H329:H330),5)</f>
        <v>70479.55</v>
      </c>
      <c r="I331" s="63">
        <f t="shared" si="83"/>
        <v>74045.47</v>
      </c>
      <c r="J331" s="64">
        <f t="shared" si="83"/>
        <v>78550</v>
      </c>
      <c r="K331" s="64">
        <f t="shared" si="83"/>
        <v>0</v>
      </c>
      <c r="L331" s="65">
        <f t="shared" si="83"/>
        <v>142166.71</v>
      </c>
      <c r="M331" s="65">
        <f t="shared" si="83"/>
        <v>0</v>
      </c>
      <c r="N331" s="66">
        <f t="shared" si="82"/>
        <v>291196.26</v>
      </c>
      <c r="O331" s="66">
        <f t="shared" si="82"/>
        <v>74045.47</v>
      </c>
      <c r="P331" s="69">
        <f t="shared" si="80"/>
        <v>97065.42</v>
      </c>
      <c r="Q331" s="69">
        <f t="shared" si="80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D331" si="84">ROUND(SUM(Z329:Z330),5)</f>
        <v>0</v>
      </c>
      <c r="AA331" s="140"/>
      <c r="AB331" s="66">
        <f t="shared" si="84"/>
        <v>0</v>
      </c>
      <c r="AC331" s="66">
        <f t="shared" si="84"/>
        <v>0</v>
      </c>
      <c r="AD331" s="66">
        <f t="shared" si="84"/>
        <v>0</v>
      </c>
      <c r="AE331" s="66">
        <f t="shared" ref="AE331" si="85">ROUND(SUM(AE329:AE330),5)</f>
        <v>0</v>
      </c>
    </row>
    <row r="332" spans="1:33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82"/>
        <v>0</v>
      </c>
      <c r="O332" s="73">
        <f t="shared" si="82"/>
        <v>61404.95</v>
      </c>
      <c r="P332" s="74">
        <f t="shared" si="80"/>
        <v>0</v>
      </c>
      <c r="Q332" s="74">
        <f t="shared" si="80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</row>
    <row r="333" spans="1:33" ht="26" x14ac:dyDescent="0.6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86">ROUND(SUM(H227:H228)+H234+H257+H263+H280+H288+H301+H307+H319+H328+SUM(H331:H332),5)</f>
        <v>188585.61</v>
      </c>
      <c r="I333" s="63">
        <f t="shared" si="86"/>
        <v>138009</v>
      </c>
      <c r="J333" s="64">
        <f t="shared" si="86"/>
        <v>203924.74</v>
      </c>
      <c r="K333" s="64">
        <f t="shared" si="86"/>
        <v>194923.04</v>
      </c>
      <c r="L333" s="65">
        <f t="shared" si="86"/>
        <v>249596.1</v>
      </c>
      <c r="M333" s="65">
        <f t="shared" si="86"/>
        <v>148293.14000000001</v>
      </c>
      <c r="N333" s="66">
        <f t="shared" si="82"/>
        <v>642106.44999999995</v>
      </c>
      <c r="O333" s="66">
        <f t="shared" si="82"/>
        <v>481225.18</v>
      </c>
      <c r="P333" s="69">
        <f t="shared" si="80"/>
        <v>214035.48333333331</v>
      </c>
      <c r="Q333" s="69">
        <f t="shared" si="80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>ROUND(SUM(AB227:AB228)+AB234+AB257+AB263+AB280+AB288+AB301+AB307+AB319+AB328+SUM(AB331:AB332),5)</f>
        <v>227894.31142000001</v>
      </c>
      <c r="AC333" s="80">
        <f>ROUND(SUM(AC227:AC228)+AC234+AC257+AC263+AC280+AC288+AC301+AC307+AC319+AC328+SUM(AC331:AC332),5)</f>
        <v>227894.31142000001</v>
      </c>
      <c r="AD333" s="80">
        <f>ROUND(SUM(AD227:AD228)+AD234+AD257+AD263+AD280+AD288+AD301+AD307+AD319+AD328+SUM(AD331:AD332),5)</f>
        <v>243375.95202</v>
      </c>
      <c r="AE333" s="80">
        <f>ROUND(SUM(AE227:AE228)+AE234+AE257+AE263+AE280+AE288+AE301+AE307+AE319+AE328+SUM(AE331:AE332),5)</f>
        <v>205210.84</v>
      </c>
      <c r="AF333" s="148">
        <v>0.2</v>
      </c>
      <c r="AG333" s="46" t="s">
        <v>846</v>
      </c>
    </row>
    <row r="334" spans="1:33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146" t="s">
        <v>902</v>
      </c>
      <c r="AG334" s="145">
        <f>L333/L116</f>
        <v>0.2408667028918092</v>
      </c>
    </row>
    <row r="335" spans="1:33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146" t="s">
        <v>903</v>
      </c>
      <c r="AG335" s="145">
        <f>52529.23/295911.24</f>
        <v>0.17751684592988087</v>
      </c>
    </row>
    <row r="336" spans="1:33" ht="47" x14ac:dyDescent="0.55000000000000004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87">ROUND(H336+J336+L336,5)</f>
        <v>21365</v>
      </c>
      <c r="O336" s="66">
        <v>0</v>
      </c>
      <c r="P336" s="69">
        <f t="shared" si="80"/>
        <v>7121.666666666667</v>
      </c>
      <c r="Q336" s="69">
        <f t="shared" si="80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158" t="s">
        <v>940</v>
      </c>
    </row>
    <row r="337" spans="1:33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87"/>
        <v>97979.59</v>
      </c>
      <c r="O337" s="66">
        <f>ROUND(I337+K337+M337,5)</f>
        <v>40000</v>
      </c>
      <c r="P337" s="69">
        <f t="shared" si="80"/>
        <v>32659.863333333331</v>
      </c>
      <c r="Q337" s="69">
        <f t="shared" si="80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</row>
    <row r="338" spans="1:33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87"/>
        <v>22480.97</v>
      </c>
      <c r="O338" s="66">
        <v>0</v>
      </c>
      <c r="P338" s="69">
        <f t="shared" si="80"/>
        <v>7493.6566666666668</v>
      </c>
      <c r="Q338" s="69">
        <f t="shared" si="80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</row>
    <row r="339" spans="1:33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87"/>
        <v>680</v>
      </c>
      <c r="O339" s="66">
        <f>ROUND(I339+K339+M339,5)</f>
        <v>0</v>
      </c>
      <c r="P339" s="69">
        <f t="shared" si="80"/>
        <v>226.66666666666666</v>
      </c>
      <c r="Q339" s="69">
        <f t="shared" si="80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07">
        <v>50000</v>
      </c>
      <c r="AC339" s="107">
        <v>50000</v>
      </c>
      <c r="AD339" s="107">
        <v>50000</v>
      </c>
      <c r="AE339" s="107">
        <v>50000</v>
      </c>
    </row>
    <row r="340" spans="1:33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07">
        <v>50000</v>
      </c>
      <c r="AC340" s="107">
        <v>50000</v>
      </c>
      <c r="AD340" s="107">
        <v>50000</v>
      </c>
      <c r="AE340" s="107">
        <v>50000</v>
      </c>
    </row>
    <row r="341" spans="1:33" ht="16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87"/>
        <v>6830</v>
      </c>
      <c r="O341" s="73">
        <f>ROUND(I341+K341+M341,5)</f>
        <v>26000</v>
      </c>
      <c r="P341" s="74">
        <f t="shared" si="80"/>
        <v>2276.6666666666665</v>
      </c>
      <c r="Q341" s="74">
        <f t="shared" si="80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</row>
    <row r="342" spans="1:33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88">ROUND(SUM(H335:H341),5)</f>
        <v>19670</v>
      </c>
      <c r="I342" s="63">
        <f t="shared" si="88"/>
        <v>0</v>
      </c>
      <c r="J342" s="64">
        <f t="shared" si="88"/>
        <v>94715.56</v>
      </c>
      <c r="K342" s="64">
        <f t="shared" si="88"/>
        <v>26000</v>
      </c>
      <c r="L342" s="65">
        <f t="shared" si="88"/>
        <v>34950</v>
      </c>
      <c r="M342" s="65">
        <f t="shared" si="88"/>
        <v>40000</v>
      </c>
      <c r="N342" s="66">
        <f t="shared" si="87"/>
        <v>149335.56</v>
      </c>
      <c r="O342" s="66">
        <f>ROUND(I342+K342+M342,5)</f>
        <v>66000</v>
      </c>
      <c r="P342" s="69">
        <f t="shared" si="80"/>
        <v>49778.52</v>
      </c>
      <c r="Q342" s="69">
        <f t="shared" si="80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>ROUND(SUM(AB335:AB341),5)</f>
        <v>100000</v>
      </c>
      <c r="AC342" s="80">
        <f>ROUND(SUM(AC335:AC341),5)</f>
        <v>100000</v>
      </c>
      <c r="AD342" s="80">
        <f>ROUND(SUM(AD335:AD341),5)</f>
        <v>100000</v>
      </c>
      <c r="AE342" s="80">
        <f>ROUND(SUM(AE335:AE341),5)</f>
        <v>100000</v>
      </c>
    </row>
    <row r="343" spans="1:33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87"/>
        <v>110000</v>
      </c>
      <c r="O343" s="66">
        <f>ROUND(I343+K343+M343,5)</f>
        <v>135000</v>
      </c>
      <c r="P343" s="69">
        <f t="shared" si="80"/>
        <v>36666.666666666664</v>
      </c>
      <c r="Q343" s="69">
        <f t="shared" si="80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</row>
    <row r="344" spans="1:33" x14ac:dyDescent="0.35">
      <c r="A344" s="66"/>
      <c r="B344" s="66"/>
      <c r="C344" s="49"/>
      <c r="D344" s="49"/>
      <c r="E344" s="49"/>
      <c r="F344" s="49" t="s">
        <v>341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87"/>
        <v>2807</v>
      </c>
      <c r="O344" s="66">
        <f>ROUND(I344+K344+M344,5)</f>
        <v>71745</v>
      </c>
      <c r="P344" s="69">
        <f t="shared" si="80"/>
        <v>935.66666666666663</v>
      </c>
      <c r="Q344" s="69">
        <f t="shared" si="80"/>
        <v>23915</v>
      </c>
      <c r="R344" s="54"/>
      <c r="S344" s="49"/>
      <c r="T344" s="49"/>
      <c r="U344" s="49"/>
      <c r="V344" s="49"/>
      <c r="W344" s="49"/>
      <c r="X344" s="49" t="s">
        <v>341</v>
      </c>
      <c r="Y344" s="49"/>
      <c r="Z344" s="66">
        <v>0</v>
      </c>
      <c r="AA344" s="140"/>
      <c r="AB344" s="82"/>
      <c r="AC344" s="82"/>
      <c r="AD344" s="82"/>
      <c r="AE344" s="82"/>
    </row>
    <row r="345" spans="1:33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87"/>
        <v>600</v>
      </c>
      <c r="O345" s="66">
        <v>0</v>
      </c>
      <c r="P345" s="69">
        <f t="shared" si="80"/>
        <v>200</v>
      </c>
      <c r="Q345" s="69">
        <f t="shared" si="80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</row>
    <row r="346" spans="1:33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87"/>
        <v>4601.16</v>
      </c>
      <c r="O346" s="66">
        <f t="shared" si="87"/>
        <v>5000</v>
      </c>
      <c r="P346" s="69">
        <f t="shared" si="80"/>
        <v>1533.72</v>
      </c>
      <c r="Q346" s="69">
        <f t="shared" si="80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</row>
    <row r="347" spans="1:33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87"/>
        <v>0</v>
      </c>
      <c r="O347" s="66">
        <f t="shared" si="87"/>
        <v>0</v>
      </c>
      <c r="P347" s="69">
        <f t="shared" si="80"/>
        <v>0</v>
      </c>
      <c r="Q347" s="69">
        <f t="shared" si="80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</row>
    <row r="348" spans="1:33" ht="26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87"/>
        <v>55866.65</v>
      </c>
      <c r="O348" s="66">
        <f t="shared" si="87"/>
        <v>39369.230000000003</v>
      </c>
      <c r="P348" s="69">
        <f t="shared" si="80"/>
        <v>18622.216666666667</v>
      </c>
      <c r="Q348" s="69">
        <f t="shared" si="80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G348" s="138" t="s">
        <v>897</v>
      </c>
    </row>
    <row r="349" spans="1:33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87"/>
        <v>12578.7</v>
      </c>
      <c r="O349" s="66">
        <f t="shared" si="87"/>
        <v>11353.85</v>
      </c>
      <c r="P349" s="69">
        <f t="shared" si="80"/>
        <v>4192.9000000000005</v>
      </c>
      <c r="Q349" s="69">
        <f t="shared" si="80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</row>
    <row r="350" spans="1:33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87"/>
        <v>43549.17</v>
      </c>
      <c r="O350" s="66">
        <f t="shared" si="87"/>
        <v>35000</v>
      </c>
      <c r="P350" s="69">
        <f t="shared" si="80"/>
        <v>14516.39</v>
      </c>
      <c r="Q350" s="69">
        <f t="shared" si="80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G350" s="46" t="s">
        <v>895</v>
      </c>
    </row>
    <row r="351" spans="1:33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87"/>
        <v>7760.69</v>
      </c>
      <c r="O351" s="66">
        <f t="shared" si="87"/>
        <v>20000</v>
      </c>
      <c r="P351" s="69">
        <f t="shared" si="80"/>
        <v>2586.8966666666665</v>
      </c>
      <c r="Q351" s="69">
        <f t="shared" si="80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</row>
    <row r="352" spans="1:33" ht="26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87"/>
        <v>44149.02</v>
      </c>
      <c r="O352" s="66">
        <f t="shared" si="87"/>
        <v>34250.04</v>
      </c>
      <c r="P352" s="69">
        <f t="shared" si="80"/>
        <v>14716.339999999998</v>
      </c>
      <c r="Q352" s="69">
        <f t="shared" si="80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G352" s="138" t="s">
        <v>897</v>
      </c>
    </row>
    <row r="353" spans="1:32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87"/>
        <v>1956.11</v>
      </c>
      <c r="O353" s="66">
        <f t="shared" si="87"/>
        <v>22500</v>
      </c>
      <c r="P353" s="69">
        <f t="shared" si="80"/>
        <v>652.03666666666663</v>
      </c>
      <c r="Q353" s="69">
        <f t="shared" si="80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</row>
    <row r="354" spans="1:32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87"/>
        <v>34446</v>
      </c>
      <c r="O354" s="66">
        <f t="shared" si="87"/>
        <v>20748</v>
      </c>
      <c r="P354" s="69">
        <f t="shared" si="80"/>
        <v>11482</v>
      </c>
      <c r="Q354" s="69">
        <f t="shared" si="80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</row>
    <row r="355" spans="1:32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87"/>
        <v>2154.44</v>
      </c>
      <c r="O355" s="66">
        <f t="shared" si="87"/>
        <v>3605</v>
      </c>
      <c r="P355" s="69">
        <f t="shared" si="80"/>
        <v>718.14666666666665</v>
      </c>
      <c r="Q355" s="69">
        <f t="shared" si="80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</row>
    <row r="356" spans="1:32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87"/>
        <v>20339.71</v>
      </c>
      <c r="O356" s="66">
        <f t="shared" si="87"/>
        <v>13000</v>
      </c>
      <c r="P356" s="69">
        <f t="shared" si="80"/>
        <v>6779.9033333333327</v>
      </c>
      <c r="Q356" s="69">
        <f t="shared" si="80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</row>
    <row r="357" spans="1:32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87"/>
        <v>500</v>
      </c>
      <c r="O357" s="66">
        <f t="shared" si="87"/>
        <v>0</v>
      </c>
      <c r="P357" s="69">
        <f t="shared" si="80"/>
        <v>166.66666666666666</v>
      </c>
      <c r="Q357" s="69">
        <f t="shared" si="80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</row>
    <row r="358" spans="1:32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</row>
    <row r="359" spans="1:32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89">ROUND(H359+J359+L359,5)</f>
        <v>84190</v>
      </c>
      <c r="O359" s="66">
        <f t="shared" si="89"/>
        <v>49784.88</v>
      </c>
      <c r="P359" s="69">
        <f t="shared" si="80"/>
        <v>28063.333333333332</v>
      </c>
      <c r="Q359" s="69">
        <f t="shared" si="80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</row>
    <row r="360" spans="1:32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89"/>
        <v>0</v>
      </c>
      <c r="O360" s="73">
        <f t="shared" si="89"/>
        <v>15000</v>
      </c>
      <c r="P360" s="74">
        <f t="shared" si="80"/>
        <v>0</v>
      </c>
      <c r="Q360" s="74">
        <f t="shared" si="80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</row>
    <row r="361" spans="1:32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90">ROUND(SUM(H358:H360),5)</f>
        <v>31425</v>
      </c>
      <c r="I361" s="63">
        <f t="shared" si="90"/>
        <v>15000</v>
      </c>
      <c r="J361" s="64">
        <f t="shared" si="90"/>
        <v>27367.5</v>
      </c>
      <c r="K361" s="64">
        <f t="shared" si="90"/>
        <v>28917.38</v>
      </c>
      <c r="L361" s="65">
        <f t="shared" si="90"/>
        <v>25397.5</v>
      </c>
      <c r="M361" s="65">
        <f t="shared" si="90"/>
        <v>20867.5</v>
      </c>
      <c r="N361" s="66">
        <f t="shared" si="89"/>
        <v>84190</v>
      </c>
      <c r="O361" s="66">
        <f t="shared" si="89"/>
        <v>64784.88</v>
      </c>
      <c r="P361" s="69">
        <f t="shared" si="80"/>
        <v>28063.333333333332</v>
      </c>
      <c r="Q361" s="69">
        <f t="shared" si="80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>ROUND(SUM(AB358:AB360),5)</f>
        <v>0</v>
      </c>
      <c r="AC361" s="80">
        <f>ROUND(SUM(AC358:AC360),5)</f>
        <v>0</v>
      </c>
      <c r="AD361" s="80">
        <f>ROUND(SUM(AD358:AD360),5)</f>
        <v>0</v>
      </c>
      <c r="AE361" s="80">
        <f>ROUND(SUM(AE358:AE360),5)</f>
        <v>0</v>
      </c>
    </row>
    <row r="362" spans="1:32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89"/>
        <v>0</v>
      </c>
      <c r="O362" s="66">
        <f t="shared" si="89"/>
        <v>0</v>
      </c>
      <c r="P362" s="69">
        <f t="shared" si="80"/>
        <v>0</v>
      </c>
      <c r="Q362" s="69">
        <f t="shared" si="80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</row>
    <row r="363" spans="1:32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91">ROUND(H334+SUM(H342:H357)+SUM(H361:H362),5)</f>
        <v>166149.76999999999</v>
      </c>
      <c r="I363" s="83">
        <f t="shared" si="91"/>
        <v>161924.6</v>
      </c>
      <c r="J363" s="84">
        <f t="shared" si="91"/>
        <v>213318.06</v>
      </c>
      <c r="K363" s="84">
        <f t="shared" si="91"/>
        <v>155784.65</v>
      </c>
      <c r="L363" s="85">
        <f t="shared" si="91"/>
        <v>195366.38</v>
      </c>
      <c r="M363" s="85">
        <f t="shared" si="91"/>
        <v>224646.75</v>
      </c>
      <c r="N363" s="86">
        <f t="shared" si="89"/>
        <v>574834.21</v>
      </c>
      <c r="O363" s="86">
        <f t="shared" si="89"/>
        <v>542356</v>
      </c>
      <c r="P363" s="87">
        <f t="shared" si="80"/>
        <v>191611.40333333332</v>
      </c>
      <c r="Q363" s="87">
        <f t="shared" si="80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>ROUND(AB334+SUM(AB342:AB357)+SUM(AB361:AB362),5)</f>
        <v>199017.1</v>
      </c>
      <c r="AC363" s="88">
        <f>ROUND(AC334+SUM(AC342:AC357)+SUM(AC361:AC362),5)</f>
        <v>199017.1</v>
      </c>
      <c r="AD363" s="88">
        <f>ROUND(AD334+SUM(AD342:AD357)+SUM(AD361:AD362),5)</f>
        <v>202281.4</v>
      </c>
      <c r="AE363" s="88">
        <f>ROUND(AE334+SUM(AE342:AE357)+SUM(AE361:AE362),5)</f>
        <v>200781.4</v>
      </c>
    </row>
    <row r="364" spans="1:32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92">ROUND(H226+H333+H363,5)</f>
        <v>354735.38</v>
      </c>
      <c r="I364" s="63">
        <f t="shared" si="92"/>
        <v>299933.59999999998</v>
      </c>
      <c r="J364" s="64">
        <f t="shared" si="92"/>
        <v>417242.8</v>
      </c>
      <c r="K364" s="64">
        <f t="shared" si="92"/>
        <v>350707.69</v>
      </c>
      <c r="L364" s="65">
        <f t="shared" si="92"/>
        <v>444962.48</v>
      </c>
      <c r="M364" s="65">
        <f t="shared" si="92"/>
        <v>372939.89</v>
      </c>
      <c r="N364" s="66">
        <f t="shared" si="89"/>
        <v>1216940.6599999999</v>
      </c>
      <c r="O364" s="66">
        <f t="shared" si="89"/>
        <v>1023581.18</v>
      </c>
      <c r="P364" s="69">
        <f t="shared" si="80"/>
        <v>405646.88666666666</v>
      </c>
      <c r="Q364" s="69">
        <f t="shared" si="80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>ROUND(AB226+AB333+AB363,5)</f>
        <v>426911.41142000002</v>
      </c>
      <c r="AC364" s="66">
        <f>ROUND(AC226+AC333+AC363,5)</f>
        <v>426911.41142000002</v>
      </c>
      <c r="AD364" s="66">
        <f>ROUND(AD226+AD333+AD363,5)</f>
        <v>445657.35201999999</v>
      </c>
      <c r="AE364" s="66">
        <f>ROUND(AE226+AE333+AE363,5)</f>
        <v>405992.24</v>
      </c>
    </row>
    <row r="365" spans="1:32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</row>
    <row r="366" spans="1:32" ht="37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93">ROUND(H366+J366+L366,5)</f>
        <v>65072</v>
      </c>
      <c r="O366" s="66">
        <f t="shared" si="93"/>
        <v>51375.6</v>
      </c>
      <c r="P366" s="69">
        <f t="shared" si="80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151" t="s">
        <v>908</v>
      </c>
    </row>
    <row r="367" spans="1:32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93"/>
        <v>111140.02</v>
      </c>
      <c r="O367" s="66">
        <f t="shared" si="93"/>
        <v>112544.8</v>
      </c>
      <c r="P367" s="69">
        <f t="shared" si="80"/>
        <v>37046.673333333332</v>
      </c>
      <c r="Q367" s="69">
        <f t="shared" si="80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>ROUND(37896.24, 0)</f>
        <v>37896</v>
      </c>
      <c r="AC367" s="66">
        <f>ROUND(37896.24, 0)</f>
        <v>37896</v>
      </c>
      <c r="AD367" s="66">
        <f>ROUND(37896.24, 0)</f>
        <v>37896</v>
      </c>
      <c r="AE367" s="66">
        <f>ROUND(37896.24, 0)</f>
        <v>37896</v>
      </c>
    </row>
    <row r="368" spans="1:32" ht="37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93"/>
        <v>73064.12</v>
      </c>
      <c r="O368" s="66">
        <f t="shared" si="93"/>
        <v>69064.929999999993</v>
      </c>
      <c r="P368" s="69">
        <f t="shared" si="80"/>
        <v>24354.706666666665</v>
      </c>
      <c r="Q368" s="69">
        <f t="shared" si="80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151" t="s">
        <v>907</v>
      </c>
    </row>
    <row r="369" spans="1:33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93"/>
        <v>83751.37</v>
      </c>
      <c r="O369" s="66">
        <f t="shared" si="93"/>
        <v>83288.960000000006</v>
      </c>
      <c r="P369" s="69">
        <f t="shared" si="80"/>
        <v>27917.123333333333</v>
      </c>
      <c r="Q369" s="69">
        <f t="shared" si="80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</row>
    <row r="370" spans="1:33" ht="37.5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93"/>
        <v>28135.19</v>
      </c>
      <c r="O370" s="66">
        <f t="shared" si="93"/>
        <v>34600</v>
      </c>
      <c r="P370" s="69">
        <f t="shared" si="80"/>
        <v>9378.3966666666656</v>
      </c>
      <c r="Q370" s="69">
        <f t="shared" si="80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156" t="s">
        <v>938</v>
      </c>
    </row>
    <row r="371" spans="1:33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94">ROUND(SUM(H365:H370),5)</f>
        <v>114632.84</v>
      </c>
      <c r="I371" s="75">
        <f t="shared" si="94"/>
        <v>107960.9</v>
      </c>
      <c r="J371" s="76">
        <f t="shared" si="94"/>
        <v>123159.01</v>
      </c>
      <c r="K371" s="76">
        <f t="shared" si="94"/>
        <v>112474.39</v>
      </c>
      <c r="L371" s="77">
        <f t="shared" si="94"/>
        <v>123370.85</v>
      </c>
      <c r="M371" s="77">
        <f t="shared" si="94"/>
        <v>130439</v>
      </c>
      <c r="N371" s="78">
        <f t="shared" si="93"/>
        <v>361162.7</v>
      </c>
      <c r="O371" s="78">
        <f t="shared" si="93"/>
        <v>350874.29</v>
      </c>
      <c r="P371" s="79">
        <f t="shared" si="80"/>
        <v>120387.56666666667</v>
      </c>
      <c r="Q371" s="79">
        <f t="shared" si="80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>ROUND(SUM(AB365:AB370),5)</f>
        <v>129087</v>
      </c>
      <c r="AC371" s="80">
        <f>ROUND(SUM(AC365:AC370),5)</f>
        <v>129087</v>
      </c>
      <c r="AD371" s="80">
        <f>ROUND(SUM(AD365:AD370),5)</f>
        <v>129087</v>
      </c>
      <c r="AE371" s="80">
        <f>ROUND(SUM(AE365:AE370),5)</f>
        <v>138803</v>
      </c>
    </row>
    <row r="372" spans="1:33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80"/>
        <v>0</v>
      </c>
      <c r="Q372" s="69">
        <f t="shared" si="80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</row>
    <row r="373" spans="1:33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95">ROUND(H373+J373+L373,5)</f>
        <v>4736691.54</v>
      </c>
      <c r="O373" s="66">
        <f t="shared" si="95"/>
        <v>4809206.6399999997</v>
      </c>
      <c r="P373" s="69">
        <f t="shared" si="80"/>
        <v>1578897.18</v>
      </c>
      <c r="Q373" s="69">
        <f t="shared" si="80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G373" s="46" t="s">
        <v>889</v>
      </c>
    </row>
    <row r="374" spans="1:33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95"/>
        <v>186600.3</v>
      </c>
      <c r="O374" s="66">
        <f t="shared" si="95"/>
        <v>192368.27</v>
      </c>
      <c r="P374" s="69">
        <f t="shared" si="80"/>
        <v>62200.1</v>
      </c>
      <c r="Q374" s="69">
        <f t="shared" si="80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G374" s="46" t="s">
        <v>891</v>
      </c>
    </row>
    <row r="375" spans="1:33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95"/>
        <v>1242428.6000000001</v>
      </c>
      <c r="O375" s="66">
        <f t="shared" si="95"/>
        <v>1421274.67</v>
      </c>
      <c r="P375" s="69">
        <f t="shared" si="80"/>
        <v>414142.8666666667</v>
      </c>
      <c r="Q375" s="69">
        <f t="shared" si="80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G375" s="46" t="s">
        <v>890</v>
      </c>
    </row>
    <row r="376" spans="1:33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96">ROUND(SUM(H372:H375),5)</f>
        <v>1912297.24</v>
      </c>
      <c r="I376" s="75">
        <f t="shared" si="96"/>
        <v>2105179.7200000002</v>
      </c>
      <c r="J376" s="76">
        <f t="shared" si="96"/>
        <v>2104075.4500000002</v>
      </c>
      <c r="K376" s="76">
        <f t="shared" si="96"/>
        <v>2112580.67</v>
      </c>
      <c r="L376" s="77">
        <f t="shared" si="96"/>
        <v>2149347.75</v>
      </c>
      <c r="M376" s="77">
        <f t="shared" si="96"/>
        <v>2205089.19</v>
      </c>
      <c r="N376" s="78">
        <f t="shared" si="95"/>
        <v>6165720.4400000004</v>
      </c>
      <c r="O376" s="78">
        <f t="shared" si="95"/>
        <v>6422849.5800000001</v>
      </c>
      <c r="P376" s="79">
        <f t="shared" si="80"/>
        <v>2055240.1466666667</v>
      </c>
      <c r="Q376" s="79">
        <f t="shared" si="80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>ROUND(SUM(AB372:AB375),5)</f>
        <v>2291617</v>
      </c>
      <c r="AC376" s="80">
        <f>ROUND(SUM(AC372:AC375),5)</f>
        <v>2252385</v>
      </c>
      <c r="AD376" s="80">
        <f>ROUND(SUM(AD372:AD375),5)</f>
        <v>2252385</v>
      </c>
      <c r="AE376" s="80">
        <f>ROUND(SUM(AE372:AE375),5)</f>
        <v>2252385</v>
      </c>
    </row>
    <row r="377" spans="1:33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G377" s="155"/>
    </row>
    <row r="378" spans="1:33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</row>
    <row r="379" spans="1:33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97">ROUND(H379+J379+L379,5)</f>
        <v>4046.28</v>
      </c>
      <c r="O379" s="66">
        <f t="shared" si="97"/>
        <v>3800</v>
      </c>
      <c r="P379" s="69">
        <f t="shared" si="80"/>
        <v>1348.76</v>
      </c>
      <c r="Q379" s="69">
        <f t="shared" si="80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G379" s="81"/>
    </row>
    <row r="380" spans="1:33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97"/>
        <v>614951.03</v>
      </c>
      <c r="O380" s="66">
        <f t="shared" si="97"/>
        <v>486000</v>
      </c>
      <c r="P380" s="69">
        <f t="shared" si="80"/>
        <v>204983.67666666667</v>
      </c>
      <c r="Q380" s="69">
        <f t="shared" si="80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G380" s="81"/>
    </row>
    <row r="381" spans="1:33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97"/>
        <v>8559.83</v>
      </c>
      <c r="O381" s="66">
        <f t="shared" si="97"/>
        <v>12510</v>
      </c>
      <c r="P381" s="69">
        <f t="shared" si="80"/>
        <v>2853.2766666666666</v>
      </c>
      <c r="Q381" s="69">
        <f t="shared" si="80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G381" s="81"/>
    </row>
    <row r="382" spans="1:33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97"/>
        <v>309582.38</v>
      </c>
      <c r="O382" s="66">
        <f t="shared" si="97"/>
        <v>255250</v>
      </c>
      <c r="P382" s="69">
        <f t="shared" si="80"/>
        <v>103194.12666666666</v>
      </c>
      <c r="Q382" s="69">
        <f t="shared" si="80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G382" s="81"/>
    </row>
    <row r="383" spans="1:33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97"/>
        <v>0</v>
      </c>
      <c r="O383" s="66">
        <v>0</v>
      </c>
      <c r="P383" s="69">
        <f t="shared" si="80"/>
        <v>0</v>
      </c>
      <c r="Q383" s="69">
        <f t="shared" si="80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G383" s="81"/>
    </row>
    <row r="384" spans="1:33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97"/>
        <v>563757.04</v>
      </c>
      <c r="O384" s="66">
        <f t="shared" si="97"/>
        <v>385395</v>
      </c>
      <c r="P384" s="69">
        <f t="shared" si="80"/>
        <v>187919.01333333334</v>
      </c>
      <c r="Q384" s="69">
        <f t="shared" si="80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G384" s="81"/>
    </row>
    <row r="385" spans="1:33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97"/>
        <v>1218</v>
      </c>
      <c r="O385" s="66">
        <f t="shared" si="97"/>
        <v>18000</v>
      </c>
      <c r="P385" s="69">
        <f t="shared" si="80"/>
        <v>406</v>
      </c>
      <c r="Q385" s="69">
        <f t="shared" si="80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G385" s="81"/>
    </row>
    <row r="386" spans="1:33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/>
      <c r="AA386" s="140"/>
      <c r="AB386" s="82"/>
      <c r="AC386" s="82"/>
      <c r="AD386" s="82"/>
      <c r="AE386" s="82"/>
      <c r="AG386" s="81"/>
    </row>
    <row r="387" spans="1:33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97"/>
        <v>3483</v>
      </c>
      <c r="O387" s="66">
        <f t="shared" si="97"/>
        <v>13000</v>
      </c>
      <c r="P387" s="69">
        <f t="shared" si="80"/>
        <v>1161</v>
      </c>
      <c r="Q387" s="69">
        <f t="shared" si="80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G387" s="81"/>
    </row>
    <row r="388" spans="1:33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97"/>
        <v>2892.1</v>
      </c>
      <c r="O388" s="66">
        <f t="shared" si="97"/>
        <v>18250</v>
      </c>
      <c r="P388" s="69">
        <f t="shared" ref="P388:Q450" si="98">N388/3</f>
        <v>964.0333333333333</v>
      </c>
      <c r="Q388" s="69">
        <f t="shared" si="98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G388" s="81"/>
    </row>
    <row r="389" spans="1:33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97"/>
        <v>59350</v>
      </c>
      <c r="O389" s="66">
        <f t="shared" si="97"/>
        <v>38500</v>
      </c>
      <c r="P389" s="69">
        <f t="shared" si="98"/>
        <v>19783.333333333332</v>
      </c>
      <c r="Q389" s="69">
        <f t="shared" si="98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G389" s="81"/>
    </row>
    <row r="390" spans="1:33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97"/>
        <v>123607.99</v>
      </c>
      <c r="O390" s="66">
        <f t="shared" si="97"/>
        <v>94000</v>
      </c>
      <c r="P390" s="69">
        <f t="shared" si="98"/>
        <v>41202.663333333338</v>
      </c>
      <c r="Q390" s="69">
        <f t="shared" si="98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G390" s="81"/>
    </row>
    <row r="391" spans="1:33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97"/>
        <v>1886.2</v>
      </c>
      <c r="O391" s="66">
        <f t="shared" si="97"/>
        <v>3000</v>
      </c>
      <c r="P391" s="69">
        <f t="shared" si="98"/>
        <v>628.73333333333335</v>
      </c>
      <c r="Q391" s="69">
        <f t="shared" si="98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G391" s="81"/>
    </row>
    <row r="392" spans="1:33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97"/>
        <v>103295.59</v>
      </c>
      <c r="O392" s="66">
        <f t="shared" si="97"/>
        <v>55000</v>
      </c>
      <c r="P392" s="69">
        <f t="shared" si="98"/>
        <v>34431.863333333335</v>
      </c>
      <c r="Q392" s="69">
        <f t="shared" si="98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G392" s="81"/>
    </row>
    <row r="393" spans="1:33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97"/>
        <v>35000</v>
      </c>
      <c r="O393" s="66">
        <f t="shared" si="97"/>
        <v>35000</v>
      </c>
      <c r="P393" s="69">
        <f t="shared" si="98"/>
        <v>11666.666666666666</v>
      </c>
      <c r="Q393" s="69">
        <f t="shared" si="98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G393" s="81"/>
    </row>
    <row r="394" spans="1:33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97"/>
        <v>37071.82</v>
      </c>
      <c r="O394" s="66">
        <f t="shared" si="97"/>
        <v>21012</v>
      </c>
      <c r="P394" s="69">
        <f t="shared" si="98"/>
        <v>12357.273333333333</v>
      </c>
      <c r="Q394" s="69">
        <f t="shared" si="98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G394" s="81"/>
    </row>
    <row r="395" spans="1:33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99">ROUND(H395+J395+L395,5)</f>
        <v>8975</v>
      </c>
      <c r="O395" s="66">
        <f t="shared" si="99"/>
        <v>9000</v>
      </c>
      <c r="P395" s="69">
        <f t="shared" si="98"/>
        <v>2991.6666666666665</v>
      </c>
      <c r="Q395" s="69">
        <f t="shared" si="98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G395" s="81"/>
    </row>
    <row r="396" spans="1:33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99"/>
        <v>52589.599999999999</v>
      </c>
      <c r="O396" s="66">
        <f t="shared" si="99"/>
        <v>30000</v>
      </c>
      <c r="P396" s="69">
        <f t="shared" si="98"/>
        <v>17529.866666666665</v>
      </c>
      <c r="Q396" s="69">
        <f t="shared" si="98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G396" s="81"/>
    </row>
    <row r="397" spans="1:33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99"/>
        <v>7521.01</v>
      </c>
      <c r="O397" s="66">
        <f t="shared" si="99"/>
        <v>33000</v>
      </c>
      <c r="P397" s="69">
        <f t="shared" si="98"/>
        <v>2507.0033333333336</v>
      </c>
      <c r="Q397" s="69">
        <f t="shared" si="98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G397" s="81"/>
    </row>
    <row r="398" spans="1:33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99"/>
        <v>0</v>
      </c>
      <c r="O398" s="66">
        <f t="shared" si="99"/>
        <v>600</v>
      </c>
      <c r="P398" s="69">
        <f t="shared" si="98"/>
        <v>0</v>
      </c>
      <c r="Q398" s="69">
        <f t="shared" si="98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G398" s="81"/>
    </row>
    <row r="399" spans="1:33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99"/>
        <v>0</v>
      </c>
      <c r="O399" s="66">
        <f t="shared" si="99"/>
        <v>2000</v>
      </c>
      <c r="P399" s="69">
        <f t="shared" si="98"/>
        <v>0</v>
      </c>
      <c r="Q399" s="69">
        <f t="shared" si="98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G399" s="81"/>
    </row>
    <row r="400" spans="1:33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99"/>
        <v>17586.919999999998</v>
      </c>
      <c r="O400" s="66">
        <f t="shared" si="99"/>
        <v>14000</v>
      </c>
      <c r="P400" s="69">
        <f t="shared" si="98"/>
        <v>5862.3066666666664</v>
      </c>
      <c r="Q400" s="69">
        <f t="shared" si="98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G400" s="81"/>
    </row>
    <row r="401" spans="1:33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99"/>
        <v>263874.56</v>
      </c>
      <c r="O401" s="66">
        <f t="shared" si="99"/>
        <v>238680</v>
      </c>
      <c r="P401" s="69">
        <f t="shared" si="98"/>
        <v>87958.186666666661</v>
      </c>
      <c r="Q401" s="69">
        <f t="shared" si="98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G401" s="81"/>
    </row>
    <row r="402" spans="1:33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99"/>
        <v>40633.14</v>
      </c>
      <c r="O402" s="66">
        <f t="shared" si="99"/>
        <v>30000</v>
      </c>
      <c r="P402" s="69">
        <f t="shared" si="98"/>
        <v>13544.38</v>
      </c>
      <c r="Q402" s="69">
        <f t="shared" si="98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G402" s="81"/>
    </row>
    <row r="403" spans="1:33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G403" s="81"/>
    </row>
    <row r="404" spans="1:33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98"/>
        <v>6954.9000000000005</v>
      </c>
      <c r="Q404" s="74">
        <f t="shared" si="98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G404" s="81"/>
    </row>
    <row r="405" spans="1:33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100">ROUND(SUM(H403:H404),5)</f>
        <v>4300</v>
      </c>
      <c r="I405" s="63">
        <f t="shared" si="100"/>
        <v>5000</v>
      </c>
      <c r="J405" s="64">
        <f t="shared" si="100"/>
        <v>13564.7</v>
      </c>
      <c r="K405" s="64">
        <f t="shared" si="100"/>
        <v>5000</v>
      </c>
      <c r="L405" s="65">
        <f t="shared" si="100"/>
        <v>3000</v>
      </c>
      <c r="M405" s="65">
        <f t="shared" si="100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98"/>
        <v>6954.9000000000005</v>
      </c>
      <c r="Q405" s="69">
        <f t="shared" si="98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G405" s="81"/>
    </row>
    <row r="406" spans="1:33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101">ROUND(H406+J406+L406,5)</f>
        <v>105788.02</v>
      </c>
      <c r="O406" s="66"/>
      <c r="P406" s="69">
        <f t="shared" si="98"/>
        <v>35262.673333333332</v>
      </c>
      <c r="Q406" s="69">
        <f t="shared" si="98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G406" s="81"/>
    </row>
    <row r="407" spans="1:33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101"/>
        <v>27888.79</v>
      </c>
      <c r="O407" s="66">
        <f t="shared" si="101"/>
        <v>14500</v>
      </c>
      <c r="P407" s="69">
        <f t="shared" si="98"/>
        <v>9296.2633333333342</v>
      </c>
      <c r="Q407" s="69">
        <f t="shared" si="98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G407" s="81"/>
    </row>
    <row r="408" spans="1:33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101"/>
        <v>1953.33</v>
      </c>
      <c r="O408" s="66">
        <f t="shared" si="101"/>
        <v>6000</v>
      </c>
      <c r="P408" s="69">
        <f t="shared" si="98"/>
        <v>651.11</v>
      </c>
      <c r="Q408" s="69">
        <f t="shared" si="98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G408" s="81"/>
    </row>
    <row r="409" spans="1:33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101"/>
        <v>30325</v>
      </c>
      <c r="O409" s="66">
        <f t="shared" si="101"/>
        <v>48125</v>
      </c>
      <c r="P409" s="69">
        <f t="shared" si="98"/>
        <v>10108.333333333334</v>
      </c>
      <c r="Q409" s="69">
        <f t="shared" si="98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G409" s="81"/>
    </row>
    <row r="410" spans="1:33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101"/>
        <v>27786.38</v>
      </c>
      <c r="O410" s="66">
        <f t="shared" si="101"/>
        <v>28000</v>
      </c>
      <c r="P410" s="69">
        <f t="shared" si="98"/>
        <v>9262.126666666667</v>
      </c>
      <c r="Q410" s="69">
        <f t="shared" si="98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G410" s="81"/>
    </row>
    <row r="411" spans="1:33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101"/>
        <v>26434.84</v>
      </c>
      <c r="O411" s="66">
        <f t="shared" si="101"/>
        <v>22000</v>
      </c>
      <c r="P411" s="69">
        <f t="shared" si="98"/>
        <v>8811.6133333333328</v>
      </c>
      <c r="Q411" s="69">
        <f t="shared" si="98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G411" s="81"/>
    </row>
    <row r="412" spans="1:33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101"/>
        <v>345.05</v>
      </c>
      <c r="O412" s="66">
        <f t="shared" si="101"/>
        <v>5000</v>
      </c>
      <c r="P412" s="69">
        <f t="shared" si="98"/>
        <v>115.01666666666667</v>
      </c>
      <c r="Q412" s="69">
        <f t="shared" si="98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G412" s="81"/>
    </row>
    <row r="413" spans="1:33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101"/>
        <v>3188.14</v>
      </c>
      <c r="O413" s="66">
        <v>0</v>
      </c>
      <c r="P413" s="69">
        <f t="shared" si="98"/>
        <v>1062.7133333333334</v>
      </c>
      <c r="Q413" s="69">
        <f t="shared" si="98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G413" s="81"/>
    </row>
    <row r="414" spans="1:33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101"/>
        <v>15583.87</v>
      </c>
      <c r="O414" s="66">
        <f t="shared" si="101"/>
        <v>20000</v>
      </c>
      <c r="P414" s="69">
        <f t="shared" si="98"/>
        <v>5194.6233333333339</v>
      </c>
      <c r="Q414" s="69">
        <f t="shared" si="98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G414" s="81"/>
    </row>
    <row r="415" spans="1:33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101"/>
        <v>4107.4799999999996</v>
      </c>
      <c r="O415" s="66">
        <f t="shared" si="101"/>
        <v>8000</v>
      </c>
      <c r="P415" s="69">
        <f t="shared" si="98"/>
        <v>1369.1599999999999</v>
      </c>
      <c r="Q415" s="69">
        <f t="shared" si="98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G415" s="81"/>
    </row>
    <row r="416" spans="1:33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101"/>
        <v>10387.33</v>
      </c>
      <c r="O416" s="66">
        <f t="shared" si="101"/>
        <v>11000</v>
      </c>
      <c r="P416" s="69">
        <f t="shared" si="98"/>
        <v>3462.4433333333332</v>
      </c>
      <c r="Q416" s="69">
        <f t="shared" si="98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G416" s="81"/>
    </row>
    <row r="417" spans="1:38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101"/>
        <v>123299.08</v>
      </c>
      <c r="O417" s="66">
        <f t="shared" si="101"/>
        <v>180000</v>
      </c>
      <c r="P417" s="69">
        <f t="shared" si="98"/>
        <v>41099.693333333336</v>
      </c>
      <c r="Q417" s="69">
        <f t="shared" si="98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G417" s="81"/>
    </row>
    <row r="418" spans="1:38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101"/>
        <v>53539.32</v>
      </c>
      <c r="O418" s="66">
        <f t="shared" si="101"/>
        <v>120000</v>
      </c>
      <c r="P418" s="69">
        <f t="shared" si="98"/>
        <v>17846.439999999999</v>
      </c>
      <c r="Q418" s="69">
        <f t="shared" si="98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G418" s="81"/>
    </row>
    <row r="419" spans="1:38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101"/>
        <v>81778</v>
      </c>
      <c r="O419" s="66">
        <f t="shared" si="101"/>
        <v>99652</v>
      </c>
      <c r="P419" s="69">
        <f t="shared" si="98"/>
        <v>27259.333333333332</v>
      </c>
      <c r="Q419" s="69">
        <f t="shared" si="98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G419" s="81"/>
    </row>
    <row r="420" spans="1:38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101"/>
        <v>148630.20000000001</v>
      </c>
      <c r="O420" s="66">
        <f t="shared" si="101"/>
        <v>100000</v>
      </c>
      <c r="P420" s="69">
        <f t="shared" si="98"/>
        <v>49543.4</v>
      </c>
      <c r="Q420" s="69">
        <f t="shared" si="98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G420" s="81"/>
    </row>
    <row r="421" spans="1:38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101"/>
        <v>1435.5</v>
      </c>
      <c r="O421" s="66">
        <f t="shared" si="101"/>
        <v>10500</v>
      </c>
      <c r="P421" s="69">
        <f t="shared" si="98"/>
        <v>478.5</v>
      </c>
      <c r="Q421" s="69">
        <f t="shared" si="98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G421" s="81"/>
    </row>
    <row r="422" spans="1:38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101"/>
        <v>32871.629999999997</v>
      </c>
      <c r="O422" s="66">
        <f t="shared" si="101"/>
        <v>58400</v>
      </c>
      <c r="P422" s="69">
        <f t="shared" si="98"/>
        <v>10957.21</v>
      </c>
      <c r="Q422" s="69">
        <f t="shared" si="98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G422" s="81"/>
    </row>
    <row r="423" spans="1:38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102">ROUND(SUM(H378:H402)+SUM(H405:H422),5)</f>
        <v>971394.67</v>
      </c>
      <c r="I423" s="75">
        <f t="shared" si="102"/>
        <v>759280</v>
      </c>
      <c r="J423" s="76">
        <f t="shared" si="102"/>
        <v>1081537.1200000001</v>
      </c>
      <c r="K423" s="76">
        <f t="shared" si="102"/>
        <v>896198</v>
      </c>
      <c r="L423" s="77">
        <f t="shared" si="102"/>
        <v>923156.36</v>
      </c>
      <c r="M423" s="77">
        <f t="shared" si="102"/>
        <v>887696</v>
      </c>
      <c r="N423" s="78">
        <f t="shared" si="101"/>
        <v>2976088.15</v>
      </c>
      <c r="O423" s="78">
        <f t="shared" si="101"/>
        <v>2543174</v>
      </c>
      <c r="P423" s="79">
        <f t="shared" si="98"/>
        <v>992029.3833333333</v>
      </c>
      <c r="Q423" s="79">
        <f t="shared" si="98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>ROUND(SUM(AB378:AB422),5)</f>
        <v>904046</v>
      </c>
      <c r="AC423" s="80">
        <f>ROUND(SUM(AC378:AC422),5)</f>
        <v>904046</v>
      </c>
      <c r="AD423" s="80">
        <f>ROUND(SUM(AD378:AD422),5)</f>
        <v>904046</v>
      </c>
      <c r="AE423" s="80">
        <f>ROUND(SUM(AE378:AE422),5)</f>
        <v>904046</v>
      </c>
      <c r="AG423" s="127">
        <f>AB215-AB423</f>
        <v>-28046</v>
      </c>
    </row>
    <row r="424" spans="1:38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G424" s="128" t="s">
        <v>892</v>
      </c>
    </row>
    <row r="425" spans="1:38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98"/>
        <v>3054.66</v>
      </c>
      <c r="Q425" s="69">
        <f t="shared" si="98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</row>
    <row r="426" spans="1:38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98"/>
        <v>1456.0866666666668</v>
      </c>
      <c r="Q426" s="69">
        <f t="shared" si="98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</row>
    <row r="427" spans="1:38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98"/>
        <v>4510.7466666666669</v>
      </c>
      <c r="Q427" s="87">
        <f t="shared" si="98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>ROUND(SUM(AB424:AB426),5)</f>
        <v>0</v>
      </c>
      <c r="AC427" s="88">
        <f>ROUND(SUM(AC424:AC426),5)</f>
        <v>0</v>
      </c>
      <c r="AD427" s="88">
        <f>ROUND(SUM(AD424:AD426),5)</f>
        <v>0</v>
      </c>
      <c r="AE427" s="88">
        <f>ROUND(SUM(AE424:AE426),5)</f>
        <v>0</v>
      </c>
    </row>
    <row r="428" spans="1:38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103">ROUND(H377+H423+H427,5)</f>
        <v>971394.67</v>
      </c>
      <c r="I428" s="63">
        <f t="shared" si="103"/>
        <v>759280</v>
      </c>
      <c r="J428" s="64">
        <f t="shared" si="103"/>
        <v>1094481.01</v>
      </c>
      <c r="K428" s="64">
        <f t="shared" si="103"/>
        <v>896198</v>
      </c>
      <c r="L428" s="65">
        <f t="shared" si="103"/>
        <v>923744.71</v>
      </c>
      <c r="M428" s="65">
        <f t="shared" si="103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98"/>
        <v>996540.13</v>
      </c>
      <c r="Q428" s="69">
        <f t="shared" si="98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>ROUND(AB377+AB423+AB427,5)</f>
        <v>904046</v>
      </c>
      <c r="AC428" s="66">
        <f>ROUND(AC377+AC423+AC427,5)</f>
        <v>904046</v>
      </c>
      <c r="AD428" s="66">
        <f>ROUND(AD377+AD423+AD427,5)</f>
        <v>904046</v>
      </c>
      <c r="AE428" s="66">
        <f>ROUND(AE377+AE423+AE427,5)</f>
        <v>904046</v>
      </c>
    </row>
    <row r="429" spans="1:38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98"/>
        <v>0</v>
      </c>
      <c r="Q429" s="69">
        <f t="shared" si="98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</row>
    <row r="430" spans="1:38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98"/>
        <v>0</v>
      </c>
      <c r="Q430" s="69">
        <f t="shared" si="98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G430" s="111">
        <v>20000</v>
      </c>
    </row>
    <row r="431" spans="1:38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104">ROUND(H431+J431+L431,5)</f>
        <v>22454.45</v>
      </c>
      <c r="O431" s="66">
        <f t="shared" si="104"/>
        <v>22500</v>
      </c>
      <c r="P431" s="69">
        <f t="shared" si="98"/>
        <v>7484.8166666666666</v>
      </c>
      <c r="Q431" s="69">
        <f t="shared" si="98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f>AG431</f>
        <v>8862.5</v>
      </c>
      <c r="AD431" s="66">
        <f>AG431</f>
        <v>8862.5</v>
      </c>
      <c r="AE431" s="66">
        <v>9000</v>
      </c>
      <c r="AG431" s="112">
        <f>4800+AL431</f>
        <v>8862.5</v>
      </c>
      <c r="AH431" s="81">
        <f>AB431-Z431</f>
        <v>0</v>
      </c>
      <c r="AI431" s="81">
        <f t="shared" ref="AI431:AI441" si="105">AC431-AB431</f>
        <v>-137.5</v>
      </c>
      <c r="AJ431" s="46">
        <v>13</v>
      </c>
      <c r="AK431" s="131">
        <f>AJ431/$AJ$441</f>
        <v>0.203125</v>
      </c>
      <c r="AL431" s="111">
        <f>$AG$430*AK431</f>
        <v>4062.5</v>
      </c>
    </row>
    <row r="432" spans="1:38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104"/>
        <v>13414.87</v>
      </c>
      <c r="O432" s="66">
        <f t="shared" si="104"/>
        <v>22500</v>
      </c>
      <c r="P432" s="69">
        <f t="shared" si="98"/>
        <v>4471.6233333333339</v>
      </c>
      <c r="Q432" s="69">
        <f t="shared" si="98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f t="shared" ref="AC432:AC440" si="106">AG432</f>
        <v>6987.5</v>
      </c>
      <c r="AD432" s="66">
        <f t="shared" ref="AD432:AD440" si="107">AG432</f>
        <v>6987.5</v>
      </c>
      <c r="AE432" s="66">
        <v>9000</v>
      </c>
      <c r="AG432" s="112">
        <f t="shared" ref="AG432:AG440" si="108">4800+AL432</f>
        <v>6987.5</v>
      </c>
      <c r="AH432" s="81">
        <f t="shared" ref="AH432:AH489" si="109">AB432-Z432</f>
        <v>0</v>
      </c>
      <c r="AI432" s="81">
        <f t="shared" si="105"/>
        <v>-2012.5</v>
      </c>
      <c r="AJ432" s="46">
        <v>7</v>
      </c>
      <c r="AK432" s="131">
        <f t="shared" ref="AK432:AK440" si="110">AJ432/$AJ$441</f>
        <v>0.109375</v>
      </c>
      <c r="AL432" s="111">
        <f t="shared" ref="AL432:AL440" si="111">$AG$430*AK432</f>
        <v>2187.5</v>
      </c>
    </row>
    <row r="433" spans="1:38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104"/>
        <v>14590.26</v>
      </c>
      <c r="O433" s="66">
        <f t="shared" si="104"/>
        <v>22500</v>
      </c>
      <c r="P433" s="69">
        <f t="shared" si="98"/>
        <v>4863.42</v>
      </c>
      <c r="Q433" s="69">
        <f t="shared" si="98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f t="shared" si="106"/>
        <v>6675</v>
      </c>
      <c r="AD433" s="66">
        <f t="shared" si="107"/>
        <v>6675</v>
      </c>
      <c r="AE433" s="66">
        <v>9000</v>
      </c>
      <c r="AG433" s="112">
        <f t="shared" si="108"/>
        <v>6675</v>
      </c>
      <c r="AH433" s="81">
        <f t="shared" si="109"/>
        <v>0</v>
      </c>
      <c r="AI433" s="81">
        <f t="shared" si="105"/>
        <v>-2325</v>
      </c>
      <c r="AJ433" s="46">
        <v>6</v>
      </c>
      <c r="AK433" s="131">
        <f t="shared" si="110"/>
        <v>9.375E-2</v>
      </c>
      <c r="AL433" s="111">
        <f t="shared" si="111"/>
        <v>1875</v>
      </c>
    </row>
    <row r="434" spans="1:38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104"/>
        <v>11509.98</v>
      </c>
      <c r="O434" s="66">
        <f t="shared" si="104"/>
        <v>22500</v>
      </c>
      <c r="P434" s="69">
        <f t="shared" si="98"/>
        <v>3836.66</v>
      </c>
      <c r="Q434" s="69">
        <f t="shared" si="98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f t="shared" si="106"/>
        <v>6987.5</v>
      </c>
      <c r="AD434" s="66">
        <f t="shared" si="107"/>
        <v>6987.5</v>
      </c>
      <c r="AE434" s="66">
        <v>9000</v>
      </c>
      <c r="AG434" s="112">
        <f t="shared" si="108"/>
        <v>6987.5</v>
      </c>
      <c r="AH434" s="81">
        <f t="shared" si="109"/>
        <v>0</v>
      </c>
      <c r="AI434" s="81">
        <f t="shared" si="105"/>
        <v>-2012.5</v>
      </c>
      <c r="AJ434" s="46">
        <v>7</v>
      </c>
      <c r="AK434" s="131">
        <f t="shared" si="110"/>
        <v>0.109375</v>
      </c>
      <c r="AL434" s="111">
        <f t="shared" si="111"/>
        <v>2187.5</v>
      </c>
    </row>
    <row r="435" spans="1:38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104"/>
        <v>19031.37</v>
      </c>
      <c r="O435" s="66">
        <f t="shared" si="104"/>
        <v>22500</v>
      </c>
      <c r="P435" s="69">
        <f t="shared" si="98"/>
        <v>6343.79</v>
      </c>
      <c r="Q435" s="69">
        <f t="shared" si="98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f t="shared" si="106"/>
        <v>7300</v>
      </c>
      <c r="AD435" s="66">
        <f t="shared" si="107"/>
        <v>7300</v>
      </c>
      <c r="AE435" s="66">
        <v>9000</v>
      </c>
      <c r="AG435" s="112">
        <f t="shared" si="108"/>
        <v>7300</v>
      </c>
      <c r="AH435" s="81">
        <f t="shared" si="109"/>
        <v>0</v>
      </c>
      <c r="AI435" s="81">
        <f t="shared" si="105"/>
        <v>-1700</v>
      </c>
      <c r="AJ435" s="46">
        <v>8</v>
      </c>
      <c r="AK435" s="131">
        <f t="shared" si="110"/>
        <v>0.125</v>
      </c>
      <c r="AL435" s="111">
        <f t="shared" si="111"/>
        <v>2500</v>
      </c>
    </row>
    <row r="436" spans="1:38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104"/>
        <v>19829.439999999999</v>
      </c>
      <c r="O436" s="66">
        <f t="shared" si="104"/>
        <v>22500</v>
      </c>
      <c r="P436" s="69">
        <f t="shared" si="98"/>
        <v>6609.8133333333326</v>
      </c>
      <c r="Q436" s="69">
        <f t="shared" si="98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f t="shared" si="106"/>
        <v>6987.5</v>
      </c>
      <c r="AD436" s="66">
        <f t="shared" si="107"/>
        <v>6987.5</v>
      </c>
      <c r="AE436" s="66">
        <v>9000</v>
      </c>
      <c r="AG436" s="112">
        <f t="shared" si="108"/>
        <v>6987.5</v>
      </c>
      <c r="AH436" s="81">
        <f t="shared" si="109"/>
        <v>0</v>
      </c>
      <c r="AI436" s="81">
        <f t="shared" si="105"/>
        <v>-2012.5</v>
      </c>
      <c r="AJ436" s="46">
        <v>7</v>
      </c>
      <c r="AK436" s="131">
        <f t="shared" si="110"/>
        <v>0.109375</v>
      </c>
      <c r="AL436" s="111">
        <f t="shared" si="111"/>
        <v>2187.5</v>
      </c>
    </row>
    <row r="437" spans="1:38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104"/>
        <v>6373.1</v>
      </c>
      <c r="O437" s="66">
        <f t="shared" si="104"/>
        <v>22500</v>
      </c>
      <c r="P437" s="69">
        <f t="shared" si="98"/>
        <v>2124.3666666666668</v>
      </c>
      <c r="Q437" s="69">
        <f t="shared" si="98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f t="shared" si="106"/>
        <v>6675</v>
      </c>
      <c r="AD437" s="66">
        <f t="shared" si="107"/>
        <v>6675</v>
      </c>
      <c r="AE437" s="66">
        <v>9000</v>
      </c>
      <c r="AG437" s="112">
        <f t="shared" si="108"/>
        <v>6675</v>
      </c>
      <c r="AH437" s="81">
        <f t="shared" si="109"/>
        <v>0</v>
      </c>
      <c r="AI437" s="81">
        <f t="shared" si="105"/>
        <v>-2325</v>
      </c>
      <c r="AJ437" s="46">
        <v>6</v>
      </c>
      <c r="AK437" s="131">
        <f t="shared" si="110"/>
        <v>9.375E-2</v>
      </c>
      <c r="AL437" s="111">
        <f t="shared" si="111"/>
        <v>1875</v>
      </c>
    </row>
    <row r="438" spans="1:38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104"/>
        <v>18080.3</v>
      </c>
      <c r="O438" s="66">
        <f t="shared" si="104"/>
        <v>22500</v>
      </c>
      <c r="P438" s="69">
        <f t="shared" si="98"/>
        <v>6026.7666666666664</v>
      </c>
      <c r="Q438" s="69">
        <f t="shared" si="98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f t="shared" si="106"/>
        <v>5737.5</v>
      </c>
      <c r="AD438" s="66">
        <f t="shared" si="107"/>
        <v>5737.5</v>
      </c>
      <c r="AE438" s="66">
        <v>9000</v>
      </c>
      <c r="AG438" s="112">
        <f t="shared" si="108"/>
        <v>5737.5</v>
      </c>
      <c r="AH438" s="81">
        <f t="shared" si="109"/>
        <v>0</v>
      </c>
      <c r="AI438" s="81">
        <f t="shared" si="105"/>
        <v>-3262.5</v>
      </c>
      <c r="AJ438" s="46">
        <v>3</v>
      </c>
      <c r="AK438" s="131">
        <f t="shared" si="110"/>
        <v>4.6875E-2</v>
      </c>
      <c r="AL438" s="111">
        <f t="shared" si="111"/>
        <v>937.5</v>
      </c>
    </row>
    <row r="439" spans="1:38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104"/>
        <v>7603.5</v>
      </c>
      <c r="O439" s="66">
        <f t="shared" si="104"/>
        <v>22500</v>
      </c>
      <c r="P439" s="69">
        <f t="shared" si="98"/>
        <v>2534.5</v>
      </c>
      <c r="Q439" s="69">
        <f t="shared" si="98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f t="shared" si="106"/>
        <v>5737.5</v>
      </c>
      <c r="AD439" s="66">
        <f t="shared" si="107"/>
        <v>5737.5</v>
      </c>
      <c r="AE439" s="66">
        <v>9000</v>
      </c>
      <c r="AG439" s="112">
        <f t="shared" si="108"/>
        <v>5737.5</v>
      </c>
      <c r="AH439" s="81">
        <f t="shared" si="109"/>
        <v>0</v>
      </c>
      <c r="AI439" s="81">
        <f t="shared" si="105"/>
        <v>-3262.5</v>
      </c>
      <c r="AJ439" s="46">
        <v>3</v>
      </c>
      <c r="AK439" s="131">
        <f t="shared" si="110"/>
        <v>4.6875E-2</v>
      </c>
      <c r="AL439" s="111">
        <f t="shared" si="111"/>
        <v>937.5</v>
      </c>
    </row>
    <row r="440" spans="1:38" ht="16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104"/>
        <v>10711.38</v>
      </c>
      <c r="O440" s="73">
        <f t="shared" si="104"/>
        <v>22500</v>
      </c>
      <c r="P440" s="74">
        <f t="shared" si="98"/>
        <v>3570.4599999999996</v>
      </c>
      <c r="Q440" s="74">
        <f t="shared" si="98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f t="shared" si="106"/>
        <v>6050</v>
      </c>
      <c r="AD440" s="66">
        <f t="shared" si="107"/>
        <v>6050</v>
      </c>
      <c r="AE440" s="66">
        <v>9000</v>
      </c>
      <c r="AG440" s="112">
        <f t="shared" si="108"/>
        <v>6050</v>
      </c>
      <c r="AH440" s="81">
        <f t="shared" si="109"/>
        <v>0</v>
      </c>
      <c r="AI440" s="81">
        <f t="shared" si="105"/>
        <v>-2950</v>
      </c>
      <c r="AJ440" s="46">
        <v>4</v>
      </c>
      <c r="AK440" s="131">
        <f t="shared" si="110"/>
        <v>6.25E-2</v>
      </c>
      <c r="AL440" s="111">
        <f t="shared" si="111"/>
        <v>1250</v>
      </c>
    </row>
    <row r="441" spans="1:38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112">ROUND(SUM(H430:H440),5)</f>
        <v>39609.57</v>
      </c>
      <c r="I441" s="63">
        <f t="shared" si="112"/>
        <v>75000</v>
      </c>
      <c r="J441" s="64">
        <f t="shared" si="112"/>
        <v>50436.92</v>
      </c>
      <c r="K441" s="64">
        <f t="shared" si="112"/>
        <v>75000</v>
      </c>
      <c r="L441" s="65">
        <f t="shared" si="112"/>
        <v>53552.160000000003</v>
      </c>
      <c r="M441" s="65">
        <f t="shared" si="112"/>
        <v>75000</v>
      </c>
      <c r="N441" s="66">
        <f t="shared" si="104"/>
        <v>143598.65</v>
      </c>
      <c r="O441" s="66">
        <f t="shared" si="104"/>
        <v>225000</v>
      </c>
      <c r="P441" s="69">
        <f t="shared" si="98"/>
        <v>47866.216666666667</v>
      </c>
      <c r="Q441" s="69">
        <f t="shared" si="98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>ROUND(SUM(AB430:AB440),5)</f>
        <v>90000</v>
      </c>
      <c r="AC441" s="80">
        <f>ROUND(SUM(AC430:AC440),5)</f>
        <v>68000</v>
      </c>
      <c r="AD441" s="80">
        <f>ROUND(SUM(AD430:AD440),5)</f>
        <v>88000</v>
      </c>
      <c r="AE441" s="80">
        <f>ROUND(SUM(AE430:AE440),5)</f>
        <v>90000</v>
      </c>
      <c r="AG441" s="112">
        <f>SUM(AG431:AG440)</f>
        <v>68000</v>
      </c>
      <c r="AH441" s="81">
        <f t="shared" si="109"/>
        <v>0</v>
      </c>
      <c r="AI441" s="81">
        <f t="shared" si="105"/>
        <v>-22000</v>
      </c>
      <c r="AJ441" s="46">
        <f>SUM(AJ431:AJ440)</f>
        <v>64</v>
      </c>
      <c r="AL441" s="111">
        <f>SUM(AL431:AL440)</f>
        <v>20000</v>
      </c>
    </row>
    <row r="442" spans="1:38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H442" s="81"/>
      <c r="AI442" s="81"/>
    </row>
    <row r="443" spans="1:38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H443" s="81"/>
      <c r="AI443" s="81"/>
    </row>
    <row r="444" spans="1:38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113">ROUND(H444+J444+L444,5)</f>
        <v>3082.32</v>
      </c>
      <c r="O444" s="66">
        <f t="shared" si="113"/>
        <v>6500</v>
      </c>
      <c r="P444" s="69">
        <f t="shared" si="98"/>
        <v>1027.44</v>
      </c>
      <c r="Q444" s="69">
        <f t="shared" si="98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H444" s="81">
        <f t="shared" si="109"/>
        <v>200</v>
      </c>
      <c r="AI444" s="81">
        <f t="shared" ref="AI444:AI475" si="114">AC444-AB444</f>
        <v>0</v>
      </c>
      <c r="AJ444" s="81">
        <f t="shared" ref="AJ444:AJ475" si="115">AD444-AC444</f>
        <v>0</v>
      </c>
    </row>
    <row r="445" spans="1:38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113"/>
        <v>4346.18</v>
      </c>
      <c r="O445" s="66">
        <f t="shared" si="113"/>
        <v>6500</v>
      </c>
      <c r="P445" s="69">
        <f t="shared" si="98"/>
        <v>1448.7266666666667</v>
      </c>
      <c r="Q445" s="69">
        <f t="shared" si="98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H445" s="81">
        <f t="shared" si="109"/>
        <v>200</v>
      </c>
      <c r="AI445" s="81">
        <f t="shared" si="114"/>
        <v>0</v>
      </c>
      <c r="AJ445" s="81">
        <f t="shared" si="115"/>
        <v>0</v>
      </c>
    </row>
    <row r="446" spans="1:38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113"/>
        <v>1181.1600000000001</v>
      </c>
      <c r="O446" s="66">
        <f t="shared" si="113"/>
        <v>6500</v>
      </c>
      <c r="P446" s="69">
        <f t="shared" si="98"/>
        <v>393.72</v>
      </c>
      <c r="Q446" s="69">
        <f t="shared" si="98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G446" s="89"/>
      <c r="AH446" s="81">
        <f t="shared" si="109"/>
        <v>200</v>
      </c>
      <c r="AI446" s="81">
        <f t="shared" si="114"/>
        <v>0</v>
      </c>
      <c r="AJ446" s="81">
        <f t="shared" si="115"/>
        <v>0</v>
      </c>
    </row>
    <row r="447" spans="1:38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113"/>
        <v>1117.28</v>
      </c>
      <c r="O447" s="66">
        <f t="shared" si="113"/>
        <v>3500</v>
      </c>
      <c r="P447" s="69">
        <f t="shared" si="98"/>
        <v>372.42666666666668</v>
      </c>
      <c r="Q447" s="69">
        <f t="shared" si="98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G447" s="89"/>
      <c r="AH447" s="81">
        <f t="shared" si="109"/>
        <v>200</v>
      </c>
      <c r="AI447" s="81">
        <f t="shared" si="114"/>
        <v>0</v>
      </c>
      <c r="AJ447" s="81">
        <f t="shared" si="115"/>
        <v>0</v>
      </c>
    </row>
    <row r="448" spans="1:38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113"/>
        <v>5060.6499999999996</v>
      </c>
      <c r="O448" s="66">
        <f t="shared" si="113"/>
        <v>6500</v>
      </c>
      <c r="P448" s="69">
        <f t="shared" si="98"/>
        <v>1686.8833333333332</v>
      </c>
      <c r="Q448" s="69">
        <f t="shared" si="98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G448" s="89"/>
      <c r="AH448" s="81">
        <f t="shared" si="109"/>
        <v>200</v>
      </c>
      <c r="AI448" s="81">
        <f t="shared" si="114"/>
        <v>0</v>
      </c>
      <c r="AJ448" s="81">
        <f t="shared" si="115"/>
        <v>0</v>
      </c>
    </row>
    <row r="449" spans="1:36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113"/>
        <v>2560.85</v>
      </c>
      <c r="O449" s="66">
        <f t="shared" si="113"/>
        <v>3500</v>
      </c>
      <c r="P449" s="69">
        <f t="shared" si="98"/>
        <v>853.61666666666667</v>
      </c>
      <c r="Q449" s="69">
        <f t="shared" si="98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5">
        <f>Travel!$T$153</f>
        <v>3700</v>
      </c>
      <c r="AC449" s="65">
        <f>Travel!$T$153</f>
        <v>3700</v>
      </c>
      <c r="AD449" s="65">
        <f>Travel!$T$153</f>
        <v>3700</v>
      </c>
      <c r="AE449" s="65">
        <f>Travel!$T$153</f>
        <v>3700</v>
      </c>
      <c r="AG449" s="116" t="s">
        <v>862</v>
      </c>
      <c r="AH449" s="81">
        <f t="shared" si="109"/>
        <v>200</v>
      </c>
      <c r="AI449" s="81">
        <f t="shared" si="114"/>
        <v>0</v>
      </c>
      <c r="AJ449" s="81">
        <f t="shared" si="115"/>
        <v>0</v>
      </c>
    </row>
    <row r="450" spans="1:36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113"/>
        <v>4712.95</v>
      </c>
      <c r="O450" s="66">
        <f t="shared" si="113"/>
        <v>6500</v>
      </c>
      <c r="P450" s="69">
        <f t="shared" si="98"/>
        <v>1570.9833333333333</v>
      </c>
      <c r="Q450" s="69">
        <f t="shared" si="98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G450" s="89"/>
      <c r="AH450" s="81">
        <f t="shared" si="109"/>
        <v>200</v>
      </c>
      <c r="AI450" s="81">
        <f t="shared" si="114"/>
        <v>0</v>
      </c>
      <c r="AJ450" s="81">
        <f t="shared" si="115"/>
        <v>0</v>
      </c>
    </row>
    <row r="451" spans="1:36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113"/>
        <v>10623.42</v>
      </c>
      <c r="O451" s="66">
        <f t="shared" si="113"/>
        <v>6500</v>
      </c>
      <c r="P451" s="69">
        <f t="shared" ref="P451:Q508" si="116">N451/3</f>
        <v>3541.14</v>
      </c>
      <c r="Q451" s="69">
        <f t="shared" si="116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5">
        <f>Travel!$T$157</f>
        <v>3700</v>
      </c>
      <c r="AC451" s="65">
        <f>Travel!$T$157</f>
        <v>3700</v>
      </c>
      <c r="AD451" s="65">
        <f>Travel!$T$157</f>
        <v>3700</v>
      </c>
      <c r="AE451" s="65">
        <f>Travel!$T$157</f>
        <v>3700</v>
      </c>
      <c r="AG451" s="116" t="s">
        <v>863</v>
      </c>
      <c r="AH451" s="81">
        <f t="shared" si="109"/>
        <v>200</v>
      </c>
      <c r="AI451" s="81">
        <f t="shared" si="114"/>
        <v>0</v>
      </c>
      <c r="AJ451" s="81">
        <f t="shared" si="115"/>
        <v>0</v>
      </c>
    </row>
    <row r="452" spans="1:36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113"/>
        <v>4606.37</v>
      </c>
      <c r="O452" s="66">
        <f t="shared" si="113"/>
        <v>6500</v>
      </c>
      <c r="P452" s="69">
        <f t="shared" si="116"/>
        <v>1535.4566666666667</v>
      </c>
      <c r="Q452" s="69">
        <f t="shared" si="116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G452" s="89"/>
      <c r="AH452" s="81">
        <f t="shared" si="109"/>
        <v>200</v>
      </c>
      <c r="AI452" s="81">
        <f t="shared" si="114"/>
        <v>0</v>
      </c>
      <c r="AJ452" s="81">
        <f t="shared" si="115"/>
        <v>0</v>
      </c>
    </row>
    <row r="453" spans="1:36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113"/>
        <v>0</v>
      </c>
      <c r="O453" s="66">
        <f t="shared" si="113"/>
        <v>79500</v>
      </c>
      <c r="P453" s="69">
        <f t="shared" si="116"/>
        <v>0</v>
      </c>
      <c r="Q453" s="69">
        <f t="shared" si="116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5">
        <f>Travel!$R$160</f>
        <v>10000</v>
      </c>
      <c r="AC453" s="65">
        <v>10000</v>
      </c>
      <c r="AD453" s="65">
        <v>10000</v>
      </c>
      <c r="AE453" s="65">
        <v>15000</v>
      </c>
      <c r="AG453" s="116" t="s">
        <v>865</v>
      </c>
      <c r="AH453" s="81">
        <f t="shared" si="109"/>
        <v>-12000</v>
      </c>
      <c r="AI453" s="81">
        <f t="shared" si="114"/>
        <v>0</v>
      </c>
      <c r="AJ453" s="81">
        <f t="shared" si="115"/>
        <v>0</v>
      </c>
    </row>
    <row r="454" spans="1:36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117">ROUND(SUM(H443:H453),5)</f>
        <v>8532.3799999999992</v>
      </c>
      <c r="I454" s="75">
        <f t="shared" si="117"/>
        <v>49500</v>
      </c>
      <c r="J454" s="76">
        <f t="shared" si="117"/>
        <v>10517.83</v>
      </c>
      <c r="K454" s="76">
        <f t="shared" si="117"/>
        <v>31000</v>
      </c>
      <c r="L454" s="77">
        <f t="shared" si="117"/>
        <v>18240.97</v>
      </c>
      <c r="M454" s="77">
        <f t="shared" si="117"/>
        <v>51500</v>
      </c>
      <c r="N454" s="78">
        <f t="shared" si="113"/>
        <v>37291.18</v>
      </c>
      <c r="O454" s="78">
        <f t="shared" si="113"/>
        <v>132000</v>
      </c>
      <c r="P454" s="79">
        <f t="shared" si="116"/>
        <v>12430.393333333333</v>
      </c>
      <c r="Q454" s="79">
        <f t="shared" si="116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>ROUND(SUM(AB443:AB453),5)</f>
        <v>43300</v>
      </c>
      <c r="AC454" s="88">
        <f>ROUND(SUM(AC443:AC453),5)</f>
        <v>43300</v>
      </c>
      <c r="AD454" s="88">
        <f>ROUND(SUM(AD443:AD453),5)</f>
        <v>43300</v>
      </c>
      <c r="AE454" s="88">
        <f>ROUND(SUM(AE443:AE453),5)</f>
        <v>48300</v>
      </c>
      <c r="AG454" s="89"/>
      <c r="AH454" s="81">
        <f t="shared" si="109"/>
        <v>-10200</v>
      </c>
      <c r="AI454" s="81">
        <f t="shared" si="114"/>
        <v>0</v>
      </c>
      <c r="AJ454" s="81">
        <f t="shared" si="115"/>
        <v>0</v>
      </c>
    </row>
    <row r="455" spans="1:36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118">ROUND(H442+SUM(H454:H454),5)</f>
        <v>8532.3799999999992</v>
      </c>
      <c r="I455" s="75">
        <f t="shared" si="118"/>
        <v>49500</v>
      </c>
      <c r="J455" s="76">
        <f t="shared" si="118"/>
        <v>10517.83</v>
      </c>
      <c r="K455" s="76">
        <f t="shared" si="118"/>
        <v>31000</v>
      </c>
      <c r="L455" s="77">
        <f t="shared" si="118"/>
        <v>18240.97</v>
      </c>
      <c r="M455" s="77">
        <f t="shared" si="118"/>
        <v>51500</v>
      </c>
      <c r="N455" s="78">
        <f t="shared" si="113"/>
        <v>37291.18</v>
      </c>
      <c r="O455" s="78">
        <f t="shared" si="113"/>
        <v>132000</v>
      </c>
      <c r="P455" s="79">
        <f t="shared" si="116"/>
        <v>12430.393333333333</v>
      </c>
      <c r="Q455" s="79">
        <f t="shared" si="116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>ROUND(AB442+SUM(AB454:AB454),5)</f>
        <v>43300</v>
      </c>
      <c r="AC455" s="78">
        <f>ROUND(AC442+SUM(AC454:AC454),5)</f>
        <v>43300</v>
      </c>
      <c r="AD455" s="78">
        <f>ROUND(AD442+SUM(AD454:AD454),5)</f>
        <v>43300</v>
      </c>
      <c r="AE455" s="78">
        <f>ROUND(AE442+SUM(AE454:AE454),5)</f>
        <v>48300</v>
      </c>
      <c r="AG455" s="89"/>
      <c r="AH455" s="81">
        <f t="shared" si="109"/>
        <v>-10200</v>
      </c>
      <c r="AI455" s="81">
        <f t="shared" si="114"/>
        <v>0</v>
      </c>
      <c r="AJ455" s="81">
        <f t="shared" si="115"/>
        <v>0</v>
      </c>
    </row>
    <row r="456" spans="1:36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G456" s="89"/>
      <c r="AH456" s="81"/>
      <c r="AI456" s="81">
        <f t="shared" si="114"/>
        <v>0</v>
      </c>
      <c r="AJ456" s="81">
        <f t="shared" si="115"/>
        <v>0</v>
      </c>
    </row>
    <row r="457" spans="1:36" ht="16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119">ROUND(H457+J457+L457,5)</f>
        <v>9342.6299999999992</v>
      </c>
      <c r="O457" s="66">
        <f t="shared" si="119"/>
        <v>11500</v>
      </c>
      <c r="P457" s="69">
        <f t="shared" si="116"/>
        <v>3114.2099999999996</v>
      </c>
      <c r="Q457" s="69">
        <f t="shared" si="116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5">
        <f>Travel!T170</f>
        <v>9250</v>
      </c>
      <c r="AC457" s="65">
        <v>5000</v>
      </c>
      <c r="AD457" s="65">
        <v>5000</v>
      </c>
      <c r="AE457" s="65">
        <v>6700</v>
      </c>
      <c r="AG457" s="117" t="s">
        <v>852</v>
      </c>
      <c r="AH457" s="81">
        <f t="shared" si="109"/>
        <v>5750</v>
      </c>
      <c r="AI457" s="81">
        <f t="shared" si="114"/>
        <v>-4250</v>
      </c>
      <c r="AJ457" s="81">
        <f t="shared" si="115"/>
        <v>0</v>
      </c>
    </row>
    <row r="458" spans="1:36" ht="16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119"/>
        <v>17829.34</v>
      </c>
      <c r="O458" s="66">
        <f t="shared" si="119"/>
        <v>38500</v>
      </c>
      <c r="P458" s="69">
        <f t="shared" si="116"/>
        <v>5943.1133333333337</v>
      </c>
      <c r="Q458" s="69">
        <f t="shared" si="116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G458" s="89"/>
      <c r="AH458" s="81">
        <f t="shared" si="109"/>
        <v>-6000</v>
      </c>
      <c r="AI458" s="81">
        <f t="shared" si="114"/>
        <v>500</v>
      </c>
      <c r="AJ458" s="81">
        <f t="shared" si="115"/>
        <v>0</v>
      </c>
    </row>
    <row r="459" spans="1:36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119"/>
        <v>27125.43</v>
      </c>
      <c r="O459" s="66">
        <f t="shared" si="119"/>
        <v>30000</v>
      </c>
      <c r="P459" s="69">
        <f t="shared" si="116"/>
        <v>9041.81</v>
      </c>
      <c r="Q459" s="69">
        <f t="shared" si="116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G459" s="114"/>
      <c r="AH459" s="81">
        <f t="shared" si="109"/>
        <v>-3000</v>
      </c>
      <c r="AI459" s="81">
        <f t="shared" si="114"/>
        <v>0</v>
      </c>
      <c r="AJ459" s="81">
        <f t="shared" si="115"/>
        <v>0</v>
      </c>
    </row>
    <row r="460" spans="1:36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119"/>
        <v>82292.61</v>
      </c>
      <c r="O460" s="66">
        <f t="shared" si="119"/>
        <v>96550</v>
      </c>
      <c r="P460" s="69">
        <f t="shared" si="116"/>
        <v>27430.87</v>
      </c>
      <c r="Q460" s="69">
        <f t="shared" si="116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G460" s="89"/>
      <c r="AH460" s="81">
        <f t="shared" si="109"/>
        <v>0</v>
      </c>
      <c r="AI460" s="81">
        <f t="shared" si="114"/>
        <v>-11550</v>
      </c>
      <c r="AJ460" s="81">
        <f t="shared" si="115"/>
        <v>0</v>
      </c>
    </row>
    <row r="461" spans="1:36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119"/>
        <v>77589.72</v>
      </c>
      <c r="O461" s="66">
        <f t="shared" si="119"/>
        <v>107235</v>
      </c>
      <c r="P461" s="69">
        <f t="shared" si="116"/>
        <v>25863.24</v>
      </c>
      <c r="Q461" s="69">
        <f t="shared" si="116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G461" s="89"/>
      <c r="AH461" s="81">
        <f t="shared" si="109"/>
        <v>-10620</v>
      </c>
      <c r="AI461" s="81">
        <f t="shared" si="114"/>
        <v>0</v>
      </c>
      <c r="AJ461" s="81">
        <f t="shared" si="115"/>
        <v>0</v>
      </c>
    </row>
    <row r="462" spans="1:36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119"/>
        <v>8410.5499999999993</v>
      </c>
      <c r="O462" s="66">
        <f t="shared" si="119"/>
        <v>9500</v>
      </c>
      <c r="P462" s="69">
        <f t="shared" si="116"/>
        <v>2803.5166666666664</v>
      </c>
      <c r="Q462" s="69">
        <f t="shared" si="116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G462" s="89"/>
      <c r="AH462" s="81">
        <f t="shared" si="109"/>
        <v>200</v>
      </c>
      <c r="AI462" s="81">
        <f t="shared" si="114"/>
        <v>0</v>
      </c>
      <c r="AJ462" s="81">
        <f t="shared" si="115"/>
        <v>0</v>
      </c>
    </row>
    <row r="463" spans="1:36" ht="32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119"/>
        <v>1939.64</v>
      </c>
      <c r="O463" s="66">
        <f t="shared" si="119"/>
        <v>16500</v>
      </c>
      <c r="P463" s="69">
        <f t="shared" si="116"/>
        <v>646.54666666666674</v>
      </c>
      <c r="Q463" s="69">
        <f t="shared" si="116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5">
        <v>9000</v>
      </c>
      <c r="AC463" s="65">
        <v>5000</v>
      </c>
      <c r="AD463" s="65">
        <v>5000</v>
      </c>
      <c r="AE463" s="65">
        <v>5000</v>
      </c>
      <c r="AG463" s="116" t="s">
        <v>864</v>
      </c>
      <c r="AH463" s="81">
        <f t="shared" si="109"/>
        <v>500</v>
      </c>
      <c r="AI463" s="81">
        <f t="shared" si="114"/>
        <v>-4000</v>
      </c>
      <c r="AJ463" s="81">
        <f t="shared" si="115"/>
        <v>0</v>
      </c>
    </row>
    <row r="464" spans="1:36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120">ROUND(SUM(H456:H463),5)</f>
        <v>68157.66</v>
      </c>
      <c r="I464" s="75">
        <f t="shared" si="120"/>
        <v>97000</v>
      </c>
      <c r="J464" s="76">
        <f t="shared" si="120"/>
        <v>75651.53</v>
      </c>
      <c r="K464" s="76">
        <f t="shared" si="120"/>
        <v>88000</v>
      </c>
      <c r="L464" s="77">
        <f t="shared" si="120"/>
        <v>80720.73</v>
      </c>
      <c r="M464" s="77">
        <f t="shared" si="120"/>
        <v>124785</v>
      </c>
      <c r="N464" s="78">
        <f t="shared" si="119"/>
        <v>224529.92000000001</v>
      </c>
      <c r="O464" s="78">
        <f t="shared" si="119"/>
        <v>309785</v>
      </c>
      <c r="P464" s="79">
        <f t="shared" si="116"/>
        <v>74843.306666666671</v>
      </c>
      <c r="Q464" s="79">
        <f t="shared" si="116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>ROUND(SUM(AB456:AB463),5)</f>
        <v>125000</v>
      </c>
      <c r="AC464" s="91">
        <f>ROUND(SUM(AC456:AC463),5)</f>
        <v>105700</v>
      </c>
      <c r="AD464" s="91">
        <f>ROUND(SUM(AD456:AD463),5)</f>
        <v>105700</v>
      </c>
      <c r="AE464" s="91">
        <f>ROUND(SUM(AE456:AE463),5)</f>
        <v>114900</v>
      </c>
      <c r="AG464" s="89"/>
      <c r="AH464" s="81">
        <f t="shared" si="109"/>
        <v>-13170</v>
      </c>
      <c r="AI464" s="81">
        <f t="shared" si="114"/>
        <v>-19300</v>
      </c>
      <c r="AJ464" s="81">
        <f t="shared" si="115"/>
        <v>0</v>
      </c>
    </row>
    <row r="465" spans="1:36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116"/>
        <v>0</v>
      </c>
      <c r="Q465" s="69">
        <f t="shared" si="116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G465" s="89"/>
      <c r="AH465" s="81"/>
      <c r="AI465" s="81">
        <f t="shared" si="114"/>
        <v>0</v>
      </c>
      <c r="AJ465" s="81">
        <f t="shared" si="115"/>
        <v>0</v>
      </c>
    </row>
    <row r="466" spans="1:36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121">ROUND(H466+J466+L466,5)</f>
        <v>0</v>
      </c>
      <c r="O466" s="66">
        <f t="shared" si="121"/>
        <v>4350</v>
      </c>
      <c r="P466" s="69">
        <f t="shared" si="116"/>
        <v>0</v>
      </c>
      <c r="Q466" s="69">
        <f t="shared" si="116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9">
        <f>Travel!$T$228</f>
        <v>1300</v>
      </c>
      <c r="AC466" s="69">
        <f>Travel!$T$228</f>
        <v>1300</v>
      </c>
      <c r="AD466" s="69">
        <f>Travel!$T$228</f>
        <v>1300</v>
      </c>
      <c r="AE466" s="69">
        <f>Travel!$T$228</f>
        <v>1300</v>
      </c>
      <c r="AG466" s="90" t="s">
        <v>845</v>
      </c>
      <c r="AH466" s="81">
        <f t="shared" si="109"/>
        <v>0</v>
      </c>
      <c r="AI466" s="81">
        <f t="shared" si="114"/>
        <v>0</v>
      </c>
      <c r="AJ466" s="81">
        <f t="shared" si="115"/>
        <v>0</v>
      </c>
    </row>
    <row r="467" spans="1:36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121"/>
        <v>6468.36</v>
      </c>
      <c r="O467" s="66">
        <f t="shared" si="121"/>
        <v>27000</v>
      </c>
      <c r="P467" s="69">
        <f t="shared" si="116"/>
        <v>2156.12</v>
      </c>
      <c r="Q467" s="69">
        <f t="shared" si="116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9">
        <f>Travel!$T$233</f>
        <v>18000</v>
      </c>
      <c r="AC467" s="69">
        <v>5000</v>
      </c>
      <c r="AD467" s="69">
        <v>5000</v>
      </c>
      <c r="AE467" s="69">
        <v>5000</v>
      </c>
      <c r="AG467" s="90" t="s">
        <v>845</v>
      </c>
      <c r="AH467" s="81">
        <f t="shared" si="109"/>
        <v>11000</v>
      </c>
      <c r="AI467" s="81">
        <f t="shared" si="114"/>
        <v>-13000</v>
      </c>
      <c r="AJ467" s="81">
        <f t="shared" si="115"/>
        <v>0</v>
      </c>
    </row>
    <row r="468" spans="1:36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121"/>
        <v>1454.32</v>
      </c>
      <c r="O468" s="73">
        <f t="shared" si="121"/>
        <v>7100</v>
      </c>
      <c r="P468" s="74">
        <f t="shared" si="116"/>
        <v>484.77333333333331</v>
      </c>
      <c r="Q468" s="74">
        <f t="shared" si="116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9">
        <f>Travel!$T$237</f>
        <v>0</v>
      </c>
      <c r="AC468" s="69">
        <f>Travel!$T$237</f>
        <v>0</v>
      </c>
      <c r="AD468" s="69">
        <f>Travel!$T$237</f>
        <v>0</v>
      </c>
      <c r="AE468" s="69">
        <f>Travel!$T$237</f>
        <v>0</v>
      </c>
      <c r="AG468" s="90" t="s">
        <v>845</v>
      </c>
      <c r="AH468" s="81">
        <f t="shared" si="109"/>
        <v>-2600</v>
      </c>
      <c r="AI468" s="81">
        <f t="shared" si="114"/>
        <v>0</v>
      </c>
      <c r="AJ468" s="81">
        <f t="shared" si="115"/>
        <v>0</v>
      </c>
    </row>
    <row r="469" spans="1:36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122">ROUND(SUM(H465:H468),5)</f>
        <v>2517.89</v>
      </c>
      <c r="I469" s="63">
        <f t="shared" si="122"/>
        <v>15000</v>
      </c>
      <c r="J469" s="64">
        <f t="shared" si="122"/>
        <v>3142.66</v>
      </c>
      <c r="K469" s="64">
        <f t="shared" si="122"/>
        <v>12550</v>
      </c>
      <c r="L469" s="65">
        <f t="shared" si="122"/>
        <v>2262.13</v>
      </c>
      <c r="M469" s="65">
        <f t="shared" si="122"/>
        <v>10900</v>
      </c>
      <c r="N469" s="66">
        <f t="shared" si="121"/>
        <v>7922.68</v>
      </c>
      <c r="O469" s="66">
        <f t="shared" si="121"/>
        <v>38450</v>
      </c>
      <c r="P469" s="69">
        <f t="shared" si="116"/>
        <v>2640.8933333333334</v>
      </c>
      <c r="Q469" s="69">
        <f t="shared" si="116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>ROUND(SUM(AB465:AB468),5)</f>
        <v>19300</v>
      </c>
      <c r="AC469" s="91">
        <f>ROUND(SUM(AC465:AC468),5)</f>
        <v>6300</v>
      </c>
      <c r="AD469" s="91">
        <f>ROUND(SUM(AD465:AD468),5)</f>
        <v>6300</v>
      </c>
      <c r="AE469" s="91">
        <f>ROUND(SUM(AE465:AE468),5)</f>
        <v>6300</v>
      </c>
      <c r="AG469" s="89"/>
      <c r="AH469" s="81">
        <f t="shared" si="109"/>
        <v>8400</v>
      </c>
      <c r="AI469" s="81">
        <f t="shared" si="114"/>
        <v>-13000</v>
      </c>
      <c r="AJ469" s="81">
        <f t="shared" si="115"/>
        <v>0</v>
      </c>
    </row>
    <row r="470" spans="1:36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G470" s="89"/>
      <c r="AH470" s="81"/>
      <c r="AI470" s="81">
        <f t="shared" si="114"/>
        <v>0</v>
      </c>
      <c r="AJ470" s="81">
        <f t="shared" si="115"/>
        <v>0</v>
      </c>
    </row>
    <row r="471" spans="1:36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123">ROUND(H471+J471+L471,5)</f>
        <v>40121.949999999997</v>
      </c>
      <c r="O471" s="66">
        <f t="shared" si="123"/>
        <v>50000</v>
      </c>
      <c r="P471" s="69">
        <f t="shared" si="116"/>
        <v>13373.983333333332</v>
      </c>
      <c r="Q471" s="69">
        <f t="shared" si="116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9">
        <f>Travel!$T$248</f>
        <v>18000</v>
      </c>
      <c r="AC471" s="69">
        <v>20000</v>
      </c>
      <c r="AD471" s="69">
        <v>20000</v>
      </c>
      <c r="AE471" s="69">
        <v>20000</v>
      </c>
      <c r="AG471" s="90" t="s">
        <v>845</v>
      </c>
      <c r="AH471" s="81">
        <f t="shared" si="109"/>
        <v>-3850</v>
      </c>
      <c r="AI471" s="81">
        <f t="shared" si="114"/>
        <v>2000</v>
      </c>
      <c r="AJ471" s="81">
        <f t="shared" si="115"/>
        <v>0</v>
      </c>
    </row>
    <row r="472" spans="1:36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123"/>
        <v>298044.73</v>
      </c>
      <c r="O472" s="66">
        <f t="shared" si="123"/>
        <v>298300</v>
      </c>
      <c r="P472" s="69">
        <f t="shared" si="116"/>
        <v>99348.243333333332</v>
      </c>
      <c r="Q472" s="69">
        <f t="shared" si="116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9">
        <f>Travel!T262</f>
        <v>92000</v>
      </c>
      <c r="AC472" s="69">
        <v>85000</v>
      </c>
      <c r="AD472" s="69">
        <v>85000</v>
      </c>
      <c r="AE472" s="69">
        <v>85000</v>
      </c>
      <c r="AG472" s="90" t="s">
        <v>845</v>
      </c>
      <c r="AH472" s="81">
        <f t="shared" si="109"/>
        <v>300</v>
      </c>
      <c r="AI472" s="81">
        <f t="shared" si="114"/>
        <v>-7000</v>
      </c>
      <c r="AJ472" s="81">
        <f t="shared" si="115"/>
        <v>0</v>
      </c>
    </row>
    <row r="473" spans="1:36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123"/>
        <v>91427.03</v>
      </c>
      <c r="O473" s="66">
        <f t="shared" si="123"/>
        <v>71500</v>
      </c>
      <c r="P473" s="69">
        <f t="shared" si="116"/>
        <v>30475.676666666666</v>
      </c>
      <c r="Q473" s="69">
        <f t="shared" si="116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9">
        <f>Travel!$T$289</f>
        <v>29500</v>
      </c>
      <c r="AC473" s="69">
        <v>27000</v>
      </c>
      <c r="AD473" s="69">
        <v>27000</v>
      </c>
      <c r="AE473" s="69">
        <v>30000</v>
      </c>
      <c r="AG473" s="90" t="s">
        <v>845</v>
      </c>
      <c r="AH473" s="81">
        <f t="shared" si="109"/>
        <v>2000</v>
      </c>
      <c r="AI473" s="81">
        <f t="shared" si="114"/>
        <v>-2500</v>
      </c>
      <c r="AJ473" s="81">
        <f t="shared" si="115"/>
        <v>0</v>
      </c>
    </row>
    <row r="474" spans="1:36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123"/>
        <v>3636.89</v>
      </c>
      <c r="O474" s="66">
        <f t="shared" si="123"/>
        <v>16000</v>
      </c>
      <c r="P474" s="69">
        <f t="shared" si="116"/>
        <v>1212.2966666666666</v>
      </c>
      <c r="Q474" s="69">
        <f t="shared" si="116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9">
        <f>Travel!$T$290</f>
        <v>3000</v>
      </c>
      <c r="AC474" s="69">
        <f>Travel!$T$290</f>
        <v>3000</v>
      </c>
      <c r="AD474" s="69">
        <f>Travel!$T$290</f>
        <v>3000</v>
      </c>
      <c r="AE474" s="69">
        <f>Travel!$T$290</f>
        <v>3000</v>
      </c>
      <c r="AG474" s="90" t="s">
        <v>845</v>
      </c>
      <c r="AH474" s="81">
        <f t="shared" si="109"/>
        <v>0</v>
      </c>
      <c r="AI474" s="81">
        <f t="shared" si="114"/>
        <v>0</v>
      </c>
      <c r="AJ474" s="81">
        <f t="shared" si="115"/>
        <v>0</v>
      </c>
    </row>
    <row r="475" spans="1:36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123"/>
        <v>1704.48</v>
      </c>
      <c r="O475" s="66">
        <f t="shared" si="123"/>
        <v>13000</v>
      </c>
      <c r="P475" s="69">
        <f t="shared" si="116"/>
        <v>568.16</v>
      </c>
      <c r="Q475" s="69">
        <f t="shared" si="116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9">
        <f>Travel!$T$291</f>
        <v>9000</v>
      </c>
      <c r="AC475" s="69">
        <f>Travel!$T$291</f>
        <v>9000</v>
      </c>
      <c r="AD475" s="69">
        <f>Travel!$T$291</f>
        <v>9000</v>
      </c>
      <c r="AE475" s="69">
        <f>Travel!$T$291</f>
        <v>9000</v>
      </c>
      <c r="AG475" s="90" t="s">
        <v>845</v>
      </c>
      <c r="AH475" s="81">
        <f t="shared" si="109"/>
        <v>6000</v>
      </c>
      <c r="AI475" s="81">
        <f t="shared" si="114"/>
        <v>0</v>
      </c>
      <c r="AJ475" s="81">
        <f t="shared" si="115"/>
        <v>0</v>
      </c>
    </row>
    <row r="476" spans="1:36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123"/>
        <v>323010.53999999998</v>
      </c>
      <c r="O476" s="66">
        <f t="shared" si="123"/>
        <v>333639</v>
      </c>
      <c r="P476" s="69">
        <f t="shared" si="116"/>
        <v>107670.18</v>
      </c>
      <c r="Q476" s="69">
        <f t="shared" si="116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9">
        <f>Travel!$AE$34</f>
        <v>138650</v>
      </c>
      <c r="AC476" s="69">
        <v>110000</v>
      </c>
      <c r="AD476" s="69">
        <v>110000</v>
      </c>
      <c r="AE476" s="69">
        <v>110000</v>
      </c>
      <c r="AG476" s="90" t="s">
        <v>845</v>
      </c>
      <c r="AH476" s="81">
        <f t="shared" si="109"/>
        <v>29755</v>
      </c>
      <c r="AI476" s="81">
        <f t="shared" ref="AI476:AI495" si="124">AC476-AB476</f>
        <v>-28650</v>
      </c>
      <c r="AJ476" s="81">
        <f t="shared" ref="AJ476:AJ495" si="125">AD476-AC476</f>
        <v>0</v>
      </c>
    </row>
    <row r="477" spans="1:36" ht="16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123"/>
        <v>38757.58</v>
      </c>
      <c r="O477" s="66">
        <f t="shared" si="123"/>
        <v>20000</v>
      </c>
      <c r="P477" s="69">
        <f t="shared" si="116"/>
        <v>12919.193333333335</v>
      </c>
      <c r="Q477" s="69">
        <f t="shared" si="116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9">
        <f>Travel!$T$292</f>
        <v>17500</v>
      </c>
      <c r="AC477" s="69">
        <f>Travel!$T$292</f>
        <v>17500</v>
      </c>
      <c r="AD477" s="69">
        <f>Travel!$T$292</f>
        <v>17500</v>
      </c>
      <c r="AE477" s="69">
        <f>Travel!$T$292</f>
        <v>17500</v>
      </c>
      <c r="AG477" s="90" t="s">
        <v>845</v>
      </c>
      <c r="AH477" s="81">
        <f t="shared" si="109"/>
        <v>7500</v>
      </c>
      <c r="AI477" s="81">
        <f t="shared" si="124"/>
        <v>0</v>
      </c>
      <c r="AJ477" s="81">
        <f t="shared" si="125"/>
        <v>0</v>
      </c>
    </row>
    <row r="478" spans="1:36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123"/>
        <v>9458.01</v>
      </c>
      <c r="O478" s="66">
        <f t="shared" si="123"/>
        <v>15000</v>
      </c>
      <c r="P478" s="69">
        <f t="shared" si="116"/>
        <v>3152.67</v>
      </c>
      <c r="Q478" s="69">
        <f t="shared" si="116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9">
        <f>Travel!$T$293</f>
        <v>5000</v>
      </c>
      <c r="AC478" s="69">
        <f>Travel!$T$293</f>
        <v>5000</v>
      </c>
      <c r="AD478" s="69">
        <f>Travel!$T$293</f>
        <v>5000</v>
      </c>
      <c r="AE478" s="69">
        <f>Travel!$T$293</f>
        <v>5000</v>
      </c>
      <c r="AG478" s="90" t="s">
        <v>845</v>
      </c>
      <c r="AH478" s="81">
        <f t="shared" si="109"/>
        <v>0</v>
      </c>
      <c r="AI478" s="81">
        <f t="shared" si="124"/>
        <v>0</v>
      </c>
      <c r="AJ478" s="81">
        <f t="shared" si="125"/>
        <v>0</v>
      </c>
    </row>
    <row r="479" spans="1:36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126">ROUND(SUM(H470:H478),5)</f>
        <v>239537.82</v>
      </c>
      <c r="I479" s="75">
        <f t="shared" si="126"/>
        <v>266000</v>
      </c>
      <c r="J479" s="76">
        <f t="shared" si="126"/>
        <v>275471.45</v>
      </c>
      <c r="K479" s="76">
        <f t="shared" si="126"/>
        <v>278000</v>
      </c>
      <c r="L479" s="77">
        <f t="shared" si="126"/>
        <v>291151.94</v>
      </c>
      <c r="M479" s="77">
        <f t="shared" si="126"/>
        <v>273439</v>
      </c>
      <c r="N479" s="78">
        <f t="shared" si="123"/>
        <v>806161.21</v>
      </c>
      <c r="O479" s="78">
        <f t="shared" si="123"/>
        <v>817439</v>
      </c>
      <c r="P479" s="79">
        <f t="shared" si="116"/>
        <v>268720.40333333332</v>
      </c>
      <c r="Q479" s="79">
        <f t="shared" si="116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>ROUND(SUM(AB470:AB478),5)</f>
        <v>312650</v>
      </c>
      <c r="AC479" s="91">
        <f>ROUND(SUM(AC470:AC478),5)</f>
        <v>276500</v>
      </c>
      <c r="AD479" s="91">
        <f>ROUND(SUM(AD470:AD478),5)</f>
        <v>276500</v>
      </c>
      <c r="AE479" s="91">
        <f>ROUND(SUM(AE470:AE478),5)</f>
        <v>279500</v>
      </c>
      <c r="AG479" s="89"/>
      <c r="AH479" s="81">
        <f t="shared" si="109"/>
        <v>41705</v>
      </c>
      <c r="AI479" s="81">
        <f t="shared" si="124"/>
        <v>-36150</v>
      </c>
      <c r="AJ479" s="81">
        <f t="shared" si="125"/>
        <v>0</v>
      </c>
    </row>
    <row r="480" spans="1:36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G480" s="89"/>
      <c r="AH480" s="81"/>
      <c r="AI480" s="81">
        <f t="shared" si="124"/>
        <v>0</v>
      </c>
      <c r="AJ480" s="81">
        <f t="shared" si="125"/>
        <v>0</v>
      </c>
    </row>
    <row r="481" spans="1:36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127">ROUND(H481+J481+L481,5)</f>
        <v>20687.05</v>
      </c>
      <c r="O481" s="66">
        <f t="shared" si="127"/>
        <v>17200</v>
      </c>
      <c r="P481" s="69">
        <f t="shared" si="116"/>
        <v>6895.6833333333334</v>
      </c>
      <c r="Q481" s="69">
        <f t="shared" si="116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9">
        <f>Travel!$T$300</f>
        <v>10500</v>
      </c>
      <c r="AC481" s="69">
        <f>Travel!$T$300</f>
        <v>10500</v>
      </c>
      <c r="AD481" s="69">
        <f>Travel!$T$300</f>
        <v>10500</v>
      </c>
      <c r="AE481" s="69">
        <f>Travel!$T$300</f>
        <v>10500</v>
      </c>
      <c r="AG481" s="150" t="s">
        <v>905</v>
      </c>
      <c r="AH481" s="81">
        <f t="shared" si="109"/>
        <v>0</v>
      </c>
      <c r="AI481" s="81">
        <f t="shared" si="124"/>
        <v>0</v>
      </c>
      <c r="AJ481" s="81">
        <f t="shared" si="125"/>
        <v>0</v>
      </c>
    </row>
    <row r="482" spans="1:36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127"/>
        <v>57727.78</v>
      </c>
      <c r="O482" s="66">
        <f t="shared" si="127"/>
        <v>41100</v>
      </c>
      <c r="P482" s="69">
        <f t="shared" si="116"/>
        <v>19242.593333333334</v>
      </c>
      <c r="Q482" s="69">
        <f t="shared" si="116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9">
        <f>Travel!$T$312</f>
        <v>18300</v>
      </c>
      <c r="AC482" s="69">
        <v>15000</v>
      </c>
      <c r="AD482" s="69">
        <v>15000</v>
      </c>
      <c r="AE482" s="69">
        <v>15000</v>
      </c>
      <c r="AG482" s="90" t="s">
        <v>845</v>
      </c>
      <c r="AH482" s="81">
        <f t="shared" si="109"/>
        <v>0</v>
      </c>
      <c r="AI482" s="81">
        <f t="shared" si="124"/>
        <v>-3300</v>
      </c>
      <c r="AJ482" s="81">
        <f t="shared" si="125"/>
        <v>0</v>
      </c>
    </row>
    <row r="483" spans="1:36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127"/>
        <v>70814.95</v>
      </c>
      <c r="O483" s="66">
        <f t="shared" si="127"/>
        <v>78000</v>
      </c>
      <c r="P483" s="69">
        <f t="shared" si="116"/>
        <v>23604.983333333334</v>
      </c>
      <c r="Q483" s="69">
        <f t="shared" si="116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9">
        <f>Travel!$T$332</f>
        <v>30500</v>
      </c>
      <c r="AC483" s="69">
        <v>25000</v>
      </c>
      <c r="AD483" s="69">
        <v>25000</v>
      </c>
      <c r="AE483" s="69">
        <v>25000</v>
      </c>
      <c r="AG483" s="90" t="s">
        <v>845</v>
      </c>
      <c r="AH483" s="81">
        <f t="shared" si="109"/>
        <v>2000</v>
      </c>
      <c r="AI483" s="81">
        <f t="shared" si="124"/>
        <v>-5500</v>
      </c>
      <c r="AJ483" s="81">
        <f t="shared" si="125"/>
        <v>0</v>
      </c>
    </row>
    <row r="484" spans="1:36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127"/>
        <v>4458.2</v>
      </c>
      <c r="O484" s="66">
        <f t="shared" si="127"/>
        <v>14615</v>
      </c>
      <c r="P484" s="69">
        <f t="shared" si="116"/>
        <v>1486.0666666666666</v>
      </c>
      <c r="Q484" s="69">
        <f t="shared" si="116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9">
        <f>Travel!$T$336</f>
        <v>5000</v>
      </c>
      <c r="AC484" s="69">
        <f>Travel!$T$336</f>
        <v>5000</v>
      </c>
      <c r="AD484" s="69">
        <f>Travel!$T$336</f>
        <v>5000</v>
      </c>
      <c r="AE484" s="69">
        <f>Travel!$T$336</f>
        <v>5000</v>
      </c>
      <c r="AG484" s="90" t="s">
        <v>845</v>
      </c>
      <c r="AH484" s="81">
        <f t="shared" si="109"/>
        <v>385</v>
      </c>
      <c r="AI484" s="81">
        <f t="shared" si="124"/>
        <v>0</v>
      </c>
      <c r="AJ484" s="81">
        <f t="shared" si="125"/>
        <v>0</v>
      </c>
    </row>
    <row r="485" spans="1:36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127"/>
        <v>10610.4</v>
      </c>
      <c r="O485" s="66">
        <f t="shared" si="127"/>
        <v>61200</v>
      </c>
      <c r="P485" s="69">
        <f t="shared" si="116"/>
        <v>3536.7999999999997</v>
      </c>
      <c r="Q485" s="69">
        <f t="shared" si="116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9">
        <f>Travel!$T$352</f>
        <v>21000</v>
      </c>
      <c r="AC485" s="69">
        <v>15000</v>
      </c>
      <c r="AD485" s="69">
        <v>15000</v>
      </c>
      <c r="AE485" s="69">
        <v>15000</v>
      </c>
      <c r="AG485" s="90" t="s">
        <v>845</v>
      </c>
      <c r="AH485" s="81">
        <f t="shared" si="109"/>
        <v>1800</v>
      </c>
      <c r="AI485" s="81">
        <f t="shared" si="124"/>
        <v>-6000</v>
      </c>
      <c r="AJ485" s="81">
        <f t="shared" si="125"/>
        <v>0</v>
      </c>
    </row>
    <row r="486" spans="1:36" ht="16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127"/>
        <v>81544.240000000005</v>
      </c>
      <c r="O486" s="66">
        <f t="shared" si="127"/>
        <v>84000</v>
      </c>
      <c r="P486" s="69">
        <f t="shared" si="116"/>
        <v>27181.413333333334</v>
      </c>
      <c r="Q486" s="69">
        <f t="shared" si="116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9">
        <f>Travel!$T$361</f>
        <v>39999.994999999995</v>
      </c>
      <c r="AC486" s="69">
        <v>30000</v>
      </c>
      <c r="AD486" s="69">
        <v>30000</v>
      </c>
      <c r="AE486" s="69">
        <v>30000</v>
      </c>
      <c r="AG486" s="90" t="s">
        <v>845</v>
      </c>
      <c r="AH486" s="81">
        <f t="shared" si="109"/>
        <v>3499.9949999999953</v>
      </c>
      <c r="AI486" s="81">
        <f t="shared" si="124"/>
        <v>-9999.9949999999953</v>
      </c>
      <c r="AJ486" s="81">
        <f t="shared" si="125"/>
        <v>0</v>
      </c>
    </row>
    <row r="487" spans="1:36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127"/>
        <v>2890.95</v>
      </c>
      <c r="O487" s="66">
        <f t="shared" si="127"/>
        <v>5000</v>
      </c>
      <c r="P487" s="69">
        <f t="shared" si="116"/>
        <v>963.65</v>
      </c>
      <c r="Q487" s="69">
        <f t="shared" si="116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9">
        <f>Travel!$T$362</f>
        <v>5000</v>
      </c>
      <c r="AC487" s="69">
        <f>Travel!$T$362</f>
        <v>5000</v>
      </c>
      <c r="AD487" s="69">
        <f>Travel!$T$362</f>
        <v>5000</v>
      </c>
      <c r="AE487" s="69">
        <f>Travel!$T$362</f>
        <v>5000</v>
      </c>
      <c r="AG487" s="90" t="s">
        <v>845</v>
      </c>
      <c r="AH487" s="81">
        <f t="shared" si="109"/>
        <v>0</v>
      </c>
      <c r="AI487" s="81">
        <f t="shared" si="124"/>
        <v>0</v>
      </c>
      <c r="AJ487" s="81">
        <f t="shared" si="125"/>
        <v>0</v>
      </c>
    </row>
    <row r="488" spans="1:36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128">ROUND(SUM(H480:H487),5)</f>
        <v>59874.94</v>
      </c>
      <c r="I488" s="75">
        <f t="shared" si="128"/>
        <v>92500</v>
      </c>
      <c r="J488" s="76">
        <f t="shared" si="128"/>
        <v>75252.66</v>
      </c>
      <c r="K488" s="76">
        <f t="shared" si="128"/>
        <v>95000</v>
      </c>
      <c r="L488" s="77">
        <f t="shared" si="128"/>
        <v>113605.97</v>
      </c>
      <c r="M488" s="77">
        <f t="shared" si="128"/>
        <v>113615</v>
      </c>
      <c r="N488" s="78">
        <f t="shared" si="127"/>
        <v>248733.57</v>
      </c>
      <c r="O488" s="78">
        <f t="shared" si="127"/>
        <v>301115</v>
      </c>
      <c r="P488" s="79">
        <f t="shared" si="116"/>
        <v>82911.19</v>
      </c>
      <c r="Q488" s="79">
        <f t="shared" si="116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>ROUND(SUM(AB480:AB487),5)</f>
        <v>130299.995</v>
      </c>
      <c r="AC488" s="91">
        <f>ROUND(SUM(AC480:AC487),5)</f>
        <v>105500</v>
      </c>
      <c r="AD488" s="91">
        <f>ROUND(SUM(AD480:AD487),5)</f>
        <v>105500</v>
      </c>
      <c r="AE488" s="91">
        <f>ROUND(SUM(AE480:AE487),5)</f>
        <v>105500</v>
      </c>
      <c r="AG488" s="89"/>
      <c r="AH488" s="81">
        <f t="shared" si="109"/>
        <v>7684.9949999999953</v>
      </c>
      <c r="AI488" s="81">
        <f t="shared" si="124"/>
        <v>-24799.994999999995</v>
      </c>
      <c r="AJ488" s="81">
        <f t="shared" si="125"/>
        <v>0</v>
      </c>
    </row>
    <row r="489" spans="1:3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129">ROUND(H429+H441+H455+H464+H469+H479+SUM(H488:H488),5)</f>
        <v>418230.26</v>
      </c>
      <c r="I489" s="75">
        <f t="shared" si="129"/>
        <v>595000</v>
      </c>
      <c r="J489" s="76">
        <f t="shared" si="129"/>
        <v>490473.05</v>
      </c>
      <c r="K489" s="76">
        <f t="shared" si="129"/>
        <v>579550</v>
      </c>
      <c r="L489" s="77">
        <f t="shared" si="129"/>
        <v>559533.9</v>
      </c>
      <c r="M489" s="77">
        <f t="shared" si="129"/>
        <v>649239</v>
      </c>
      <c r="N489" s="78">
        <f t="shared" si="127"/>
        <v>1468237.21</v>
      </c>
      <c r="O489" s="78">
        <f t="shared" si="127"/>
        <v>1823789</v>
      </c>
      <c r="P489" s="79">
        <f t="shared" si="116"/>
        <v>489412.40333333332</v>
      </c>
      <c r="Q489" s="79">
        <f t="shared" si="116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>ROUND(AB429+AB441+AB455+AB464+AB469+AB479+SUM(AB488:AB488),5)</f>
        <v>720549.995</v>
      </c>
      <c r="AC489" s="78">
        <f>ROUND(AC429+AC441+AC455+AC464+AC469+AC479+SUM(AC488:AC488),5)</f>
        <v>605300</v>
      </c>
      <c r="AD489" s="78">
        <f>ROUND(AD429+AD441+AD455+AD464+AD469+AD479+SUM(AD488:AD488),5)</f>
        <v>625300</v>
      </c>
      <c r="AE489" s="78">
        <f>ROUND(AE429+AE441+AE455+AE464+AE469+AE479+SUM(AE488:AE488),5)</f>
        <v>644500</v>
      </c>
      <c r="AG489"/>
      <c r="AH489" s="81">
        <f t="shared" si="109"/>
        <v>34419.994999999995</v>
      </c>
      <c r="AI489" s="81">
        <f t="shared" si="124"/>
        <v>-115249.995</v>
      </c>
      <c r="AJ489" s="81">
        <f t="shared" si="125"/>
        <v>20000</v>
      </c>
    </row>
    <row r="490" spans="1:36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116"/>
        <v>0</v>
      </c>
      <c r="Q490" s="69">
        <f t="shared" si="116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G490" s="89"/>
      <c r="AI490" s="81">
        <f t="shared" si="124"/>
        <v>0</v>
      </c>
      <c r="AJ490" s="81">
        <f t="shared" si="125"/>
        <v>0</v>
      </c>
    </row>
    <row r="491" spans="1:36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3" si="130">ROUND(H491+J491+L491,5)</f>
        <v>10042.5</v>
      </c>
      <c r="O491" s="66">
        <f t="shared" si="130"/>
        <v>30000</v>
      </c>
      <c r="P491" s="69">
        <f t="shared" si="116"/>
        <v>3347.5</v>
      </c>
      <c r="Q491" s="69">
        <f t="shared" si="116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9">
        <v>0</v>
      </c>
      <c r="AC491" s="69">
        <v>0</v>
      </c>
      <c r="AD491" s="69">
        <v>0</v>
      </c>
      <c r="AE491" s="69">
        <v>0</v>
      </c>
      <c r="AG491" s="90" t="s">
        <v>845</v>
      </c>
      <c r="AH491" s="81">
        <f>AB491-Z491</f>
        <v>0</v>
      </c>
      <c r="AI491" s="81">
        <f t="shared" si="124"/>
        <v>0</v>
      </c>
      <c r="AJ491" s="81">
        <f t="shared" si="125"/>
        <v>0</v>
      </c>
    </row>
    <row r="492" spans="1:36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130"/>
        <v>7205.43</v>
      </c>
      <c r="O492" s="66">
        <f t="shared" si="130"/>
        <v>8000</v>
      </c>
      <c r="P492" s="69">
        <f t="shared" si="116"/>
        <v>2401.81</v>
      </c>
      <c r="Q492" s="69">
        <f t="shared" si="116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G492" s="89"/>
      <c r="AH492" s="81">
        <f t="shared" ref="AH492:AH548" si="131">AB492-Z492</f>
        <v>500</v>
      </c>
      <c r="AI492" s="81">
        <f t="shared" si="124"/>
        <v>0</v>
      </c>
      <c r="AJ492" s="81">
        <f t="shared" si="125"/>
        <v>0</v>
      </c>
    </row>
    <row r="493" spans="1:36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130"/>
        <v>15127.94</v>
      </c>
      <c r="O493" s="66">
        <f t="shared" si="130"/>
        <v>16500</v>
      </c>
      <c r="P493" s="69">
        <f t="shared" si="116"/>
        <v>5042.6466666666665</v>
      </c>
      <c r="Q493" s="69">
        <f t="shared" si="116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9">
        <v>6000</v>
      </c>
      <c r="AC493" s="69">
        <v>6000</v>
      </c>
      <c r="AD493" s="69">
        <v>6000</v>
      </c>
      <c r="AE493" s="69">
        <v>6000</v>
      </c>
      <c r="AG493" s="90" t="s">
        <v>845</v>
      </c>
      <c r="AH493" s="81">
        <f t="shared" si="131"/>
        <v>0</v>
      </c>
      <c r="AI493" s="81">
        <f t="shared" si="124"/>
        <v>0</v>
      </c>
      <c r="AJ493" s="81">
        <f t="shared" si="125"/>
        <v>0</v>
      </c>
    </row>
    <row r="494" spans="1:36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130"/>
        <v>13298.77</v>
      </c>
      <c r="O494" s="66">
        <f t="shared" si="130"/>
        <v>7000</v>
      </c>
      <c r="P494" s="69">
        <f t="shared" si="116"/>
        <v>4432.9233333333332</v>
      </c>
      <c r="Q494" s="69">
        <f t="shared" si="116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G494" s="89"/>
      <c r="AH494" s="81">
        <f t="shared" si="131"/>
        <v>0</v>
      </c>
      <c r="AI494" s="81">
        <f t="shared" si="124"/>
        <v>0</v>
      </c>
      <c r="AJ494" s="81">
        <f t="shared" si="125"/>
        <v>0</v>
      </c>
    </row>
    <row r="495" spans="1:36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130"/>
        <v>510268.35</v>
      </c>
      <c r="O495" s="66">
        <f t="shared" si="130"/>
        <v>437243.12</v>
      </c>
      <c r="P495" s="69">
        <f t="shared" si="116"/>
        <v>170089.44999999998</v>
      </c>
      <c r="Q495" s="69">
        <f t="shared" si="116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>ROUND(AB220*0.0386, 0)</f>
        <v>205031</v>
      </c>
      <c r="AC495" s="66">
        <f>ROUND(AC220*0.0386, 0)</f>
        <v>205031</v>
      </c>
      <c r="AD495" s="66">
        <f>ROUND(AD220*0.0386, 0)</f>
        <v>207550</v>
      </c>
      <c r="AE495" s="66">
        <f>ROUND(AE220*0.0386, 0)</f>
        <v>206778</v>
      </c>
      <c r="AF495" s="152">
        <f>P495/P220</f>
        <v>3.4800965170621478E-2</v>
      </c>
      <c r="AG495" s="93" t="s">
        <v>844</v>
      </c>
      <c r="AH495" s="81">
        <f t="shared" si="131"/>
        <v>25635</v>
      </c>
      <c r="AI495" s="81">
        <f t="shared" si="124"/>
        <v>0</v>
      </c>
      <c r="AJ495" s="81">
        <f t="shared" si="125"/>
        <v>2519</v>
      </c>
    </row>
    <row r="496" spans="1:36" ht="23.5" x14ac:dyDescent="0.55000000000000004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130"/>
        <v>0</v>
      </c>
      <c r="O496" s="66">
        <f>ROUND(I496+K496+M496,5)</f>
        <v>1000</v>
      </c>
      <c r="P496" s="69">
        <f t="shared" si="116"/>
        <v>0</v>
      </c>
      <c r="Q496" s="69">
        <f t="shared" si="116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152">
        <f>L495/L220</f>
        <v>3.8606937993019626E-2</v>
      </c>
      <c r="AG496" s="158" t="s">
        <v>942</v>
      </c>
      <c r="AH496" s="81">
        <f t="shared" si="131"/>
        <v>0</v>
      </c>
      <c r="AI496" s="81">
        <f t="shared" ref="AI496:AJ548" si="132">AC496-AB496</f>
        <v>0</v>
      </c>
      <c r="AJ496" s="81">
        <f t="shared" si="132"/>
        <v>0</v>
      </c>
    </row>
    <row r="497" spans="1:36" ht="16" x14ac:dyDescent="0.35">
      <c r="A497" s="66"/>
      <c r="B497" s="66"/>
      <c r="C497" s="49"/>
      <c r="D497" s="49"/>
      <c r="E497" s="49" t="s">
        <v>493</v>
      </c>
      <c r="F497" s="49"/>
      <c r="G497" s="49"/>
      <c r="H497" s="63">
        <v>3322.5</v>
      </c>
      <c r="I497" s="63">
        <v>6000</v>
      </c>
      <c r="J497" s="64">
        <v>5750.2</v>
      </c>
      <c r="K497" s="64">
        <v>4000</v>
      </c>
      <c r="L497" s="65">
        <v>26568.75</v>
      </c>
      <c r="M497" s="65">
        <v>4000</v>
      </c>
      <c r="N497" s="66">
        <f t="shared" si="130"/>
        <v>35641.449999999997</v>
      </c>
      <c r="O497" s="66">
        <f t="shared" si="130"/>
        <v>14000</v>
      </c>
      <c r="P497" s="69">
        <f t="shared" si="116"/>
        <v>11880.483333333332</v>
      </c>
      <c r="Q497" s="69">
        <f t="shared" si="116"/>
        <v>4666.666666666667</v>
      </c>
      <c r="R497" s="54"/>
      <c r="S497" s="49"/>
      <c r="T497" s="49"/>
      <c r="U497" s="49"/>
      <c r="V497" s="49"/>
      <c r="W497" s="49" t="s">
        <v>493</v>
      </c>
      <c r="X497" s="49"/>
      <c r="Y497" s="49"/>
      <c r="Z497" s="66">
        <v>37500</v>
      </c>
      <c r="AA497" s="140"/>
      <c r="AB497" s="66">
        <v>24000</v>
      </c>
      <c r="AC497" s="66">
        <v>24000</v>
      </c>
      <c r="AD497" s="66">
        <v>24000</v>
      </c>
      <c r="AE497" s="66">
        <v>24000</v>
      </c>
      <c r="AG497" s="89"/>
      <c r="AH497" s="81">
        <f t="shared" si="131"/>
        <v>-13500</v>
      </c>
      <c r="AI497" s="81">
        <f t="shared" si="132"/>
        <v>0</v>
      </c>
      <c r="AJ497" s="81">
        <f t="shared" si="132"/>
        <v>0</v>
      </c>
    </row>
    <row r="498" spans="1:36" ht="16" x14ac:dyDescent="0.35">
      <c r="A498" s="66"/>
      <c r="B498" s="66"/>
      <c r="C498" s="49"/>
      <c r="D498" s="49"/>
      <c r="E498" s="49" t="s">
        <v>494</v>
      </c>
      <c r="F498" s="49"/>
      <c r="G498" s="49"/>
      <c r="H498" s="63">
        <v>2934</v>
      </c>
      <c r="I498" s="63">
        <v>5607</v>
      </c>
      <c r="J498" s="64">
        <v>0</v>
      </c>
      <c r="K498" s="64">
        <v>0</v>
      </c>
      <c r="L498" s="65">
        <v>0</v>
      </c>
      <c r="M498" s="65">
        <v>0</v>
      </c>
      <c r="N498" s="66">
        <f t="shared" si="130"/>
        <v>2934</v>
      </c>
      <c r="O498" s="66">
        <f t="shared" si="130"/>
        <v>5607</v>
      </c>
      <c r="P498" s="69">
        <f t="shared" si="116"/>
        <v>978</v>
      </c>
      <c r="Q498" s="69">
        <f t="shared" si="116"/>
        <v>1869</v>
      </c>
      <c r="R498" s="54"/>
      <c r="S498" s="49"/>
      <c r="T498" s="49"/>
      <c r="U498" s="49"/>
      <c r="V498" s="49"/>
      <c r="W498" s="49" t="s">
        <v>494</v>
      </c>
      <c r="X498" s="49"/>
      <c r="Y498" s="49"/>
      <c r="Z498" s="66">
        <v>0</v>
      </c>
      <c r="AA498" s="140"/>
      <c r="AB498" s="66">
        <v>0</v>
      </c>
      <c r="AC498" s="66">
        <v>0</v>
      </c>
      <c r="AD498" s="66">
        <v>0</v>
      </c>
      <c r="AE498" s="66">
        <v>0</v>
      </c>
      <c r="AG498" s="89"/>
      <c r="AH498" s="81">
        <f t="shared" si="131"/>
        <v>0</v>
      </c>
      <c r="AI498" s="81">
        <f t="shared" si="132"/>
        <v>0</v>
      </c>
      <c r="AJ498" s="81">
        <f t="shared" si="132"/>
        <v>0</v>
      </c>
    </row>
    <row r="499" spans="1:36" ht="47" x14ac:dyDescent="0.55000000000000004">
      <c r="A499" s="66"/>
      <c r="B499" s="66"/>
      <c r="C499" s="49"/>
      <c r="D499" s="49"/>
      <c r="E499" s="49" t="s">
        <v>495</v>
      </c>
      <c r="F499" s="49"/>
      <c r="G499" s="49"/>
      <c r="H499" s="63">
        <v>74809.66</v>
      </c>
      <c r="I499" s="63">
        <v>105600</v>
      </c>
      <c r="J499" s="64">
        <v>52243.49</v>
      </c>
      <c r="K499" s="64">
        <v>53000</v>
      </c>
      <c r="L499" s="65">
        <v>51678.79</v>
      </c>
      <c r="M499" s="65">
        <v>70507</v>
      </c>
      <c r="N499" s="66">
        <f t="shared" si="130"/>
        <v>178731.94</v>
      </c>
      <c r="O499" s="66">
        <f t="shared" si="130"/>
        <v>229107</v>
      </c>
      <c r="P499" s="69">
        <f t="shared" si="116"/>
        <v>59577.313333333332</v>
      </c>
      <c r="Q499" s="69">
        <f t="shared" si="116"/>
        <v>76369</v>
      </c>
      <c r="R499" s="54"/>
      <c r="S499" s="49"/>
      <c r="T499" s="49"/>
      <c r="U499" s="49"/>
      <c r="V499" s="49"/>
      <c r="W499" s="49" t="s">
        <v>495</v>
      </c>
      <c r="X499" s="49"/>
      <c r="Y499" s="49"/>
      <c r="Z499" s="66">
        <v>74122.820000000007</v>
      </c>
      <c r="AA499" s="140"/>
      <c r="AB499" s="66">
        <v>109482.14</v>
      </c>
      <c r="AC499" s="66">
        <v>109482.14</v>
      </c>
      <c r="AD499" s="66">
        <v>109482.14</v>
      </c>
      <c r="AE499" s="66">
        <v>109482.14</v>
      </c>
      <c r="AG499" s="158" t="s">
        <v>941</v>
      </c>
      <c r="AH499" s="81">
        <f t="shared" si="131"/>
        <v>35359.319999999992</v>
      </c>
      <c r="AI499" s="81">
        <f t="shared" si="132"/>
        <v>0</v>
      </c>
      <c r="AJ499" s="81">
        <f t="shared" si="132"/>
        <v>0</v>
      </c>
    </row>
    <row r="500" spans="1:36" ht="16" x14ac:dyDescent="0.35">
      <c r="A500" s="66"/>
      <c r="B500" s="66"/>
      <c r="C500" s="49"/>
      <c r="D500" s="49"/>
      <c r="E500" s="49" t="s">
        <v>496</v>
      </c>
      <c r="F500" s="49"/>
      <c r="G500" s="49"/>
      <c r="H500" s="63">
        <v>2727.19</v>
      </c>
      <c r="I500" s="63">
        <v>4500</v>
      </c>
      <c r="J500" s="64">
        <v>4935.63</v>
      </c>
      <c r="K500" s="64">
        <v>4500</v>
      </c>
      <c r="L500" s="65">
        <v>6253.02</v>
      </c>
      <c r="M500" s="65">
        <v>4025</v>
      </c>
      <c r="N500" s="66">
        <f t="shared" si="130"/>
        <v>13915.84</v>
      </c>
      <c r="O500" s="66">
        <f t="shared" si="130"/>
        <v>13025</v>
      </c>
      <c r="P500" s="69">
        <f t="shared" si="116"/>
        <v>4638.6133333333337</v>
      </c>
      <c r="Q500" s="69">
        <f t="shared" si="116"/>
        <v>4341.666666666667</v>
      </c>
      <c r="R500" s="54"/>
      <c r="S500" s="49"/>
      <c r="T500" s="49"/>
      <c r="U500" s="49"/>
      <c r="V500" s="49"/>
      <c r="W500" s="49" t="s">
        <v>496</v>
      </c>
      <c r="X500" s="49"/>
      <c r="Y500" s="49"/>
      <c r="Z500" s="66">
        <v>8352</v>
      </c>
      <c r="AA500" s="140"/>
      <c r="AB500" s="66">
        <v>4563</v>
      </c>
      <c r="AC500" s="66">
        <v>4563</v>
      </c>
      <c r="AD500" s="66">
        <v>4563</v>
      </c>
      <c r="AE500" s="66">
        <v>4563</v>
      </c>
      <c r="AG500" s="89"/>
      <c r="AH500" s="81">
        <f t="shared" si="131"/>
        <v>-3789</v>
      </c>
      <c r="AI500" s="81">
        <f t="shared" si="132"/>
        <v>0</v>
      </c>
      <c r="AJ500" s="81">
        <f t="shared" si="132"/>
        <v>0</v>
      </c>
    </row>
    <row r="501" spans="1:36" ht="16" x14ac:dyDescent="0.35">
      <c r="A501" s="66"/>
      <c r="B501" s="66"/>
      <c r="C501" s="49"/>
      <c r="D501" s="49"/>
      <c r="E501" s="49" t="s">
        <v>497</v>
      </c>
      <c r="F501" s="49"/>
      <c r="G501" s="49"/>
      <c r="H501" s="63">
        <v>3590</v>
      </c>
      <c r="I501" s="63">
        <v>4608</v>
      </c>
      <c r="J501" s="64">
        <v>3588</v>
      </c>
      <c r="K501" s="64">
        <v>3700</v>
      </c>
      <c r="L501" s="65">
        <v>689</v>
      </c>
      <c r="M501" s="65">
        <v>3600</v>
      </c>
      <c r="N501" s="66">
        <f t="shared" si="130"/>
        <v>7867</v>
      </c>
      <c r="O501" s="66">
        <f t="shared" si="130"/>
        <v>11908</v>
      </c>
      <c r="P501" s="69">
        <f t="shared" si="116"/>
        <v>2622.3333333333335</v>
      </c>
      <c r="Q501" s="69">
        <f t="shared" si="116"/>
        <v>3969.3333333333335</v>
      </c>
      <c r="R501" s="54"/>
      <c r="S501" s="49"/>
      <c r="T501" s="49"/>
      <c r="U501" s="49"/>
      <c r="V501" s="49"/>
      <c r="W501" s="49" t="s">
        <v>497</v>
      </c>
      <c r="X501" s="49"/>
      <c r="Y501" s="49"/>
      <c r="Z501" s="66">
        <v>2000</v>
      </c>
      <c r="AA501" s="140"/>
      <c r="AB501" s="66">
        <v>0</v>
      </c>
      <c r="AC501" s="66">
        <v>0</v>
      </c>
      <c r="AD501" s="66">
        <v>0</v>
      </c>
      <c r="AE501" s="66">
        <v>0</v>
      </c>
      <c r="AG501" s="89"/>
      <c r="AH501" s="81">
        <f t="shared" si="131"/>
        <v>-2000</v>
      </c>
      <c r="AI501" s="81">
        <f t="shared" si="132"/>
        <v>0</v>
      </c>
      <c r="AJ501" s="81">
        <f t="shared" si="132"/>
        <v>0</v>
      </c>
    </row>
    <row r="502" spans="1:36" ht="16" x14ac:dyDescent="0.35">
      <c r="A502" s="66"/>
      <c r="B502" s="66"/>
      <c r="C502" s="49"/>
      <c r="D502" s="49"/>
      <c r="E502" s="49" t="s">
        <v>498</v>
      </c>
      <c r="F502" s="49"/>
      <c r="G502" s="49"/>
      <c r="H502" s="63">
        <v>12597.17</v>
      </c>
      <c r="I502" s="63">
        <v>12766</v>
      </c>
      <c r="J502" s="64">
        <v>11637.22</v>
      </c>
      <c r="K502" s="64">
        <v>12771.48</v>
      </c>
      <c r="L502" s="65">
        <v>11300</v>
      </c>
      <c r="M502" s="65">
        <v>11832</v>
      </c>
      <c r="N502" s="66">
        <f t="shared" si="130"/>
        <v>35534.39</v>
      </c>
      <c r="O502" s="66">
        <f t="shared" si="130"/>
        <v>37369.480000000003</v>
      </c>
      <c r="P502" s="69">
        <f t="shared" si="116"/>
        <v>11844.796666666667</v>
      </c>
      <c r="Q502" s="69">
        <f t="shared" si="116"/>
        <v>12456.493333333334</v>
      </c>
      <c r="R502" s="54"/>
      <c r="S502" s="49"/>
      <c r="T502" s="49"/>
      <c r="U502" s="49"/>
      <c r="V502" s="49"/>
      <c r="W502" s="49" t="s">
        <v>498</v>
      </c>
      <c r="X502" s="49"/>
      <c r="Y502" s="49"/>
      <c r="Z502" s="66">
        <v>12424</v>
      </c>
      <c r="AA502" s="140"/>
      <c r="AB502" s="66">
        <v>11767.5</v>
      </c>
      <c r="AC502" s="66">
        <v>11767.5</v>
      </c>
      <c r="AD502" s="66">
        <v>11767.5</v>
      </c>
      <c r="AE502" s="66">
        <v>11767.5</v>
      </c>
      <c r="AG502" s="89"/>
      <c r="AH502" s="81">
        <f t="shared" si="131"/>
        <v>-656.5</v>
      </c>
      <c r="AI502" s="81">
        <f t="shared" si="132"/>
        <v>0</v>
      </c>
      <c r="AJ502" s="81">
        <f t="shared" si="132"/>
        <v>0</v>
      </c>
    </row>
    <row r="503" spans="1:36" ht="16" x14ac:dyDescent="0.35">
      <c r="A503" s="66"/>
      <c r="B503" s="66"/>
      <c r="C503" s="49"/>
      <c r="D503" s="49"/>
      <c r="E503" s="49" t="s">
        <v>499</v>
      </c>
      <c r="F503" s="49"/>
      <c r="G503" s="49"/>
      <c r="H503" s="63">
        <v>12597.14</v>
      </c>
      <c r="I503" s="63">
        <v>12766</v>
      </c>
      <c r="J503" s="64">
        <v>11637.22</v>
      </c>
      <c r="K503" s="64">
        <v>12771.35</v>
      </c>
      <c r="L503" s="65">
        <v>11300</v>
      </c>
      <c r="M503" s="65">
        <v>11832</v>
      </c>
      <c r="N503" s="66">
        <f t="shared" si="130"/>
        <v>35534.36</v>
      </c>
      <c r="O503" s="66">
        <f t="shared" si="130"/>
        <v>37369.35</v>
      </c>
      <c r="P503" s="69">
        <f t="shared" si="116"/>
        <v>11844.786666666667</v>
      </c>
      <c r="Q503" s="69">
        <f t="shared" si="116"/>
        <v>12456.449999999999</v>
      </c>
      <c r="R503" s="54"/>
      <c r="S503" s="49"/>
      <c r="T503" s="49"/>
      <c r="U503" s="49"/>
      <c r="V503" s="49"/>
      <c r="W503" s="49" t="s">
        <v>499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G503" s="89"/>
      <c r="AH503" s="81">
        <f t="shared" si="131"/>
        <v>-656.5</v>
      </c>
      <c r="AI503" s="81">
        <f t="shared" si="132"/>
        <v>0</v>
      </c>
      <c r="AJ503" s="81">
        <f t="shared" si="132"/>
        <v>0</v>
      </c>
    </row>
    <row r="504" spans="1:36" ht="16" x14ac:dyDescent="0.35">
      <c r="A504" s="66"/>
      <c r="B504" s="66"/>
      <c r="C504" s="49"/>
      <c r="D504" s="49"/>
      <c r="E504" s="49" t="s">
        <v>500</v>
      </c>
      <c r="F504" s="49"/>
      <c r="G504" s="49"/>
      <c r="H504" s="63">
        <v>4694</v>
      </c>
      <c r="I504" s="63">
        <v>4807</v>
      </c>
      <c r="J504" s="64">
        <v>5020.5</v>
      </c>
      <c r="K504" s="64">
        <v>4700</v>
      </c>
      <c r="L504" s="65">
        <v>5177.16</v>
      </c>
      <c r="M504" s="65">
        <v>5244</v>
      </c>
      <c r="N504" s="66">
        <f t="shared" si="130"/>
        <v>14891.66</v>
      </c>
      <c r="O504" s="66">
        <f t="shared" si="130"/>
        <v>14751</v>
      </c>
      <c r="P504" s="69">
        <f t="shared" si="116"/>
        <v>4963.8866666666663</v>
      </c>
      <c r="Q504" s="69">
        <f t="shared" si="116"/>
        <v>4917</v>
      </c>
      <c r="R504" s="54"/>
      <c r="S504" s="49"/>
      <c r="T504" s="49"/>
      <c r="U504" s="49"/>
      <c r="V504" s="49"/>
      <c r="W504" s="49" t="s">
        <v>500</v>
      </c>
      <c r="X504" s="49"/>
      <c r="Y504" s="49"/>
      <c r="Z504" s="66">
        <v>5411</v>
      </c>
      <c r="AA504" s="140"/>
      <c r="AB504" s="66">
        <f>ROUND(7535.85, 0)</f>
        <v>7536</v>
      </c>
      <c r="AC504" s="66">
        <f>ROUND(7535.85, 0)</f>
        <v>7536</v>
      </c>
      <c r="AD504" s="66">
        <f>ROUND(7535.85, 0)</f>
        <v>7536</v>
      </c>
      <c r="AE504" s="66">
        <f>ROUND(7535.85, 0)</f>
        <v>7536</v>
      </c>
      <c r="AG504" s="89" t="s">
        <v>880</v>
      </c>
      <c r="AH504" s="81">
        <f t="shared" si="131"/>
        <v>2125</v>
      </c>
      <c r="AI504" s="81">
        <f t="shared" si="132"/>
        <v>0</v>
      </c>
      <c r="AJ504" s="81">
        <f t="shared" si="132"/>
        <v>0</v>
      </c>
    </row>
    <row r="505" spans="1:36" ht="16" x14ac:dyDescent="0.35">
      <c r="A505" s="66"/>
      <c r="B505" s="66"/>
      <c r="C505" s="49"/>
      <c r="D505" s="49"/>
      <c r="E505" s="49" t="s">
        <v>501</v>
      </c>
      <c r="F505" s="49"/>
      <c r="G505" s="49"/>
      <c r="H505" s="63">
        <v>0</v>
      </c>
      <c r="I505" s="63">
        <v>0</v>
      </c>
      <c r="J505" s="64">
        <v>14469.34</v>
      </c>
      <c r="K505" s="64">
        <v>2000</v>
      </c>
      <c r="L505" s="65">
        <v>16282.95</v>
      </c>
      <c r="M505" s="65">
        <v>2000</v>
      </c>
      <c r="N505" s="66">
        <f t="shared" si="130"/>
        <v>30752.29</v>
      </c>
      <c r="O505" s="66">
        <f t="shared" si="130"/>
        <v>4000</v>
      </c>
      <c r="P505" s="69">
        <f t="shared" si="116"/>
        <v>10250.763333333334</v>
      </c>
      <c r="Q505" s="69">
        <f t="shared" si="116"/>
        <v>1333.3333333333333</v>
      </c>
      <c r="R505" s="54"/>
      <c r="S505" s="49"/>
      <c r="T505" s="49"/>
      <c r="U505" s="49"/>
      <c r="V505" s="49"/>
      <c r="W505" s="49" t="s">
        <v>501</v>
      </c>
      <c r="X505" s="49"/>
      <c r="Y505" s="49"/>
      <c r="Z505" s="66">
        <v>2000</v>
      </c>
      <c r="AA505" s="140"/>
      <c r="AB505" s="66">
        <v>0</v>
      </c>
      <c r="AC505" s="66">
        <v>0</v>
      </c>
      <c r="AD505" s="66">
        <v>0</v>
      </c>
      <c r="AE505" s="66">
        <v>0</v>
      </c>
      <c r="AG505" s="89"/>
      <c r="AH505" s="81">
        <f t="shared" si="131"/>
        <v>-2000</v>
      </c>
      <c r="AI505" s="81">
        <f t="shared" si="132"/>
        <v>0</v>
      </c>
      <c r="AJ505" s="81">
        <f t="shared" si="132"/>
        <v>0</v>
      </c>
    </row>
    <row r="506" spans="1:36" ht="16" x14ac:dyDescent="0.35">
      <c r="A506" s="66"/>
      <c r="B506" s="66"/>
      <c r="C506" s="49"/>
      <c r="D506" s="49"/>
      <c r="E506" s="49" t="s">
        <v>502</v>
      </c>
      <c r="F506" s="49"/>
      <c r="G506" s="49"/>
      <c r="H506" s="63">
        <v>15158.69</v>
      </c>
      <c r="I506" s="63">
        <v>50000</v>
      </c>
      <c r="J506" s="64">
        <v>5299.22</v>
      </c>
      <c r="K506" s="64">
        <v>10000</v>
      </c>
      <c r="L506" s="65">
        <v>10963.76</v>
      </c>
      <c r="M506" s="65">
        <v>45000</v>
      </c>
      <c r="N506" s="66">
        <f t="shared" si="130"/>
        <v>31421.67</v>
      </c>
      <c r="O506" s="66">
        <f t="shared" si="130"/>
        <v>105000</v>
      </c>
      <c r="P506" s="69">
        <f t="shared" si="116"/>
        <v>10473.89</v>
      </c>
      <c r="Q506" s="69">
        <f t="shared" si="116"/>
        <v>35000</v>
      </c>
      <c r="R506" s="54"/>
      <c r="S506" s="49"/>
      <c r="T506" s="49"/>
      <c r="U506" s="49"/>
      <c r="V506" s="49"/>
      <c r="W506" s="49" t="s">
        <v>502</v>
      </c>
      <c r="X506" s="49"/>
      <c r="Y506" s="49"/>
      <c r="Z506" s="66">
        <v>20000</v>
      </c>
      <c r="AA506" s="140"/>
      <c r="AB506" s="69">
        <v>20000</v>
      </c>
      <c r="AC506" s="69">
        <v>10000</v>
      </c>
      <c r="AD506" s="69">
        <v>10000</v>
      </c>
      <c r="AE506" s="69">
        <v>10000</v>
      </c>
      <c r="AG506" s="90" t="s">
        <v>845</v>
      </c>
      <c r="AH506" s="81">
        <f t="shared" si="131"/>
        <v>0</v>
      </c>
      <c r="AI506" s="81">
        <f t="shared" si="132"/>
        <v>-10000</v>
      </c>
      <c r="AJ506" s="81">
        <f t="shared" si="132"/>
        <v>0</v>
      </c>
    </row>
    <row r="507" spans="1:36" x14ac:dyDescent="0.35">
      <c r="A507" s="66"/>
      <c r="B507" s="66"/>
      <c r="C507" s="49"/>
      <c r="D507" s="49"/>
      <c r="E507" s="49" t="s">
        <v>503</v>
      </c>
      <c r="F507" s="49"/>
      <c r="G507" s="49"/>
      <c r="H507" s="63">
        <v>1942.71</v>
      </c>
      <c r="I507" s="63">
        <v>0</v>
      </c>
      <c r="J507" s="64">
        <v>1701.44</v>
      </c>
      <c r="K507" s="64">
        <v>1500</v>
      </c>
      <c r="L507" s="65">
        <v>1553.27</v>
      </c>
      <c r="M507" s="65">
        <v>1650</v>
      </c>
      <c r="N507" s="66">
        <f t="shared" si="130"/>
        <v>5197.42</v>
      </c>
      <c r="O507" s="66">
        <f t="shared" si="130"/>
        <v>3150</v>
      </c>
      <c r="P507" s="69">
        <f t="shared" si="116"/>
        <v>1732.4733333333334</v>
      </c>
      <c r="Q507" s="69">
        <f t="shared" si="116"/>
        <v>1050</v>
      </c>
      <c r="R507" s="54"/>
      <c r="S507" s="49"/>
      <c r="T507" s="49"/>
      <c r="U507" s="49"/>
      <c r="V507" s="49"/>
      <c r="W507" s="49" t="s">
        <v>503</v>
      </c>
      <c r="X507" s="49"/>
      <c r="Y507" s="49"/>
      <c r="Z507" s="66">
        <v>1650</v>
      </c>
      <c r="AA507" s="140"/>
      <c r="AB507" s="66">
        <v>1600</v>
      </c>
      <c r="AC507" s="66">
        <v>1600</v>
      </c>
      <c r="AD507" s="66">
        <v>1600</v>
      </c>
      <c r="AE507" s="66">
        <v>1600</v>
      </c>
      <c r="AH507" s="81">
        <f t="shared" si="131"/>
        <v>-50</v>
      </c>
      <c r="AI507" s="81">
        <f t="shared" si="132"/>
        <v>0</v>
      </c>
      <c r="AJ507" s="81">
        <f t="shared" si="132"/>
        <v>0</v>
      </c>
    </row>
    <row r="508" spans="1:36" x14ac:dyDescent="0.35">
      <c r="A508" s="66"/>
      <c r="B508" s="66"/>
      <c r="C508" s="49"/>
      <c r="D508" s="49"/>
      <c r="E508" s="49" t="s">
        <v>504</v>
      </c>
      <c r="F508" s="49"/>
      <c r="G508" s="49"/>
      <c r="H508" s="63">
        <v>43056.86</v>
      </c>
      <c r="I508" s="63">
        <v>43200</v>
      </c>
      <c r="J508" s="64">
        <v>49577.21</v>
      </c>
      <c r="K508" s="64">
        <v>40000</v>
      </c>
      <c r="L508" s="65">
        <v>49198.66</v>
      </c>
      <c r="M508" s="65">
        <v>43000</v>
      </c>
      <c r="N508" s="66">
        <f t="shared" si="130"/>
        <v>141832.73000000001</v>
      </c>
      <c r="O508" s="66">
        <f t="shared" si="130"/>
        <v>126200</v>
      </c>
      <c r="P508" s="69">
        <f t="shared" si="116"/>
        <v>47277.576666666668</v>
      </c>
      <c r="Q508" s="69">
        <f t="shared" si="116"/>
        <v>42066.666666666664</v>
      </c>
      <c r="R508" s="54"/>
      <c r="S508" s="49"/>
      <c r="T508" s="49"/>
      <c r="U508" s="49"/>
      <c r="V508" s="49"/>
      <c r="W508" s="49" t="s">
        <v>504</v>
      </c>
      <c r="X508" s="49"/>
      <c r="Y508" s="49"/>
      <c r="Z508" s="66">
        <v>53400</v>
      </c>
      <c r="AA508" s="140"/>
      <c r="AB508" s="66">
        <v>50400</v>
      </c>
      <c r="AC508" s="66">
        <v>50400</v>
      </c>
      <c r="AD508" s="66">
        <v>50400</v>
      </c>
      <c r="AE508" s="66">
        <v>50400</v>
      </c>
      <c r="AG508" s="111"/>
      <c r="AH508" s="81">
        <f t="shared" si="131"/>
        <v>-3000</v>
      </c>
      <c r="AI508" s="81">
        <f t="shared" si="132"/>
        <v>0</v>
      </c>
      <c r="AJ508" s="81">
        <f t="shared" si="132"/>
        <v>0</v>
      </c>
    </row>
    <row r="509" spans="1:36" x14ac:dyDescent="0.35">
      <c r="A509" s="66"/>
      <c r="B509" s="66"/>
      <c r="C509" s="49"/>
      <c r="D509" s="49"/>
      <c r="E509" s="49" t="s">
        <v>505</v>
      </c>
      <c r="F509" s="49"/>
      <c r="G509" s="49"/>
      <c r="H509" s="63">
        <v>29693.03</v>
      </c>
      <c r="I509" s="63">
        <v>25200</v>
      </c>
      <c r="J509" s="64">
        <v>29633.54</v>
      </c>
      <c r="K509" s="64">
        <v>26000</v>
      </c>
      <c r="L509" s="65">
        <v>30299.87</v>
      </c>
      <c r="M509" s="65">
        <v>30000</v>
      </c>
      <c r="N509" s="66">
        <f t="shared" si="130"/>
        <v>89626.44</v>
      </c>
      <c r="O509" s="66">
        <f t="shared" si="130"/>
        <v>81200</v>
      </c>
      <c r="P509" s="69">
        <f t="shared" ref="P509:Q569" si="133">N509/3</f>
        <v>29875.48</v>
      </c>
      <c r="Q509" s="69">
        <f t="shared" si="133"/>
        <v>27066.666666666668</v>
      </c>
      <c r="R509" s="54"/>
      <c r="S509" s="49"/>
      <c r="T509" s="49"/>
      <c r="U509" s="49"/>
      <c r="V509" s="49"/>
      <c r="W509" s="49" t="s">
        <v>505</v>
      </c>
      <c r="X509" s="49"/>
      <c r="Y509" s="49"/>
      <c r="Z509" s="66">
        <v>32964</v>
      </c>
      <c r="AA509" s="140"/>
      <c r="AB509" s="66">
        <v>29886</v>
      </c>
      <c r="AC509" s="66">
        <v>29886</v>
      </c>
      <c r="AD509" s="66">
        <v>29886</v>
      </c>
      <c r="AE509" s="66">
        <v>29886</v>
      </c>
      <c r="AG509" s="112"/>
      <c r="AH509" s="81">
        <f t="shared" si="131"/>
        <v>-3078</v>
      </c>
      <c r="AI509" s="81">
        <f t="shared" si="132"/>
        <v>0</v>
      </c>
      <c r="AJ509" s="81">
        <f t="shared" si="132"/>
        <v>0</v>
      </c>
    </row>
    <row r="510" spans="1:36" x14ac:dyDescent="0.35">
      <c r="A510" s="66"/>
      <c r="B510" s="66"/>
      <c r="C510" s="49"/>
      <c r="D510" s="49"/>
      <c r="E510" s="49" t="s">
        <v>506</v>
      </c>
      <c r="F510" s="49"/>
      <c r="G510" s="49"/>
      <c r="H510" s="63">
        <v>0</v>
      </c>
      <c r="I510" s="63">
        <v>700</v>
      </c>
      <c r="J510" s="64">
        <v>0</v>
      </c>
      <c r="K510" s="64">
        <v>500</v>
      </c>
      <c r="L510" s="65">
        <v>0</v>
      </c>
      <c r="M510" s="65">
        <v>575</v>
      </c>
      <c r="N510" s="66">
        <f t="shared" si="130"/>
        <v>0</v>
      </c>
      <c r="O510" s="66">
        <f t="shared" si="130"/>
        <v>1775</v>
      </c>
      <c r="P510" s="69">
        <f t="shared" si="133"/>
        <v>0</v>
      </c>
      <c r="Q510" s="69">
        <f t="shared" si="133"/>
        <v>591.66666666666663</v>
      </c>
      <c r="R510" s="54"/>
      <c r="S510" s="49"/>
      <c r="T510" s="49"/>
      <c r="U510" s="49"/>
      <c r="V510" s="49"/>
      <c r="W510" s="49" t="s">
        <v>506</v>
      </c>
      <c r="X510" s="49"/>
      <c r="Y510" s="49"/>
      <c r="Z510" s="66">
        <v>700</v>
      </c>
      <c r="AA510" s="140"/>
      <c r="AB510" s="66">
        <v>700</v>
      </c>
      <c r="AC510" s="66">
        <v>700</v>
      </c>
      <c r="AD510" s="66">
        <v>700</v>
      </c>
      <c r="AE510" s="66">
        <v>700</v>
      </c>
      <c r="AH510" s="81">
        <f t="shared" si="131"/>
        <v>0</v>
      </c>
      <c r="AI510" s="81">
        <f t="shared" si="132"/>
        <v>0</v>
      </c>
      <c r="AJ510" s="81">
        <f t="shared" si="132"/>
        <v>0</v>
      </c>
    </row>
    <row r="511" spans="1:36" x14ac:dyDescent="0.35">
      <c r="A511" s="66"/>
      <c r="B511" s="66"/>
      <c r="C511" s="49"/>
      <c r="D511" s="49"/>
      <c r="E511" s="49" t="s">
        <v>507</v>
      </c>
      <c r="F511" s="49"/>
      <c r="G511" s="49"/>
      <c r="H511" s="63">
        <v>11143.42</v>
      </c>
      <c r="I511" s="63">
        <v>11688</v>
      </c>
      <c r="J511" s="64">
        <v>11624.25</v>
      </c>
      <c r="K511" s="64">
        <v>10368</v>
      </c>
      <c r="L511" s="65">
        <v>11804</v>
      </c>
      <c r="M511" s="65">
        <v>11238</v>
      </c>
      <c r="N511" s="66">
        <f t="shared" si="130"/>
        <v>34571.67</v>
      </c>
      <c r="O511" s="66">
        <f t="shared" si="130"/>
        <v>33294</v>
      </c>
      <c r="P511" s="69">
        <f t="shared" si="133"/>
        <v>11523.89</v>
      </c>
      <c r="Q511" s="69">
        <f t="shared" si="133"/>
        <v>11098</v>
      </c>
      <c r="R511" s="54"/>
      <c r="S511" s="49"/>
      <c r="T511" s="49"/>
      <c r="U511" s="49"/>
      <c r="V511" s="49"/>
      <c r="W511" s="49" t="s">
        <v>507</v>
      </c>
      <c r="X511" s="49"/>
      <c r="Y511" s="49"/>
      <c r="Z511" s="66">
        <v>10173</v>
      </c>
      <c r="AA511" s="140"/>
      <c r="AB511" s="66">
        <v>13488</v>
      </c>
      <c r="AC511" s="66">
        <v>13488</v>
      </c>
      <c r="AD511" s="66">
        <v>13488</v>
      </c>
      <c r="AE511" s="66">
        <v>13488</v>
      </c>
      <c r="AH511" s="81">
        <f t="shared" si="131"/>
        <v>3315</v>
      </c>
      <c r="AI511" s="81">
        <f t="shared" si="132"/>
        <v>0</v>
      </c>
      <c r="AJ511" s="81">
        <f t="shared" si="132"/>
        <v>0</v>
      </c>
    </row>
    <row r="512" spans="1:36" x14ac:dyDescent="0.35">
      <c r="A512" s="66"/>
      <c r="B512" s="66"/>
      <c r="C512" s="49"/>
      <c r="D512" s="49"/>
      <c r="E512" s="49" t="s">
        <v>508</v>
      </c>
      <c r="F512" s="49"/>
      <c r="G512" s="49"/>
      <c r="H512" s="63">
        <v>23426.28</v>
      </c>
      <c r="I512" s="63">
        <v>12424</v>
      </c>
      <c r="J512" s="64">
        <v>25016.84</v>
      </c>
      <c r="K512" s="64">
        <v>23200</v>
      </c>
      <c r="L512" s="65">
        <v>28552.11</v>
      </c>
      <c r="M512" s="65">
        <v>26073</v>
      </c>
      <c r="N512" s="66">
        <f t="shared" si="130"/>
        <v>76995.23</v>
      </c>
      <c r="O512" s="66">
        <f t="shared" si="130"/>
        <v>61697</v>
      </c>
      <c r="P512" s="69">
        <f t="shared" si="133"/>
        <v>25665.076666666664</v>
      </c>
      <c r="Q512" s="69">
        <f t="shared" si="133"/>
        <v>20565.666666666668</v>
      </c>
      <c r="R512" s="54"/>
      <c r="S512" s="49"/>
      <c r="T512" s="49"/>
      <c r="U512" s="49"/>
      <c r="V512" s="49"/>
      <c r="W512" s="49" t="s">
        <v>508</v>
      </c>
      <c r="X512" s="49"/>
      <c r="Y512" s="49"/>
      <c r="Z512" s="66">
        <v>29969</v>
      </c>
      <c r="AA512" s="140"/>
      <c r="AB512" s="66">
        <v>0</v>
      </c>
      <c r="AC512" s="66">
        <v>0</v>
      </c>
      <c r="AD512" s="66">
        <v>0</v>
      </c>
      <c r="AE512" s="66">
        <v>0</v>
      </c>
      <c r="AG512" s="46" t="s">
        <v>847</v>
      </c>
      <c r="AH512" s="81">
        <f t="shared" si="131"/>
        <v>-29969</v>
      </c>
      <c r="AI512" s="81">
        <f t="shared" si="132"/>
        <v>0</v>
      </c>
      <c r="AJ512" s="81">
        <f t="shared" si="132"/>
        <v>0</v>
      </c>
    </row>
    <row r="513" spans="1:36" x14ac:dyDescent="0.35">
      <c r="A513" s="66"/>
      <c r="B513" s="66"/>
      <c r="C513" s="49"/>
      <c r="D513" s="49"/>
      <c r="E513" s="49" t="s">
        <v>509</v>
      </c>
      <c r="F513" s="49"/>
      <c r="G513" s="49"/>
      <c r="H513" s="63">
        <v>32596.51</v>
      </c>
      <c r="I513" s="63">
        <v>32227.24</v>
      </c>
      <c r="J513" s="64">
        <v>35370.050000000003</v>
      </c>
      <c r="K513" s="64">
        <v>32800</v>
      </c>
      <c r="L513" s="65">
        <v>38961.4</v>
      </c>
      <c r="M513" s="65">
        <v>35599</v>
      </c>
      <c r="N513" s="66">
        <f t="shared" si="130"/>
        <v>106927.96</v>
      </c>
      <c r="O513" s="66">
        <f t="shared" si="130"/>
        <v>100626.24000000001</v>
      </c>
      <c r="P513" s="69">
        <f t="shared" si="133"/>
        <v>35642.653333333335</v>
      </c>
      <c r="Q513" s="69">
        <f t="shared" si="133"/>
        <v>33542.080000000002</v>
      </c>
      <c r="R513" s="54"/>
      <c r="S513" s="49"/>
      <c r="T513" s="49"/>
      <c r="U513" s="49"/>
      <c r="V513" s="49"/>
      <c r="W513" s="49" t="s">
        <v>509</v>
      </c>
      <c r="X513" s="49"/>
      <c r="Y513" s="49"/>
      <c r="Z513" s="66">
        <v>50578</v>
      </c>
      <c r="AA513" s="140"/>
      <c r="AB513" s="66">
        <v>49805</v>
      </c>
      <c r="AC513" s="66">
        <v>49805</v>
      </c>
      <c r="AD513" s="66">
        <v>49805</v>
      </c>
      <c r="AE513" s="66">
        <v>49805</v>
      </c>
      <c r="AH513" s="81">
        <f t="shared" si="131"/>
        <v>-773</v>
      </c>
      <c r="AI513" s="81">
        <f t="shared" si="132"/>
        <v>0</v>
      </c>
      <c r="AJ513" s="81">
        <f t="shared" si="132"/>
        <v>0</v>
      </c>
    </row>
    <row r="514" spans="1:36" x14ac:dyDescent="0.35">
      <c r="A514" s="66"/>
      <c r="B514" s="66"/>
      <c r="C514" s="49"/>
      <c r="D514" s="49"/>
      <c r="E514" s="49" t="s">
        <v>510</v>
      </c>
      <c r="F514" s="49"/>
      <c r="G514" s="49"/>
      <c r="H514" s="63"/>
      <c r="I514" s="63"/>
      <c r="J514" s="64"/>
      <c r="K514" s="64"/>
      <c r="L514" s="65"/>
      <c r="M514" s="65"/>
      <c r="N514" s="66"/>
      <c r="O514" s="66"/>
      <c r="P514" s="69"/>
      <c r="Q514" s="69"/>
      <c r="R514" s="54"/>
      <c r="S514" s="49"/>
      <c r="T514" s="49"/>
      <c r="U514" s="49"/>
      <c r="V514" s="49"/>
      <c r="W514" s="49" t="s">
        <v>510</v>
      </c>
      <c r="X514" s="49"/>
      <c r="Y514" s="49"/>
      <c r="Z514" s="66"/>
      <c r="AA514" s="140"/>
      <c r="AB514" s="66"/>
      <c r="AC514" s="66"/>
      <c r="AD514" s="66"/>
      <c r="AE514" s="66"/>
      <c r="AH514" s="81">
        <f t="shared" si="131"/>
        <v>0</v>
      </c>
      <c r="AI514" s="81">
        <f t="shared" si="132"/>
        <v>0</v>
      </c>
      <c r="AJ514" s="81">
        <f t="shared" si="132"/>
        <v>0</v>
      </c>
    </row>
    <row r="515" spans="1:36" x14ac:dyDescent="0.35">
      <c r="A515" s="66"/>
      <c r="B515" s="66"/>
      <c r="C515" s="49"/>
      <c r="D515" s="49"/>
      <c r="E515" s="49"/>
      <c r="F515" s="49" t="s">
        <v>511</v>
      </c>
      <c r="G515" s="49"/>
      <c r="H515" s="63">
        <v>8700</v>
      </c>
      <c r="I515" s="63">
        <v>15000</v>
      </c>
      <c r="J515" s="64">
        <v>24061</v>
      </c>
      <c r="K515" s="64">
        <v>25000</v>
      </c>
      <c r="L515" s="65">
        <v>24976</v>
      </c>
      <c r="M515" s="65">
        <v>25000</v>
      </c>
      <c r="N515" s="66">
        <f t="shared" ref="N515:O530" si="134">ROUND(H515+J515+L515,5)</f>
        <v>57737</v>
      </c>
      <c r="O515" s="66">
        <f t="shared" si="134"/>
        <v>65000</v>
      </c>
      <c r="P515" s="69">
        <f t="shared" si="133"/>
        <v>19245.666666666668</v>
      </c>
      <c r="Q515" s="69">
        <f t="shared" si="133"/>
        <v>21666.666666666668</v>
      </c>
      <c r="R515" s="54"/>
      <c r="S515" s="49"/>
      <c r="T515" s="49"/>
      <c r="U515" s="49"/>
      <c r="V515" s="49"/>
      <c r="W515" s="49"/>
      <c r="X515" s="49" t="s">
        <v>511</v>
      </c>
      <c r="Y515" s="49"/>
      <c r="Z515" s="66">
        <v>25000</v>
      </c>
      <c r="AA515" s="140"/>
      <c r="AB515" s="66">
        <v>25000</v>
      </c>
      <c r="AC515" s="66">
        <v>20000</v>
      </c>
      <c r="AD515" s="66">
        <v>20000</v>
      </c>
      <c r="AE515" s="66">
        <v>20000</v>
      </c>
      <c r="AH515" s="81">
        <f t="shared" si="131"/>
        <v>0</v>
      </c>
      <c r="AI515" s="81">
        <f t="shared" si="132"/>
        <v>-5000</v>
      </c>
      <c r="AJ515" s="81">
        <f t="shared" si="132"/>
        <v>0</v>
      </c>
    </row>
    <row r="516" spans="1:36" x14ac:dyDescent="0.35">
      <c r="A516" s="66"/>
      <c r="B516" s="66"/>
      <c r="C516" s="49"/>
      <c r="D516" s="49"/>
      <c r="E516" s="49"/>
      <c r="F516" s="49" t="s">
        <v>512</v>
      </c>
      <c r="G516" s="49"/>
      <c r="H516" s="63">
        <v>968.76</v>
      </c>
      <c r="I516" s="63">
        <v>40000</v>
      </c>
      <c r="J516" s="64">
        <v>11604.98</v>
      </c>
      <c r="K516" s="64">
        <v>18000</v>
      </c>
      <c r="L516" s="65">
        <v>9768.11</v>
      </c>
      <c r="M516" s="65">
        <v>30000</v>
      </c>
      <c r="N516" s="66">
        <f t="shared" si="134"/>
        <v>22341.85</v>
      </c>
      <c r="O516" s="66">
        <f t="shared" si="134"/>
        <v>88000</v>
      </c>
      <c r="P516" s="69">
        <f t="shared" si="133"/>
        <v>7447.2833333333328</v>
      </c>
      <c r="Q516" s="69">
        <f t="shared" si="133"/>
        <v>29333.333333333332</v>
      </c>
      <c r="R516" s="54"/>
      <c r="S516" s="49"/>
      <c r="T516" s="49"/>
      <c r="U516" s="49"/>
      <c r="V516" s="49"/>
      <c r="W516" s="49"/>
      <c r="X516" s="49" t="s">
        <v>512</v>
      </c>
      <c r="Y516" s="49"/>
      <c r="Z516" s="66">
        <v>35000</v>
      </c>
      <c r="AA516" s="140"/>
      <c r="AB516" s="66">
        <v>20000</v>
      </c>
      <c r="AC516" s="66">
        <v>15000</v>
      </c>
      <c r="AD516" s="66">
        <v>15000</v>
      </c>
      <c r="AE516" s="66">
        <v>15000</v>
      </c>
      <c r="AH516" s="81">
        <f t="shared" si="131"/>
        <v>-15000</v>
      </c>
      <c r="AI516" s="81">
        <f t="shared" si="132"/>
        <v>-5000</v>
      </c>
      <c r="AJ516" s="81">
        <f t="shared" si="132"/>
        <v>0</v>
      </c>
    </row>
    <row r="517" spans="1:36" ht="16" thickBot="1" x14ac:dyDescent="0.4">
      <c r="A517" s="66"/>
      <c r="B517" s="66"/>
      <c r="C517" s="49"/>
      <c r="D517" s="49"/>
      <c r="E517" s="49"/>
      <c r="F517" s="49" t="s">
        <v>513</v>
      </c>
      <c r="G517" s="49"/>
      <c r="H517" s="70">
        <v>18640.98</v>
      </c>
      <c r="I517" s="70">
        <v>20000</v>
      </c>
      <c r="J517" s="71">
        <v>34056.79</v>
      </c>
      <c r="K517" s="71">
        <v>15000</v>
      </c>
      <c r="L517" s="72">
        <v>41936.720000000001</v>
      </c>
      <c r="M517" s="72">
        <v>20000</v>
      </c>
      <c r="N517" s="73">
        <f t="shared" si="134"/>
        <v>94634.49</v>
      </c>
      <c r="O517" s="73">
        <f t="shared" si="134"/>
        <v>55000</v>
      </c>
      <c r="P517" s="74">
        <f t="shared" si="133"/>
        <v>31544.83</v>
      </c>
      <c r="Q517" s="74">
        <f t="shared" si="133"/>
        <v>18333.333333333332</v>
      </c>
      <c r="R517" s="54"/>
      <c r="S517" s="49"/>
      <c r="T517" s="49"/>
      <c r="U517" s="49"/>
      <c r="V517" s="49"/>
      <c r="W517" s="49"/>
      <c r="X517" s="49" t="s">
        <v>513</v>
      </c>
      <c r="Y517" s="49"/>
      <c r="Z517" s="73">
        <v>30000</v>
      </c>
      <c r="AA517" s="140"/>
      <c r="AB517" s="73">
        <v>35000</v>
      </c>
      <c r="AC517" s="73">
        <v>30000</v>
      </c>
      <c r="AD517" s="73">
        <v>30000</v>
      </c>
      <c r="AE517" s="73">
        <v>30000</v>
      </c>
      <c r="AH517" s="81">
        <f t="shared" si="131"/>
        <v>5000</v>
      </c>
      <c r="AI517" s="81">
        <f t="shared" si="132"/>
        <v>-5000</v>
      </c>
      <c r="AJ517" s="81">
        <f t="shared" si="132"/>
        <v>0</v>
      </c>
    </row>
    <row r="518" spans="1:36" x14ac:dyDescent="0.35">
      <c r="A518" s="66"/>
      <c r="B518" s="66"/>
      <c r="C518" s="49"/>
      <c r="D518" s="49"/>
      <c r="E518" s="49" t="s">
        <v>514</v>
      </c>
      <c r="F518" s="49"/>
      <c r="G518" s="49"/>
      <c r="H518" s="63">
        <f t="shared" ref="H518:M518" si="135">ROUND(SUM(H514:H517),5)</f>
        <v>28309.74</v>
      </c>
      <c r="I518" s="63">
        <f t="shared" si="135"/>
        <v>75000</v>
      </c>
      <c r="J518" s="64">
        <f t="shared" si="135"/>
        <v>69722.77</v>
      </c>
      <c r="K518" s="64">
        <f t="shared" si="135"/>
        <v>58000</v>
      </c>
      <c r="L518" s="65">
        <f t="shared" si="135"/>
        <v>76680.83</v>
      </c>
      <c r="M518" s="65">
        <f t="shared" si="135"/>
        <v>75000</v>
      </c>
      <c r="N518" s="66">
        <f t="shared" si="134"/>
        <v>174713.34</v>
      </c>
      <c r="O518" s="66">
        <f t="shared" si="134"/>
        <v>208000</v>
      </c>
      <c r="P518" s="69">
        <f t="shared" si="133"/>
        <v>58237.78</v>
      </c>
      <c r="Q518" s="69">
        <f t="shared" si="133"/>
        <v>69333.333333333328</v>
      </c>
      <c r="R518" s="54"/>
      <c r="S518" s="49"/>
      <c r="T518" s="49"/>
      <c r="U518" s="49"/>
      <c r="V518" s="49"/>
      <c r="W518" s="49" t="s">
        <v>514</v>
      </c>
      <c r="X518" s="49"/>
      <c r="Y518" s="49"/>
      <c r="Z518" s="66">
        <f>ROUND(SUM(Z514:Z517),5)</f>
        <v>90000</v>
      </c>
      <c r="AA518" s="140"/>
      <c r="AB518" s="66">
        <f>ROUND(SUM(AB514:AB517),5)</f>
        <v>80000</v>
      </c>
      <c r="AC518" s="66">
        <f>ROUND(SUM(AC514:AC517),5)</f>
        <v>65000</v>
      </c>
      <c r="AD518" s="66">
        <f>ROUND(SUM(AD514:AD517),5)</f>
        <v>65000</v>
      </c>
      <c r="AE518" s="66">
        <f>ROUND(SUM(AE514:AE517),5)</f>
        <v>65000</v>
      </c>
      <c r="AH518" s="81">
        <f t="shared" si="131"/>
        <v>-10000</v>
      </c>
      <c r="AI518" s="81">
        <f t="shared" si="132"/>
        <v>-15000</v>
      </c>
      <c r="AJ518" s="81">
        <f t="shared" si="132"/>
        <v>0</v>
      </c>
    </row>
    <row r="519" spans="1:36" x14ac:dyDescent="0.35">
      <c r="A519" s="66"/>
      <c r="B519" s="66"/>
      <c r="C519" s="49"/>
      <c r="D519" s="49"/>
      <c r="E519" s="49" t="s">
        <v>515</v>
      </c>
      <c r="F519" s="49"/>
      <c r="G519" s="49"/>
      <c r="H519" s="63">
        <v>4964.49</v>
      </c>
      <c r="I519" s="63">
        <v>2000</v>
      </c>
      <c r="J519" s="64">
        <v>2885.14</v>
      </c>
      <c r="K519" s="64">
        <v>2880</v>
      </c>
      <c r="L519" s="65">
        <v>670.2</v>
      </c>
      <c r="M519" s="65">
        <v>3000</v>
      </c>
      <c r="N519" s="66">
        <f t="shared" si="134"/>
        <v>8519.83</v>
      </c>
      <c r="O519" s="66">
        <f t="shared" si="134"/>
        <v>7880</v>
      </c>
      <c r="P519" s="69">
        <f t="shared" si="133"/>
        <v>2839.9433333333332</v>
      </c>
      <c r="Q519" s="69">
        <f t="shared" si="133"/>
        <v>2626.6666666666665</v>
      </c>
      <c r="R519" s="54"/>
      <c r="S519" s="49"/>
      <c r="T519" s="49"/>
      <c r="U519" s="49"/>
      <c r="V519" s="49"/>
      <c r="W519" s="49" t="s">
        <v>515</v>
      </c>
      <c r="X519" s="49"/>
      <c r="Y519" s="49"/>
      <c r="Z519" s="66">
        <v>8000</v>
      </c>
      <c r="AA519" s="140"/>
      <c r="AB519" s="66">
        <v>2000</v>
      </c>
      <c r="AC519" s="66">
        <v>2000</v>
      </c>
      <c r="AD519" s="66">
        <v>2000</v>
      </c>
      <c r="AE519" s="66">
        <v>2000</v>
      </c>
      <c r="AH519" s="81">
        <f t="shared" si="131"/>
        <v>-6000</v>
      </c>
      <c r="AI519" s="81">
        <f t="shared" si="132"/>
        <v>0</v>
      </c>
      <c r="AJ519" s="81">
        <f t="shared" si="132"/>
        <v>0</v>
      </c>
    </row>
    <row r="520" spans="1:36" x14ac:dyDescent="0.35">
      <c r="A520" s="66"/>
      <c r="B520" s="66"/>
      <c r="C520" s="49"/>
      <c r="D520" s="49"/>
      <c r="E520" s="49" t="s">
        <v>516</v>
      </c>
      <c r="F520" s="49"/>
      <c r="G520" s="49"/>
      <c r="H520" s="63">
        <v>47274.94</v>
      </c>
      <c r="I520" s="63">
        <v>28524</v>
      </c>
      <c r="J520" s="64">
        <v>40863.71</v>
      </c>
      <c r="K520" s="64">
        <v>43665</v>
      </c>
      <c r="L520" s="65">
        <v>42646.15</v>
      </c>
      <c r="M520" s="65">
        <v>44757</v>
      </c>
      <c r="N520" s="66">
        <f t="shared" si="134"/>
        <v>130784.8</v>
      </c>
      <c r="O520" s="66">
        <f t="shared" si="134"/>
        <v>116946</v>
      </c>
      <c r="P520" s="69">
        <f t="shared" si="133"/>
        <v>43594.933333333334</v>
      </c>
      <c r="Q520" s="69">
        <f t="shared" si="133"/>
        <v>38982</v>
      </c>
      <c r="R520" s="54"/>
      <c r="S520" s="49"/>
      <c r="T520" s="49"/>
      <c r="U520" s="49"/>
      <c r="V520" s="49"/>
      <c r="W520" s="49" t="s">
        <v>516</v>
      </c>
      <c r="X520" s="49"/>
      <c r="Y520" s="49"/>
      <c r="Z520" s="66">
        <v>49516</v>
      </c>
      <c r="AA520" s="140"/>
      <c r="AB520" s="66">
        <v>82667.42</v>
      </c>
      <c r="AC520" s="66">
        <v>82667.42</v>
      </c>
      <c r="AD520" s="66">
        <v>82667.42</v>
      </c>
      <c r="AE520" s="66">
        <v>82667.42</v>
      </c>
      <c r="AH520" s="81">
        <f t="shared" si="131"/>
        <v>33151.42</v>
      </c>
      <c r="AI520" s="81">
        <f t="shared" si="132"/>
        <v>0</v>
      </c>
      <c r="AJ520" s="81">
        <f t="shared" si="132"/>
        <v>0</v>
      </c>
    </row>
    <row r="521" spans="1:36" x14ac:dyDescent="0.35">
      <c r="A521" s="66"/>
      <c r="B521" s="66"/>
      <c r="C521" s="49"/>
      <c r="D521" s="49"/>
      <c r="E521" s="49" t="s">
        <v>517</v>
      </c>
      <c r="F521" s="49"/>
      <c r="G521" s="49"/>
      <c r="H521" s="63">
        <v>4530.93</v>
      </c>
      <c r="I521" s="63">
        <v>3000</v>
      </c>
      <c r="J521" s="64">
        <v>2569.27</v>
      </c>
      <c r="K521" s="64">
        <v>5000</v>
      </c>
      <c r="L521" s="65">
        <v>3451.72</v>
      </c>
      <c r="M521" s="65">
        <v>0</v>
      </c>
      <c r="N521" s="66">
        <f t="shared" si="134"/>
        <v>10551.92</v>
      </c>
      <c r="O521" s="66">
        <f t="shared" si="134"/>
        <v>8000</v>
      </c>
      <c r="P521" s="69">
        <f t="shared" si="133"/>
        <v>3517.3066666666668</v>
      </c>
      <c r="Q521" s="69">
        <f t="shared" si="133"/>
        <v>2666.6666666666665</v>
      </c>
      <c r="R521" s="54"/>
      <c r="S521" s="49"/>
      <c r="T521" s="49"/>
      <c r="U521" s="49"/>
      <c r="V521" s="49"/>
      <c r="W521" s="49" t="s">
        <v>517</v>
      </c>
      <c r="X521" s="49"/>
      <c r="Y521" s="49"/>
      <c r="Z521" s="66">
        <v>3000</v>
      </c>
      <c r="AA521" s="140"/>
      <c r="AB521" s="66">
        <v>2000</v>
      </c>
      <c r="AC521" s="66">
        <v>2000</v>
      </c>
      <c r="AD521" s="66">
        <v>2000</v>
      </c>
      <c r="AE521" s="66">
        <v>0</v>
      </c>
      <c r="AH521" s="81">
        <f t="shared" si="131"/>
        <v>-1000</v>
      </c>
      <c r="AI521" s="81">
        <f t="shared" si="132"/>
        <v>0</v>
      </c>
      <c r="AJ521" s="81">
        <f t="shared" si="132"/>
        <v>0</v>
      </c>
    </row>
    <row r="522" spans="1:36" x14ac:dyDescent="0.35">
      <c r="A522" s="66"/>
      <c r="B522" s="66"/>
      <c r="C522" s="49"/>
      <c r="D522" s="49"/>
      <c r="E522" s="49" t="s">
        <v>518</v>
      </c>
      <c r="F522" s="49"/>
      <c r="G522" s="49"/>
      <c r="H522" s="63">
        <v>898.07</v>
      </c>
      <c r="I522" s="63">
        <v>2000</v>
      </c>
      <c r="J522" s="64">
        <v>386.15</v>
      </c>
      <c r="K522" s="64">
        <v>1000</v>
      </c>
      <c r="L522" s="65">
        <v>324.02999999999997</v>
      </c>
      <c r="M522" s="65">
        <v>1000</v>
      </c>
      <c r="N522" s="66">
        <f t="shared" si="134"/>
        <v>1608.25</v>
      </c>
      <c r="O522" s="66">
        <f t="shared" si="134"/>
        <v>4000</v>
      </c>
      <c r="P522" s="69">
        <f t="shared" si="133"/>
        <v>536.08333333333337</v>
      </c>
      <c r="Q522" s="69">
        <f t="shared" si="133"/>
        <v>1333.3333333333333</v>
      </c>
      <c r="R522" s="54"/>
      <c r="S522" s="49"/>
      <c r="T522" s="49"/>
      <c r="U522" s="49"/>
      <c r="V522" s="49"/>
      <c r="W522" s="49" t="s">
        <v>518</v>
      </c>
      <c r="X522" s="49"/>
      <c r="Y522" s="49"/>
      <c r="Z522" s="66">
        <v>1000</v>
      </c>
      <c r="AA522" s="140"/>
      <c r="AB522" s="66">
        <v>1000</v>
      </c>
      <c r="AC522" s="66">
        <v>1000</v>
      </c>
      <c r="AD522" s="66">
        <v>1000</v>
      </c>
      <c r="AE522" s="66">
        <v>1000</v>
      </c>
      <c r="AH522" s="81">
        <f t="shared" si="131"/>
        <v>0</v>
      </c>
      <c r="AI522" s="81">
        <f t="shared" si="132"/>
        <v>0</v>
      </c>
      <c r="AJ522" s="81">
        <f t="shared" si="132"/>
        <v>0</v>
      </c>
    </row>
    <row r="523" spans="1:36" x14ac:dyDescent="0.35">
      <c r="A523" s="66"/>
      <c r="B523" s="66"/>
      <c r="C523" s="49"/>
      <c r="D523" s="49"/>
      <c r="E523" s="49" t="s">
        <v>519</v>
      </c>
      <c r="F523" s="49"/>
      <c r="G523" s="49"/>
      <c r="H523" s="63">
        <v>0</v>
      </c>
      <c r="I523" s="63"/>
      <c r="J523" s="64">
        <v>0</v>
      </c>
      <c r="K523" s="64"/>
      <c r="L523" s="65">
        <v>86.03</v>
      </c>
      <c r="M523" s="65"/>
      <c r="N523" s="66">
        <f t="shared" si="134"/>
        <v>86.03</v>
      </c>
      <c r="O523" s="66"/>
      <c r="P523" s="69">
        <f t="shared" si="133"/>
        <v>28.676666666666666</v>
      </c>
      <c r="Q523" s="69">
        <f t="shared" si="133"/>
        <v>0</v>
      </c>
      <c r="R523" s="54"/>
      <c r="S523" s="49"/>
      <c r="T523" s="49"/>
      <c r="U523" s="49"/>
      <c r="V523" s="49"/>
      <c r="W523" s="49" t="s">
        <v>519</v>
      </c>
      <c r="X523" s="49"/>
      <c r="Y523" s="49"/>
      <c r="Z523" s="66">
        <v>0</v>
      </c>
      <c r="AA523" s="140"/>
      <c r="AB523" s="66">
        <v>0</v>
      </c>
      <c r="AC523" s="66">
        <v>0</v>
      </c>
      <c r="AD523" s="66">
        <v>0</v>
      </c>
      <c r="AE523" s="66">
        <v>0</v>
      </c>
      <c r="AH523" s="81">
        <f t="shared" si="131"/>
        <v>0</v>
      </c>
      <c r="AI523" s="81">
        <f t="shared" si="132"/>
        <v>0</v>
      </c>
      <c r="AJ523" s="81">
        <f t="shared" si="132"/>
        <v>0</v>
      </c>
    </row>
    <row r="524" spans="1:36" x14ac:dyDescent="0.35">
      <c r="A524" s="66"/>
      <c r="B524" s="66"/>
      <c r="C524" s="49"/>
      <c r="D524" s="49"/>
      <c r="E524" s="49" t="s">
        <v>520</v>
      </c>
      <c r="F524" s="49"/>
      <c r="G524" s="49"/>
      <c r="H524" s="63">
        <v>22781.57</v>
      </c>
      <c r="I524" s="63">
        <v>20000</v>
      </c>
      <c r="J524" s="64">
        <v>23123.1</v>
      </c>
      <c r="K524" s="64">
        <v>15000</v>
      </c>
      <c r="L524" s="65">
        <v>27051.87</v>
      </c>
      <c r="M524" s="65">
        <v>15000</v>
      </c>
      <c r="N524" s="66">
        <f t="shared" si="134"/>
        <v>72956.539999999994</v>
      </c>
      <c r="O524" s="66">
        <f t="shared" si="134"/>
        <v>50000</v>
      </c>
      <c r="P524" s="69">
        <f t="shared" si="133"/>
        <v>24318.846666666665</v>
      </c>
      <c r="Q524" s="69">
        <f t="shared" si="133"/>
        <v>16666.666666666668</v>
      </c>
      <c r="R524" s="54"/>
      <c r="S524" s="49"/>
      <c r="T524" s="49"/>
      <c r="U524" s="49"/>
      <c r="V524" s="49"/>
      <c r="W524" s="49" t="s">
        <v>520</v>
      </c>
      <c r="X524" s="49"/>
      <c r="Y524" s="49"/>
      <c r="Z524" s="66">
        <v>17000</v>
      </c>
      <c r="AA524" s="140"/>
      <c r="AB524" s="66">
        <v>22000</v>
      </c>
      <c r="AC524" s="66">
        <v>22000</v>
      </c>
      <c r="AD524" s="66">
        <v>22000</v>
      </c>
      <c r="AE524" s="66">
        <v>22000</v>
      </c>
      <c r="AH524" s="81">
        <f t="shared" si="131"/>
        <v>5000</v>
      </c>
      <c r="AI524" s="81">
        <f t="shared" si="132"/>
        <v>0</v>
      </c>
      <c r="AJ524" s="81">
        <f t="shared" si="132"/>
        <v>0</v>
      </c>
    </row>
    <row r="525" spans="1:36" x14ac:dyDescent="0.35">
      <c r="A525" s="66"/>
      <c r="B525" s="66"/>
      <c r="C525" s="49"/>
      <c r="D525" s="49"/>
      <c r="E525" s="49" t="s">
        <v>521</v>
      </c>
      <c r="F525" s="49"/>
      <c r="G525" s="49"/>
      <c r="H525" s="63">
        <v>207.16</v>
      </c>
      <c r="I525" s="63">
        <v>1700</v>
      </c>
      <c r="J525" s="64">
        <v>485.58</v>
      </c>
      <c r="K525" s="64">
        <v>1100</v>
      </c>
      <c r="L525" s="65">
        <v>90.48</v>
      </c>
      <c r="M525" s="65">
        <v>1000</v>
      </c>
      <c r="N525" s="66">
        <f t="shared" si="134"/>
        <v>783.22</v>
      </c>
      <c r="O525" s="66">
        <f t="shared" si="134"/>
        <v>3800</v>
      </c>
      <c r="P525" s="69">
        <f t="shared" si="133"/>
        <v>261.07333333333332</v>
      </c>
      <c r="Q525" s="69">
        <f t="shared" si="133"/>
        <v>1266.6666666666667</v>
      </c>
      <c r="R525" s="54"/>
      <c r="S525" s="49"/>
      <c r="T525" s="49"/>
      <c r="U525" s="49"/>
      <c r="V525" s="49"/>
      <c r="W525" s="49" t="s">
        <v>521</v>
      </c>
      <c r="X525" s="49"/>
      <c r="Y525" s="49"/>
      <c r="Z525" s="66">
        <v>1000</v>
      </c>
      <c r="AA525" s="140"/>
      <c r="AB525" s="66">
        <v>1000</v>
      </c>
      <c r="AC525" s="66">
        <v>1000</v>
      </c>
      <c r="AD525" s="66">
        <v>1000</v>
      </c>
      <c r="AE525" s="66">
        <v>1000</v>
      </c>
      <c r="AH525" s="81">
        <f t="shared" si="131"/>
        <v>0</v>
      </c>
      <c r="AI525" s="81">
        <f t="shared" si="132"/>
        <v>0</v>
      </c>
      <c r="AJ525" s="81">
        <f t="shared" si="132"/>
        <v>0</v>
      </c>
    </row>
    <row r="526" spans="1:36" x14ac:dyDescent="0.35">
      <c r="A526" s="66"/>
      <c r="B526" s="66"/>
      <c r="C526" s="49"/>
      <c r="D526" s="49"/>
      <c r="E526" s="49" t="s">
        <v>522</v>
      </c>
      <c r="F526" s="49"/>
      <c r="G526" s="49"/>
      <c r="H526" s="63">
        <v>39999.96</v>
      </c>
      <c r="I526" s="63">
        <v>40000</v>
      </c>
      <c r="J526" s="64">
        <v>39999.96</v>
      </c>
      <c r="K526" s="64">
        <v>37800</v>
      </c>
      <c r="L526" s="65">
        <v>39999.96</v>
      </c>
      <c r="M526" s="65">
        <v>41000</v>
      </c>
      <c r="N526" s="66">
        <f t="shared" si="134"/>
        <v>119999.88</v>
      </c>
      <c r="O526" s="66">
        <f t="shared" si="134"/>
        <v>118800</v>
      </c>
      <c r="P526" s="69">
        <f t="shared" si="133"/>
        <v>39999.96</v>
      </c>
      <c r="Q526" s="69">
        <f t="shared" si="133"/>
        <v>39600</v>
      </c>
      <c r="R526" s="54"/>
      <c r="S526" s="49"/>
      <c r="T526" s="49"/>
      <c r="U526" s="49"/>
      <c r="V526" s="49"/>
      <c r="W526" s="49" t="s">
        <v>522</v>
      </c>
      <c r="X526" s="49"/>
      <c r="Y526" s="49"/>
      <c r="Z526" s="66">
        <v>42000</v>
      </c>
      <c r="AA526" s="140"/>
      <c r="AB526" s="66">
        <v>42000</v>
      </c>
      <c r="AC526" s="66">
        <v>42000</v>
      </c>
      <c r="AD526" s="66">
        <v>42000</v>
      </c>
      <c r="AE526" s="66">
        <v>42000</v>
      </c>
      <c r="AH526" s="81">
        <f t="shared" si="131"/>
        <v>0</v>
      </c>
      <c r="AI526" s="81">
        <f t="shared" si="132"/>
        <v>0</v>
      </c>
      <c r="AJ526" s="81">
        <f t="shared" si="132"/>
        <v>0</v>
      </c>
    </row>
    <row r="527" spans="1:36" x14ac:dyDescent="0.35">
      <c r="A527" s="66"/>
      <c r="B527" s="66"/>
      <c r="C527" s="49"/>
      <c r="D527" s="49"/>
      <c r="E527" s="49" t="s">
        <v>523</v>
      </c>
      <c r="F527" s="49"/>
      <c r="G527" s="49"/>
      <c r="H527" s="63">
        <v>2400</v>
      </c>
      <c r="I527" s="63">
        <v>2580</v>
      </c>
      <c r="J527" s="64">
        <v>3000</v>
      </c>
      <c r="K527" s="64">
        <v>2200</v>
      </c>
      <c r="L527" s="65">
        <v>2250</v>
      </c>
      <c r="M527" s="65">
        <v>3000</v>
      </c>
      <c r="N527" s="66">
        <f t="shared" si="134"/>
        <v>7650</v>
      </c>
      <c r="O527" s="66">
        <f t="shared" si="134"/>
        <v>7780</v>
      </c>
      <c r="P527" s="69">
        <f t="shared" si="133"/>
        <v>2550</v>
      </c>
      <c r="Q527" s="69">
        <f t="shared" si="133"/>
        <v>2593.3333333333335</v>
      </c>
      <c r="R527" s="54"/>
      <c r="S527" s="49"/>
      <c r="T527" s="49"/>
      <c r="U527" s="49"/>
      <c r="V527" s="49"/>
      <c r="W527" s="49" t="s">
        <v>523</v>
      </c>
      <c r="X527" s="49"/>
      <c r="Y527" s="49"/>
      <c r="Z527" s="66">
        <v>3000</v>
      </c>
      <c r="AA527" s="140"/>
      <c r="AB527" s="66">
        <v>2500</v>
      </c>
      <c r="AC527" s="66">
        <v>2500</v>
      </c>
      <c r="AD527" s="66">
        <v>2500</v>
      </c>
      <c r="AE527" s="66">
        <v>2500</v>
      </c>
      <c r="AH527" s="81">
        <f t="shared" si="131"/>
        <v>-500</v>
      </c>
      <c r="AI527" s="81">
        <f t="shared" si="132"/>
        <v>0</v>
      </c>
      <c r="AJ527" s="81">
        <f t="shared" si="132"/>
        <v>0</v>
      </c>
    </row>
    <row r="528" spans="1:36" x14ac:dyDescent="0.35">
      <c r="A528" s="66"/>
      <c r="B528" s="66"/>
      <c r="C528" s="49"/>
      <c r="D528" s="49"/>
      <c r="E528" s="49" t="s">
        <v>524</v>
      </c>
      <c r="F528" s="49"/>
      <c r="G528" s="49"/>
      <c r="H528" s="63">
        <v>1650</v>
      </c>
      <c r="I528" s="63">
        <v>10000</v>
      </c>
      <c r="J528" s="64">
        <v>3475.37</v>
      </c>
      <c r="K528" s="64">
        <v>5000</v>
      </c>
      <c r="L528" s="65">
        <v>2086.8000000000002</v>
      </c>
      <c r="M528" s="65">
        <v>3000</v>
      </c>
      <c r="N528" s="66">
        <f t="shared" si="134"/>
        <v>7212.17</v>
      </c>
      <c r="O528" s="66">
        <f t="shared" si="134"/>
        <v>18000</v>
      </c>
      <c r="P528" s="69">
        <f t="shared" si="133"/>
        <v>2404.0566666666668</v>
      </c>
      <c r="Q528" s="69">
        <f t="shared" si="133"/>
        <v>6000</v>
      </c>
      <c r="R528" s="54"/>
      <c r="S528" s="49"/>
      <c r="T528" s="49"/>
      <c r="U528" s="49"/>
      <c r="V528" s="49"/>
      <c r="W528" s="49" t="s">
        <v>524</v>
      </c>
      <c r="X528" s="49"/>
      <c r="Y528" s="49"/>
      <c r="Z528" s="66">
        <v>3000</v>
      </c>
      <c r="AA528" s="140"/>
      <c r="AB528" s="66">
        <v>3000</v>
      </c>
      <c r="AC528" s="66">
        <v>3000</v>
      </c>
      <c r="AD528" s="66">
        <v>3000</v>
      </c>
      <c r="AE528" s="66">
        <v>3000</v>
      </c>
      <c r="AG528" s="46" t="s">
        <v>851</v>
      </c>
      <c r="AH528" s="81">
        <f t="shared" si="131"/>
        <v>0</v>
      </c>
      <c r="AI528" s="81">
        <f t="shared" si="132"/>
        <v>0</v>
      </c>
      <c r="AJ528" s="81">
        <f t="shared" si="132"/>
        <v>0</v>
      </c>
    </row>
    <row r="529" spans="1:36" x14ac:dyDescent="0.35">
      <c r="A529" s="66"/>
      <c r="B529" s="66"/>
      <c r="C529" s="49"/>
      <c r="D529" s="49"/>
      <c r="E529" s="49" t="s">
        <v>525</v>
      </c>
      <c r="F529" s="49"/>
      <c r="G529" s="49"/>
      <c r="H529" s="63">
        <v>5295.35</v>
      </c>
      <c r="I529" s="63">
        <v>17000</v>
      </c>
      <c r="J529" s="64">
        <v>0</v>
      </c>
      <c r="K529" s="64">
        <v>0</v>
      </c>
      <c r="L529" s="65">
        <v>0</v>
      </c>
      <c r="M529" s="65"/>
      <c r="N529" s="66">
        <f t="shared" si="134"/>
        <v>5295.35</v>
      </c>
      <c r="O529" s="66">
        <f t="shared" si="134"/>
        <v>17000</v>
      </c>
      <c r="P529" s="69">
        <f t="shared" si="133"/>
        <v>1765.1166666666668</v>
      </c>
      <c r="Q529" s="69">
        <f t="shared" si="133"/>
        <v>5666.666666666667</v>
      </c>
      <c r="R529" s="54"/>
      <c r="S529" s="49"/>
      <c r="T529" s="49"/>
      <c r="U529" s="49"/>
      <c r="V529" s="49"/>
      <c r="W529" s="49" t="s">
        <v>525</v>
      </c>
      <c r="X529" s="49"/>
      <c r="Y529" s="49"/>
      <c r="Z529" s="66">
        <v>0</v>
      </c>
      <c r="AA529" s="140"/>
      <c r="AB529" s="66">
        <v>0</v>
      </c>
      <c r="AC529" s="66">
        <v>0</v>
      </c>
      <c r="AD529" s="66">
        <v>0</v>
      </c>
      <c r="AE529" s="66">
        <v>0</v>
      </c>
      <c r="AH529" s="81">
        <f t="shared" si="131"/>
        <v>0</v>
      </c>
      <c r="AI529" s="81">
        <f t="shared" si="132"/>
        <v>0</v>
      </c>
      <c r="AJ529" s="81">
        <f t="shared" si="132"/>
        <v>0</v>
      </c>
    </row>
    <row r="530" spans="1:36" x14ac:dyDescent="0.35">
      <c r="A530" s="66"/>
      <c r="B530" s="66"/>
      <c r="C530" s="49"/>
      <c r="D530" s="49"/>
      <c r="E530" s="49" t="s">
        <v>526</v>
      </c>
      <c r="F530" s="49"/>
      <c r="G530" s="49"/>
      <c r="H530" s="63">
        <v>65498.5</v>
      </c>
      <c r="I530" s="63">
        <v>38325</v>
      </c>
      <c r="J530" s="64">
        <v>65504.98</v>
      </c>
      <c r="K530" s="64">
        <v>55000</v>
      </c>
      <c r="L530" s="65">
        <v>112725.58</v>
      </c>
      <c r="M530" s="65">
        <v>69540</v>
      </c>
      <c r="N530" s="66">
        <f t="shared" si="134"/>
        <v>243729.06</v>
      </c>
      <c r="O530" s="66">
        <f t="shared" si="134"/>
        <v>162865</v>
      </c>
      <c r="P530" s="69">
        <f t="shared" si="133"/>
        <v>81243.02</v>
      </c>
      <c r="Q530" s="69">
        <f t="shared" si="133"/>
        <v>54288.333333333336</v>
      </c>
      <c r="R530" s="54"/>
      <c r="S530" s="49"/>
      <c r="T530" s="49"/>
      <c r="U530" s="49"/>
      <c r="V530" s="49"/>
      <c r="W530" s="49" t="s">
        <v>906</v>
      </c>
      <c r="X530" s="49"/>
      <c r="Y530" s="49"/>
      <c r="Z530" s="66">
        <v>45000</v>
      </c>
      <c r="AA530" s="140"/>
      <c r="AB530" s="66">
        <f>ROUND(42665.15, 0)</f>
        <v>42665</v>
      </c>
      <c r="AC530" s="66">
        <f>ROUND(42665.15, 0)</f>
        <v>42665</v>
      </c>
      <c r="AD530" s="66">
        <f>ROUND(42665.15, 0)</f>
        <v>42665</v>
      </c>
      <c r="AE530" s="66">
        <f>ROUND(42665.15, 0)</f>
        <v>42665</v>
      </c>
      <c r="AH530" s="81">
        <f t="shared" si="131"/>
        <v>-2335</v>
      </c>
      <c r="AI530" s="81">
        <f t="shared" si="132"/>
        <v>0</v>
      </c>
      <c r="AJ530" s="81">
        <f t="shared" si="132"/>
        <v>0</v>
      </c>
    </row>
    <row r="531" spans="1:36" x14ac:dyDescent="0.35">
      <c r="A531" s="66"/>
      <c r="B531" s="66"/>
      <c r="C531" s="49"/>
      <c r="D531" s="49"/>
      <c r="E531" s="49" t="s">
        <v>527</v>
      </c>
      <c r="F531" s="49"/>
      <c r="G531" s="49"/>
      <c r="H531" s="63">
        <v>4664.29</v>
      </c>
      <c r="I531" s="63">
        <v>2716.8</v>
      </c>
      <c r="J531" s="64">
        <v>3018.33</v>
      </c>
      <c r="K531" s="64">
        <v>4360</v>
      </c>
      <c r="L531" s="65">
        <v>4947.66</v>
      </c>
      <c r="M531" s="65">
        <v>5328</v>
      </c>
      <c r="N531" s="66">
        <f t="shared" ref="N531:O542" si="136">ROUND(H531+J531+L531,5)</f>
        <v>12630.28</v>
      </c>
      <c r="O531" s="66">
        <f t="shared" si="136"/>
        <v>12404.8</v>
      </c>
      <c r="P531" s="69">
        <f t="shared" si="133"/>
        <v>4210.0933333333332</v>
      </c>
      <c r="Q531" s="69">
        <f t="shared" si="133"/>
        <v>4134.9333333333334</v>
      </c>
      <c r="R531" s="54"/>
      <c r="S531" s="49"/>
      <c r="T531" s="49"/>
      <c r="U531" s="49"/>
      <c r="V531" s="49"/>
      <c r="W531" s="49" t="s">
        <v>527</v>
      </c>
      <c r="X531" s="49"/>
      <c r="Y531" s="49"/>
      <c r="Z531" s="66">
        <v>5027</v>
      </c>
      <c r="AA531" s="140"/>
      <c r="AB531" s="66">
        <v>6033.32</v>
      </c>
      <c r="AC531" s="66">
        <v>6033.32</v>
      </c>
      <c r="AD531" s="66">
        <v>6033.32</v>
      </c>
      <c r="AE531" s="66">
        <v>6033.32</v>
      </c>
      <c r="AH531" s="81">
        <f t="shared" si="131"/>
        <v>1006.3199999999997</v>
      </c>
      <c r="AI531" s="81">
        <f t="shared" si="132"/>
        <v>0</v>
      </c>
      <c r="AJ531" s="81">
        <f t="shared" si="132"/>
        <v>0</v>
      </c>
    </row>
    <row r="532" spans="1:36" x14ac:dyDescent="0.35">
      <c r="A532" s="66"/>
      <c r="B532" s="66"/>
      <c r="C532" s="49"/>
      <c r="D532" s="49"/>
      <c r="E532" s="49" t="s">
        <v>528</v>
      </c>
      <c r="F532" s="49"/>
      <c r="G532" s="49"/>
      <c r="H532" s="63">
        <v>4727</v>
      </c>
      <c r="I532" s="63">
        <v>4572</v>
      </c>
      <c r="J532" s="64">
        <v>5187</v>
      </c>
      <c r="K532" s="64">
        <v>4900</v>
      </c>
      <c r="L532" s="65">
        <v>3671</v>
      </c>
      <c r="M532" s="65">
        <v>5431</v>
      </c>
      <c r="N532" s="66">
        <f t="shared" si="136"/>
        <v>13585</v>
      </c>
      <c r="O532" s="66">
        <f t="shared" si="136"/>
        <v>14903</v>
      </c>
      <c r="P532" s="69">
        <f t="shared" si="133"/>
        <v>4528.333333333333</v>
      </c>
      <c r="Q532" s="69">
        <f t="shared" si="133"/>
        <v>4967.666666666667</v>
      </c>
      <c r="R532" s="54"/>
      <c r="S532" s="49"/>
      <c r="T532" s="49"/>
      <c r="U532" s="49"/>
      <c r="V532" s="49"/>
      <c r="W532" s="49" t="s">
        <v>528</v>
      </c>
      <c r="X532" s="49"/>
      <c r="Y532" s="49"/>
      <c r="Z532" s="66">
        <v>3132</v>
      </c>
      <c r="AA532" s="140"/>
      <c r="AB532" s="66">
        <f>ROUND(3414.6, 0)</f>
        <v>3415</v>
      </c>
      <c r="AC532" s="66">
        <f>ROUND(3414.6, 0)</f>
        <v>3415</v>
      </c>
      <c r="AD532" s="66">
        <f>ROUND(3414.6, 0)</f>
        <v>3415</v>
      </c>
      <c r="AE532" s="66">
        <f>ROUND(3414.6, 0)</f>
        <v>3415</v>
      </c>
      <c r="AH532" s="81">
        <f t="shared" si="131"/>
        <v>283</v>
      </c>
      <c r="AI532" s="81">
        <f t="shared" si="132"/>
        <v>0</v>
      </c>
      <c r="AJ532" s="81">
        <f t="shared" si="132"/>
        <v>0</v>
      </c>
    </row>
    <row r="533" spans="1:36" x14ac:dyDescent="0.35">
      <c r="A533" s="66"/>
      <c r="B533" s="66"/>
      <c r="C533" s="49"/>
      <c r="D533" s="49"/>
      <c r="E533" s="49" t="s">
        <v>529</v>
      </c>
      <c r="F533" s="49"/>
      <c r="G533" s="49"/>
      <c r="H533" s="63">
        <v>89.42</v>
      </c>
      <c r="I533" s="63">
        <v>5000</v>
      </c>
      <c r="J533" s="64">
        <v>12728.53</v>
      </c>
      <c r="K533" s="64">
        <v>0</v>
      </c>
      <c r="L533" s="65">
        <v>0</v>
      </c>
      <c r="M533" s="65">
        <v>0</v>
      </c>
      <c r="N533" s="66">
        <f t="shared" si="136"/>
        <v>12817.95</v>
      </c>
      <c r="O533" s="66">
        <f t="shared" si="136"/>
        <v>5000</v>
      </c>
      <c r="P533" s="69">
        <f t="shared" si="133"/>
        <v>4272.6500000000005</v>
      </c>
      <c r="Q533" s="69">
        <f t="shared" si="133"/>
        <v>1666.6666666666667</v>
      </c>
      <c r="R533" s="54"/>
      <c r="S533" s="49"/>
      <c r="T533" s="49"/>
      <c r="U533" s="49"/>
      <c r="V533" s="49"/>
      <c r="W533" s="49" t="s">
        <v>529</v>
      </c>
      <c r="X533" s="49"/>
      <c r="Y533" s="49"/>
      <c r="Z533" s="66">
        <v>5000</v>
      </c>
      <c r="AA533" s="140"/>
      <c r="AB533" s="66">
        <v>0</v>
      </c>
      <c r="AC533" s="66">
        <v>0</v>
      </c>
      <c r="AD533" s="66">
        <v>0</v>
      </c>
      <c r="AE533" s="66">
        <v>0</v>
      </c>
      <c r="AH533" s="81">
        <f t="shared" si="131"/>
        <v>-5000</v>
      </c>
      <c r="AI533" s="81">
        <f t="shared" si="132"/>
        <v>0</v>
      </c>
      <c r="AJ533" s="81">
        <f t="shared" si="132"/>
        <v>0</v>
      </c>
    </row>
    <row r="534" spans="1:36" x14ac:dyDescent="0.35">
      <c r="A534" s="66"/>
      <c r="B534" s="66"/>
      <c r="C534" s="49"/>
      <c r="D534" s="49"/>
      <c r="E534" s="49" t="s">
        <v>530</v>
      </c>
      <c r="F534" s="49"/>
      <c r="G534" s="49"/>
      <c r="H534" s="63">
        <v>3574.34</v>
      </c>
      <c r="I534" s="63">
        <v>4992</v>
      </c>
      <c r="J534" s="64">
        <v>3364.92</v>
      </c>
      <c r="K534" s="64">
        <v>5562</v>
      </c>
      <c r="L534" s="65">
        <v>2926.66</v>
      </c>
      <c r="M534" s="65">
        <v>5000</v>
      </c>
      <c r="N534" s="66">
        <f t="shared" si="136"/>
        <v>9865.92</v>
      </c>
      <c r="O534" s="66">
        <f t="shared" si="136"/>
        <v>15554</v>
      </c>
      <c r="P534" s="69">
        <f t="shared" si="133"/>
        <v>3288.64</v>
      </c>
      <c r="Q534" s="69">
        <f t="shared" si="133"/>
        <v>5184.666666666667</v>
      </c>
      <c r="R534" s="54"/>
      <c r="S534" s="49"/>
      <c r="T534" s="49"/>
      <c r="U534" s="49"/>
      <c r="V534" s="49"/>
      <c r="W534" s="49" t="s">
        <v>530</v>
      </c>
      <c r="X534" s="49"/>
      <c r="Y534" s="49"/>
      <c r="Z534" s="66">
        <v>5000</v>
      </c>
      <c r="AA534" s="140"/>
      <c r="AB534" s="66">
        <v>4000</v>
      </c>
      <c r="AC534" s="66">
        <v>4000</v>
      </c>
      <c r="AD534" s="66">
        <v>4000</v>
      </c>
      <c r="AE534" s="66">
        <v>4000</v>
      </c>
      <c r="AH534" s="81">
        <f t="shared" si="131"/>
        <v>-1000</v>
      </c>
      <c r="AI534" s="81">
        <f t="shared" si="132"/>
        <v>0</v>
      </c>
      <c r="AJ534" s="81">
        <f t="shared" si="132"/>
        <v>0</v>
      </c>
    </row>
    <row r="535" spans="1:36" x14ac:dyDescent="0.35">
      <c r="A535" s="66"/>
      <c r="B535" s="66"/>
      <c r="C535" s="49"/>
      <c r="D535" s="49"/>
      <c r="E535" s="49" t="s">
        <v>531</v>
      </c>
      <c r="F535" s="49"/>
      <c r="G535" s="49"/>
      <c r="H535" s="63">
        <v>10575.38</v>
      </c>
      <c r="I535" s="63">
        <v>11000</v>
      </c>
      <c r="J535" s="64">
        <v>7582.88</v>
      </c>
      <c r="K535" s="64">
        <v>11700</v>
      </c>
      <c r="L535" s="65">
        <v>8602.8799999999992</v>
      </c>
      <c r="M535" s="65">
        <v>10000</v>
      </c>
      <c r="N535" s="66">
        <f t="shared" si="136"/>
        <v>26761.14</v>
      </c>
      <c r="O535" s="66">
        <f t="shared" si="136"/>
        <v>32700</v>
      </c>
      <c r="P535" s="69">
        <f t="shared" si="133"/>
        <v>8920.3799999999992</v>
      </c>
      <c r="Q535" s="69">
        <f t="shared" si="133"/>
        <v>10900</v>
      </c>
      <c r="R535" s="54"/>
      <c r="S535" s="49"/>
      <c r="T535" s="49"/>
      <c r="U535" s="49"/>
      <c r="V535" s="49"/>
      <c r="W535" s="49" t="s">
        <v>531</v>
      </c>
      <c r="X535" s="49"/>
      <c r="Y535" s="49"/>
      <c r="Z535" s="66">
        <v>10000</v>
      </c>
      <c r="AA535" s="140"/>
      <c r="AB535" s="66">
        <v>9000</v>
      </c>
      <c r="AC535" s="66">
        <v>9000</v>
      </c>
      <c r="AD535" s="66">
        <v>9000</v>
      </c>
      <c r="AE535" s="66">
        <v>9000</v>
      </c>
      <c r="AH535" s="81">
        <f t="shared" si="131"/>
        <v>-1000</v>
      </c>
      <c r="AI535" s="81">
        <f t="shared" si="132"/>
        <v>0</v>
      </c>
      <c r="AJ535" s="81">
        <f t="shared" si="132"/>
        <v>0</v>
      </c>
    </row>
    <row r="536" spans="1:36" x14ac:dyDescent="0.35">
      <c r="A536" s="66"/>
      <c r="B536" s="66"/>
      <c r="C536" s="49"/>
      <c r="D536" s="49"/>
      <c r="E536" s="49" t="s">
        <v>532</v>
      </c>
      <c r="F536" s="49"/>
      <c r="G536" s="49"/>
      <c r="H536" s="63">
        <v>3539.31</v>
      </c>
      <c r="I536" s="63">
        <v>3645</v>
      </c>
      <c r="J536" s="64">
        <v>3316.13</v>
      </c>
      <c r="K536" s="64">
        <v>3200</v>
      </c>
      <c r="L536" s="65">
        <v>3381.09</v>
      </c>
      <c r="M536" s="65">
        <v>3250</v>
      </c>
      <c r="N536" s="66">
        <f t="shared" si="136"/>
        <v>10236.530000000001</v>
      </c>
      <c r="O536" s="66">
        <f t="shared" si="136"/>
        <v>10095</v>
      </c>
      <c r="P536" s="69">
        <f t="shared" si="133"/>
        <v>3412.1766666666667</v>
      </c>
      <c r="Q536" s="69">
        <f t="shared" si="133"/>
        <v>3365</v>
      </c>
      <c r="R536" s="54"/>
      <c r="S536" s="49"/>
      <c r="T536" s="49"/>
      <c r="U536" s="49"/>
      <c r="V536" s="49"/>
      <c r="W536" s="49" t="s">
        <v>532</v>
      </c>
      <c r="X536" s="49"/>
      <c r="Y536" s="49"/>
      <c r="Z536" s="66">
        <v>3405</v>
      </c>
      <c r="AA536" s="140"/>
      <c r="AB536" s="66">
        <v>3050</v>
      </c>
      <c r="AC536" s="66">
        <v>3050</v>
      </c>
      <c r="AD536" s="66">
        <v>3050</v>
      </c>
      <c r="AE536" s="66">
        <v>3050</v>
      </c>
      <c r="AH536" s="81">
        <f t="shared" si="131"/>
        <v>-355</v>
      </c>
      <c r="AI536" s="81">
        <f t="shared" si="132"/>
        <v>0</v>
      </c>
      <c r="AJ536" s="81">
        <f t="shared" si="132"/>
        <v>0</v>
      </c>
    </row>
    <row r="537" spans="1:36" x14ac:dyDescent="0.35">
      <c r="A537" s="66"/>
      <c r="B537" s="66"/>
      <c r="C537" s="49"/>
      <c r="D537" s="49"/>
      <c r="E537" s="49" t="s">
        <v>533</v>
      </c>
      <c r="F537" s="49"/>
      <c r="G537" s="49"/>
      <c r="H537" s="63">
        <v>8875.7999999999993</v>
      </c>
      <c r="I537" s="63">
        <v>9376</v>
      </c>
      <c r="J537" s="64">
        <v>6026.59</v>
      </c>
      <c r="K537" s="64">
        <v>8800</v>
      </c>
      <c r="L537" s="65">
        <v>0</v>
      </c>
      <c r="M537" s="65">
        <v>0</v>
      </c>
      <c r="N537" s="66">
        <f t="shared" si="136"/>
        <v>14902.39</v>
      </c>
      <c r="O537" s="66">
        <f t="shared" si="136"/>
        <v>18176</v>
      </c>
      <c r="P537" s="69">
        <f t="shared" si="133"/>
        <v>4967.4633333333331</v>
      </c>
      <c r="Q537" s="69">
        <f t="shared" si="133"/>
        <v>6058.666666666667</v>
      </c>
      <c r="R537" s="54"/>
      <c r="S537" s="49"/>
      <c r="T537" s="49"/>
      <c r="U537" s="49"/>
      <c r="V537" s="49"/>
      <c r="W537" s="49" t="s">
        <v>533</v>
      </c>
      <c r="X537" s="49"/>
      <c r="Y537" s="49"/>
      <c r="Z537" s="66">
        <v>0</v>
      </c>
      <c r="AA537" s="140"/>
      <c r="AB537" s="66">
        <v>0</v>
      </c>
      <c r="AC537" s="66">
        <v>0</v>
      </c>
      <c r="AD537" s="66">
        <v>0</v>
      </c>
      <c r="AE537" s="66">
        <v>0</v>
      </c>
      <c r="AH537" s="81">
        <f t="shared" si="131"/>
        <v>0</v>
      </c>
      <c r="AI537" s="81">
        <f t="shared" si="132"/>
        <v>0</v>
      </c>
      <c r="AJ537" s="81">
        <f t="shared" si="132"/>
        <v>0</v>
      </c>
    </row>
    <row r="538" spans="1:36" ht="26" x14ac:dyDescent="0.35">
      <c r="A538" s="66"/>
      <c r="B538" s="66"/>
      <c r="C538" s="49"/>
      <c r="D538" s="49"/>
      <c r="E538" s="49" t="s">
        <v>534</v>
      </c>
      <c r="F538" s="49"/>
      <c r="G538" s="49"/>
      <c r="H538" s="63">
        <v>27953.49</v>
      </c>
      <c r="I538" s="63">
        <v>28074</v>
      </c>
      <c r="J538" s="64">
        <v>19873.310000000001</v>
      </c>
      <c r="K538" s="64">
        <v>17150</v>
      </c>
      <c r="L538" s="65">
        <v>19701.16</v>
      </c>
      <c r="M538" s="65">
        <v>19345</v>
      </c>
      <c r="N538" s="66">
        <f t="shared" si="136"/>
        <v>67527.960000000006</v>
      </c>
      <c r="O538" s="66">
        <f t="shared" si="136"/>
        <v>64569</v>
      </c>
      <c r="P538" s="69">
        <f t="shared" si="133"/>
        <v>22509.320000000003</v>
      </c>
      <c r="Q538" s="69">
        <f t="shared" si="133"/>
        <v>21523</v>
      </c>
      <c r="R538" s="54"/>
      <c r="S538" s="49"/>
      <c r="T538" s="49"/>
      <c r="U538" s="49"/>
      <c r="V538" s="49"/>
      <c r="W538" s="49" t="s">
        <v>534</v>
      </c>
      <c r="X538" s="49"/>
      <c r="Y538" s="49"/>
      <c r="Z538" s="66">
        <v>19503</v>
      </c>
      <c r="AA538" s="140"/>
      <c r="AB538" s="66">
        <v>20400</v>
      </c>
      <c r="AC538" s="66">
        <v>20400</v>
      </c>
      <c r="AD538" s="66">
        <v>20400</v>
      </c>
      <c r="AE538" s="66">
        <v>22860</v>
      </c>
      <c r="AF538" s="138" t="s">
        <v>897</v>
      </c>
      <c r="AH538" s="81">
        <f t="shared" si="131"/>
        <v>897</v>
      </c>
      <c r="AI538" s="81">
        <f t="shared" si="132"/>
        <v>0</v>
      </c>
      <c r="AJ538" s="81">
        <f t="shared" si="132"/>
        <v>0</v>
      </c>
    </row>
    <row r="539" spans="1:36" x14ac:dyDescent="0.35">
      <c r="A539" s="66"/>
      <c r="B539" s="66"/>
      <c r="C539" s="49"/>
      <c r="D539" s="49"/>
      <c r="E539" s="49" t="s">
        <v>535</v>
      </c>
      <c r="F539" s="49"/>
      <c r="G539" s="49"/>
      <c r="H539" s="63">
        <v>0</v>
      </c>
      <c r="I539" s="63">
        <v>6000</v>
      </c>
      <c r="J539" s="64">
        <v>21228.95</v>
      </c>
      <c r="K539" s="64">
        <v>0</v>
      </c>
      <c r="L539" s="65">
        <v>47757.3</v>
      </c>
      <c r="M539" s="65">
        <v>3000</v>
      </c>
      <c r="N539" s="66">
        <f t="shared" si="136"/>
        <v>68986.25</v>
      </c>
      <c r="O539" s="66">
        <f t="shared" si="136"/>
        <v>9000</v>
      </c>
      <c r="P539" s="69">
        <f t="shared" si="133"/>
        <v>22995.416666666668</v>
      </c>
      <c r="Q539" s="69">
        <f t="shared" si="133"/>
        <v>3000</v>
      </c>
      <c r="R539" s="54"/>
      <c r="S539" s="49"/>
      <c r="T539" s="49"/>
      <c r="U539" s="49"/>
      <c r="V539" s="49"/>
      <c r="W539" s="49" t="s">
        <v>535</v>
      </c>
      <c r="X539" s="49"/>
      <c r="Y539" s="49"/>
      <c r="Z539" s="66">
        <v>3000</v>
      </c>
      <c r="AA539" s="140"/>
      <c r="AB539" s="66">
        <v>3000</v>
      </c>
      <c r="AC539" s="66">
        <v>3000</v>
      </c>
      <c r="AD539" s="66">
        <v>3000</v>
      </c>
      <c r="AE539" s="66">
        <v>3000</v>
      </c>
      <c r="AH539" s="81">
        <f t="shared" si="131"/>
        <v>0</v>
      </c>
      <c r="AI539" s="81">
        <f t="shared" si="132"/>
        <v>0</v>
      </c>
      <c r="AJ539" s="81">
        <f t="shared" si="132"/>
        <v>0</v>
      </c>
    </row>
    <row r="540" spans="1:36" x14ac:dyDescent="0.35">
      <c r="A540" s="66"/>
      <c r="B540" s="66"/>
      <c r="C540" s="49"/>
      <c r="D540" s="49"/>
      <c r="E540" s="49" t="s">
        <v>536</v>
      </c>
      <c r="F540" s="49"/>
      <c r="G540" s="49"/>
      <c r="H540" s="63">
        <v>19982.650000000001</v>
      </c>
      <c r="I540" s="63">
        <v>32500</v>
      </c>
      <c r="J540" s="64">
        <v>16665.71</v>
      </c>
      <c r="K540" s="64">
        <v>34050</v>
      </c>
      <c r="L540" s="65">
        <v>22645.33</v>
      </c>
      <c r="M540" s="65">
        <v>35000</v>
      </c>
      <c r="N540" s="66">
        <f t="shared" si="136"/>
        <v>59293.69</v>
      </c>
      <c r="O540" s="66">
        <f t="shared" si="136"/>
        <v>101550</v>
      </c>
      <c r="P540" s="69">
        <f t="shared" si="133"/>
        <v>19764.563333333335</v>
      </c>
      <c r="Q540" s="69">
        <f t="shared" si="133"/>
        <v>33850</v>
      </c>
      <c r="R540" s="54"/>
      <c r="S540" s="49"/>
      <c r="T540" s="49"/>
      <c r="U540" s="49"/>
      <c r="V540" s="49"/>
      <c r="W540" s="49" t="s">
        <v>536</v>
      </c>
      <c r="X540" s="49"/>
      <c r="Y540" s="49"/>
      <c r="Z540" s="66">
        <v>35000</v>
      </c>
      <c r="AA540" s="140"/>
      <c r="AB540" s="66">
        <v>35000</v>
      </c>
      <c r="AC540" s="66">
        <v>30000</v>
      </c>
      <c r="AD540" s="66">
        <v>30000</v>
      </c>
      <c r="AE540" s="66">
        <v>30000</v>
      </c>
      <c r="AH540" s="81">
        <f t="shared" si="131"/>
        <v>0</v>
      </c>
      <c r="AI540" s="81">
        <f t="shared" si="132"/>
        <v>-5000</v>
      </c>
      <c r="AJ540" s="81">
        <f t="shared" si="132"/>
        <v>0</v>
      </c>
    </row>
    <row r="541" spans="1:36" x14ac:dyDescent="0.35">
      <c r="A541" s="66"/>
      <c r="B541" s="66"/>
      <c r="C541" s="49"/>
      <c r="D541" s="49"/>
      <c r="E541" s="49" t="s">
        <v>537</v>
      </c>
      <c r="F541" s="49"/>
      <c r="G541" s="49"/>
      <c r="H541" s="63">
        <v>0</v>
      </c>
      <c r="I541" s="63"/>
      <c r="J541" s="64">
        <v>0</v>
      </c>
      <c r="K541" s="64"/>
      <c r="L541" s="65">
        <v>0</v>
      </c>
      <c r="M541" s="65"/>
      <c r="N541" s="66">
        <f t="shared" si="136"/>
        <v>0</v>
      </c>
      <c r="O541" s="66"/>
      <c r="P541" s="69">
        <f t="shared" si="133"/>
        <v>0</v>
      </c>
      <c r="Q541" s="69">
        <f t="shared" si="133"/>
        <v>0</v>
      </c>
      <c r="R541" s="54"/>
      <c r="S541" s="49"/>
      <c r="T541" s="49"/>
      <c r="U541" s="49"/>
      <c r="V541" s="49"/>
      <c r="W541" s="49" t="s">
        <v>537</v>
      </c>
      <c r="X541" s="49"/>
      <c r="Y541" s="49"/>
      <c r="Z541" s="66">
        <v>0</v>
      </c>
      <c r="AA541" s="140"/>
      <c r="AB541" s="66">
        <v>0</v>
      </c>
      <c r="AC541" s="66">
        <v>0</v>
      </c>
      <c r="AD541" s="66">
        <v>0</v>
      </c>
      <c r="AE541" s="66">
        <v>0</v>
      </c>
      <c r="AH541" s="81">
        <f t="shared" si="131"/>
        <v>0</v>
      </c>
      <c r="AI541" s="81">
        <f t="shared" si="132"/>
        <v>0</v>
      </c>
      <c r="AJ541" s="81">
        <f t="shared" si="132"/>
        <v>0</v>
      </c>
    </row>
    <row r="542" spans="1:36" x14ac:dyDescent="0.35">
      <c r="A542" s="66"/>
      <c r="B542" s="66"/>
      <c r="C542" s="49"/>
      <c r="D542" s="49"/>
      <c r="E542" s="49" t="s">
        <v>538</v>
      </c>
      <c r="F542" s="49"/>
      <c r="G542" s="49"/>
      <c r="H542" s="63">
        <v>14880.27</v>
      </c>
      <c r="I542" s="63">
        <v>15000</v>
      </c>
      <c r="J542" s="64">
        <v>16092.2</v>
      </c>
      <c r="K542" s="64">
        <v>10000</v>
      </c>
      <c r="L542" s="65">
        <v>-1635.48</v>
      </c>
      <c r="M542" s="65">
        <v>10000</v>
      </c>
      <c r="N542" s="66">
        <f t="shared" si="136"/>
        <v>29336.99</v>
      </c>
      <c r="O542" s="66">
        <f>ROUND(I542+K542+M542,5)</f>
        <v>35000</v>
      </c>
      <c r="P542" s="69">
        <f t="shared" si="133"/>
        <v>9778.9966666666678</v>
      </c>
      <c r="Q542" s="69">
        <f t="shared" si="133"/>
        <v>11666.666666666666</v>
      </c>
      <c r="R542" s="54"/>
      <c r="S542" s="49"/>
      <c r="T542" s="49"/>
      <c r="U542" s="49"/>
      <c r="V542" s="49"/>
      <c r="W542" s="49" t="s">
        <v>538</v>
      </c>
      <c r="X542" s="49"/>
      <c r="Y542" s="49"/>
      <c r="Z542" s="66">
        <v>10000</v>
      </c>
      <c r="AA542" s="140"/>
      <c r="AB542" s="66">
        <v>10000</v>
      </c>
      <c r="AC542" s="66">
        <v>10000</v>
      </c>
      <c r="AD542" s="66">
        <v>10000</v>
      </c>
      <c r="AE542" s="66">
        <v>10000</v>
      </c>
      <c r="AH542" s="81">
        <f t="shared" si="131"/>
        <v>0</v>
      </c>
      <c r="AI542" s="81">
        <f t="shared" si="132"/>
        <v>0</v>
      </c>
      <c r="AJ542" s="81">
        <f t="shared" si="132"/>
        <v>0</v>
      </c>
    </row>
    <row r="543" spans="1:36" x14ac:dyDescent="0.35">
      <c r="A543" s="66"/>
      <c r="B543" s="66"/>
      <c r="C543" s="49"/>
      <c r="D543" s="49"/>
      <c r="E543" s="49" t="s">
        <v>539</v>
      </c>
      <c r="F543" s="49"/>
      <c r="G543" s="49"/>
      <c r="H543" s="63"/>
      <c r="I543" s="63"/>
      <c r="J543" s="64"/>
      <c r="K543" s="64"/>
      <c r="L543" s="65"/>
      <c r="M543" s="65"/>
      <c r="N543" s="66"/>
      <c r="O543" s="66"/>
      <c r="P543" s="69"/>
      <c r="Q543" s="69"/>
      <c r="R543" s="54"/>
      <c r="S543" s="49"/>
      <c r="T543" s="49"/>
      <c r="U543" s="49"/>
      <c r="V543" s="49"/>
      <c r="W543" s="49" t="s">
        <v>539</v>
      </c>
      <c r="X543" s="49"/>
      <c r="Y543" s="49"/>
      <c r="Z543" s="66"/>
      <c r="AA543" s="140"/>
      <c r="AB543" s="66"/>
      <c r="AC543" s="66"/>
      <c r="AD543" s="66"/>
      <c r="AE543" s="66"/>
      <c r="AH543" s="81">
        <f t="shared" si="131"/>
        <v>0</v>
      </c>
      <c r="AI543" s="81">
        <f t="shared" si="132"/>
        <v>0</v>
      </c>
      <c r="AJ543" s="81">
        <f t="shared" si="132"/>
        <v>0</v>
      </c>
    </row>
    <row r="544" spans="1:36" x14ac:dyDescent="0.35">
      <c r="A544" s="66"/>
      <c r="B544" s="66"/>
      <c r="C544" s="49"/>
      <c r="D544" s="49"/>
      <c r="E544" s="49"/>
      <c r="F544" s="49" t="s">
        <v>540</v>
      </c>
      <c r="G544" s="49"/>
      <c r="H544" s="63">
        <v>11400</v>
      </c>
      <c r="I544" s="63">
        <v>11970</v>
      </c>
      <c r="J544" s="64">
        <v>11400</v>
      </c>
      <c r="K544" s="64">
        <v>11400</v>
      </c>
      <c r="L544" s="65">
        <v>11400</v>
      </c>
      <c r="M544" s="65">
        <v>11970</v>
      </c>
      <c r="N544" s="66">
        <f t="shared" ref="N544:O548" si="137">ROUND(H544+J544+L544,5)</f>
        <v>34200</v>
      </c>
      <c r="O544" s="66">
        <f t="shared" si="137"/>
        <v>35340</v>
      </c>
      <c r="P544" s="69">
        <f t="shared" si="133"/>
        <v>11400</v>
      </c>
      <c r="Q544" s="69">
        <f t="shared" si="133"/>
        <v>11780</v>
      </c>
      <c r="R544" s="54"/>
      <c r="S544" s="49"/>
      <c r="T544" s="49"/>
      <c r="U544" s="49"/>
      <c r="V544" s="49"/>
      <c r="W544" s="49"/>
      <c r="X544" s="49" t="s">
        <v>540</v>
      </c>
      <c r="Y544" s="49"/>
      <c r="Z544" s="66">
        <v>11970</v>
      </c>
      <c r="AA544" s="140"/>
      <c r="AB544" s="66">
        <v>11970</v>
      </c>
      <c r="AC544" s="66">
        <v>11970</v>
      </c>
      <c r="AD544" s="66">
        <v>11970</v>
      </c>
      <c r="AE544" s="66">
        <v>11970</v>
      </c>
      <c r="AH544" s="81">
        <f t="shared" si="131"/>
        <v>0</v>
      </c>
      <c r="AI544" s="81">
        <f t="shared" si="132"/>
        <v>0</v>
      </c>
      <c r="AJ544" s="81">
        <f t="shared" si="132"/>
        <v>0</v>
      </c>
    </row>
    <row r="545" spans="1:36" x14ac:dyDescent="0.35">
      <c r="A545" s="66"/>
      <c r="B545" s="66"/>
      <c r="C545" s="49"/>
      <c r="D545" s="49"/>
      <c r="E545" s="49"/>
      <c r="F545" s="49" t="s">
        <v>541</v>
      </c>
      <c r="G545" s="49"/>
      <c r="H545" s="63">
        <v>20000</v>
      </c>
      <c r="I545" s="63">
        <v>20000</v>
      </c>
      <c r="J545" s="64">
        <v>20000.04</v>
      </c>
      <c r="K545" s="64">
        <v>20000</v>
      </c>
      <c r="L545" s="65">
        <v>20000.04</v>
      </c>
      <c r="M545" s="65">
        <v>20000</v>
      </c>
      <c r="N545" s="66">
        <f t="shared" si="137"/>
        <v>60000.08</v>
      </c>
      <c r="O545" s="66">
        <f t="shared" si="137"/>
        <v>60000</v>
      </c>
      <c r="P545" s="69">
        <f t="shared" si="133"/>
        <v>20000.026666666668</v>
      </c>
      <c r="Q545" s="69">
        <f t="shared" si="133"/>
        <v>20000</v>
      </c>
      <c r="R545" s="54"/>
      <c r="S545" s="49"/>
      <c r="T545" s="49"/>
      <c r="U545" s="49"/>
      <c r="V545" s="49"/>
      <c r="W545" s="49"/>
      <c r="X545" s="49" t="s">
        <v>541</v>
      </c>
      <c r="Y545" s="49"/>
      <c r="Z545" s="66">
        <v>21000</v>
      </c>
      <c r="AA545" s="140"/>
      <c r="AB545" s="66">
        <v>0</v>
      </c>
      <c r="AC545" s="66">
        <v>0</v>
      </c>
      <c r="AD545" s="66">
        <v>0</v>
      </c>
      <c r="AE545" s="66">
        <v>0</v>
      </c>
      <c r="AG545" s="46" t="s">
        <v>843</v>
      </c>
      <c r="AH545" s="81">
        <f t="shared" si="131"/>
        <v>-21000</v>
      </c>
      <c r="AI545" s="81">
        <f t="shared" si="132"/>
        <v>0</v>
      </c>
      <c r="AJ545" s="81">
        <f t="shared" si="132"/>
        <v>0</v>
      </c>
    </row>
    <row r="546" spans="1:36" ht="16" thickBot="1" x14ac:dyDescent="0.4">
      <c r="A546" s="66"/>
      <c r="B546" s="66"/>
      <c r="C546" s="49"/>
      <c r="D546" s="49"/>
      <c r="E546" s="49"/>
      <c r="F546" s="49" t="s">
        <v>542</v>
      </c>
      <c r="G546" s="49"/>
      <c r="H546" s="70">
        <v>34792.800000000003</v>
      </c>
      <c r="I546" s="70">
        <v>34464</v>
      </c>
      <c r="J546" s="71">
        <v>36880.32</v>
      </c>
      <c r="K546" s="71">
        <v>32823.360000000001</v>
      </c>
      <c r="L546" s="72">
        <v>39093.120000000003</v>
      </c>
      <c r="M546" s="72">
        <v>38724.339999999997</v>
      </c>
      <c r="N546" s="73">
        <f t="shared" si="137"/>
        <v>110766.24</v>
      </c>
      <c r="O546" s="73">
        <f t="shared" si="137"/>
        <v>106011.7</v>
      </c>
      <c r="P546" s="74">
        <f t="shared" si="133"/>
        <v>36922.080000000002</v>
      </c>
      <c r="Q546" s="74">
        <f t="shared" si="133"/>
        <v>35337.23333333333</v>
      </c>
      <c r="R546" s="54"/>
      <c r="S546" s="49"/>
      <c r="T546" s="49"/>
      <c r="U546" s="49"/>
      <c r="V546" s="49"/>
      <c r="W546" s="49"/>
      <c r="X546" s="49" t="s">
        <v>542</v>
      </c>
      <c r="Y546" s="49"/>
      <c r="Z546" s="73">
        <v>41048</v>
      </c>
      <c r="AA546" s="140"/>
      <c r="AB546" s="73">
        <v>75353.289999999994</v>
      </c>
      <c r="AC546" s="73">
        <v>75353.289999999994</v>
      </c>
      <c r="AD546" s="73">
        <v>75353.289999999994</v>
      </c>
      <c r="AE546" s="73">
        <v>75353.289999999994</v>
      </c>
      <c r="AH546" s="81">
        <f t="shared" si="131"/>
        <v>34305.289999999994</v>
      </c>
      <c r="AI546" s="81">
        <f t="shared" si="132"/>
        <v>0</v>
      </c>
      <c r="AJ546" s="81">
        <f t="shared" si="132"/>
        <v>0</v>
      </c>
    </row>
    <row r="547" spans="1:36" ht="16" thickBot="1" x14ac:dyDescent="0.4">
      <c r="A547" s="66"/>
      <c r="B547" s="66"/>
      <c r="C547" s="49"/>
      <c r="D547" s="49"/>
      <c r="E547" s="49" t="s">
        <v>543</v>
      </c>
      <c r="F547" s="49"/>
      <c r="G547" s="49"/>
      <c r="H547" s="63">
        <f t="shared" ref="H547:M547" si="138">ROUND(SUM(H543:H546),5)</f>
        <v>66192.800000000003</v>
      </c>
      <c r="I547" s="63">
        <f t="shared" si="138"/>
        <v>66434</v>
      </c>
      <c r="J547" s="64">
        <f t="shared" si="138"/>
        <v>68280.36</v>
      </c>
      <c r="K547" s="64">
        <f t="shared" si="138"/>
        <v>64223.360000000001</v>
      </c>
      <c r="L547" s="65">
        <f t="shared" si="138"/>
        <v>70493.16</v>
      </c>
      <c r="M547" s="65">
        <f t="shared" si="138"/>
        <v>70694.34</v>
      </c>
      <c r="N547" s="66">
        <f t="shared" si="137"/>
        <v>204966.32</v>
      </c>
      <c r="O547" s="66">
        <f t="shared" si="137"/>
        <v>201351.7</v>
      </c>
      <c r="P547" s="69">
        <f t="shared" si="133"/>
        <v>68322.106666666674</v>
      </c>
      <c r="Q547" s="69">
        <f t="shared" si="133"/>
        <v>67117.233333333337</v>
      </c>
      <c r="R547" s="54"/>
      <c r="S547" s="49"/>
      <c r="T547" s="49"/>
      <c r="U547" s="49"/>
      <c r="V547" s="49"/>
      <c r="W547" s="49" t="s">
        <v>543</v>
      </c>
      <c r="X547" s="49"/>
      <c r="Y547" s="49"/>
      <c r="Z547" s="66">
        <f>ROUND(SUM(Z543:Z546),5)</f>
        <v>74018</v>
      </c>
      <c r="AA547" s="140"/>
      <c r="AB547" s="66">
        <f>ROUND(SUM(AB543:AB546),5)</f>
        <v>87323.29</v>
      </c>
      <c r="AC547" s="66">
        <f>ROUND(SUM(AC543:AC546),5)</f>
        <v>87323.29</v>
      </c>
      <c r="AD547" s="66">
        <f>ROUND(SUM(AD543:AD546),5)</f>
        <v>87323.29</v>
      </c>
      <c r="AE547" s="66">
        <f>ROUND(SUM(AE543:AE546),5)</f>
        <v>87323.29</v>
      </c>
      <c r="AH547" s="81">
        <f t="shared" si="131"/>
        <v>13305.289999999994</v>
      </c>
      <c r="AI547" s="81">
        <f t="shared" si="132"/>
        <v>0</v>
      </c>
      <c r="AJ547" s="81">
        <f t="shared" si="132"/>
        <v>0</v>
      </c>
    </row>
    <row r="548" spans="1:36" x14ac:dyDescent="0.35">
      <c r="A548" s="66"/>
      <c r="B548" s="66"/>
      <c r="C548" s="49"/>
      <c r="D548" s="49" t="s">
        <v>544</v>
      </c>
      <c r="E548" s="49"/>
      <c r="F548" s="49"/>
      <c r="G548" s="49"/>
      <c r="H548" s="63">
        <f t="shared" ref="H548:M548" si="139">ROUND(SUM(H490:H513)+SUM(H518:H542)+SUM(H547:H547),5)</f>
        <v>820827.03</v>
      </c>
      <c r="I548" s="63">
        <f t="shared" si="139"/>
        <v>933251.5</v>
      </c>
      <c r="J548" s="64">
        <f t="shared" si="139"/>
        <v>885822.56</v>
      </c>
      <c r="K548" s="64">
        <f t="shared" si="139"/>
        <v>789393.59</v>
      </c>
      <c r="L548" s="65">
        <f t="shared" si="139"/>
        <v>1006470.26</v>
      </c>
      <c r="M548" s="65">
        <f t="shared" si="139"/>
        <v>900551.6</v>
      </c>
      <c r="N548" s="66">
        <f t="shared" si="137"/>
        <v>2713119.85</v>
      </c>
      <c r="O548" s="66">
        <f t="shared" si="137"/>
        <v>2623196.69</v>
      </c>
      <c r="P548" s="69">
        <f t="shared" si="133"/>
        <v>904373.28333333333</v>
      </c>
      <c r="Q548" s="69">
        <f t="shared" si="133"/>
        <v>874398.89666666661</v>
      </c>
      <c r="R548" s="54"/>
      <c r="S548" s="49"/>
      <c r="T548" s="49"/>
      <c r="U548" s="49"/>
      <c r="V548" s="49" t="s">
        <v>544</v>
      </c>
      <c r="W548" s="49"/>
      <c r="X548" s="49"/>
      <c r="Y548" s="49"/>
      <c r="Z548" s="78">
        <f>ROUND(SUM(Z490:Z513)+SUM(Z518:Z542)+SUM(Z547:Z547),5)</f>
        <v>979664.82</v>
      </c>
      <c r="AA548" s="140"/>
      <c r="AB548" s="91">
        <f>ROUND(SUM(AB490:AB513)+SUM(AB518:AB542)+SUM(AB547:AB547),5)</f>
        <v>1013580.17</v>
      </c>
      <c r="AC548" s="91">
        <f>ROUND(SUM(AC490:AC513)+SUM(AC518:AC542)+SUM(AC547:AC547),5)</f>
        <v>983580.17</v>
      </c>
      <c r="AD548" s="91">
        <f>ROUND(SUM(AD490:AD513)+SUM(AD518:AD542)+SUM(AD547:AD547),5)</f>
        <v>986099.17</v>
      </c>
      <c r="AE548" s="91">
        <f>ROUND(SUM(AE490:AE513)+SUM(AE518:AE542)+SUM(AE547:AE547),5)</f>
        <v>985787.17</v>
      </c>
      <c r="AH548" s="81">
        <f t="shared" si="131"/>
        <v>33915.350000000093</v>
      </c>
      <c r="AI548" s="81">
        <f t="shared" si="132"/>
        <v>-30000</v>
      </c>
      <c r="AJ548" s="81">
        <f t="shared" si="132"/>
        <v>2519</v>
      </c>
    </row>
    <row r="549" spans="1:36" x14ac:dyDescent="0.35">
      <c r="A549" s="66"/>
      <c r="B549" s="66"/>
      <c r="C549" s="49"/>
      <c r="D549" s="49" t="s">
        <v>545</v>
      </c>
      <c r="E549" s="49"/>
      <c r="F549" s="49"/>
      <c r="G549" s="49"/>
      <c r="H549" s="63"/>
      <c r="I549" s="63"/>
      <c r="J549" s="64"/>
      <c r="K549" s="64"/>
      <c r="L549" s="65"/>
      <c r="M549" s="65"/>
      <c r="N549" s="66"/>
      <c r="O549" s="66"/>
      <c r="P549" s="69"/>
      <c r="Q549" s="69"/>
      <c r="R549" s="54"/>
      <c r="S549" s="49"/>
      <c r="T549" s="49"/>
      <c r="U549" s="49"/>
      <c r="V549" s="49" t="s">
        <v>545</v>
      </c>
      <c r="W549" s="49"/>
      <c r="X549" s="49"/>
      <c r="Y549" s="49"/>
      <c r="Z549" s="66"/>
      <c r="AA549" s="140"/>
      <c r="AB549" s="66"/>
      <c r="AC549" s="66"/>
      <c r="AD549" s="66"/>
      <c r="AE549" s="66"/>
    </row>
    <row r="550" spans="1:36" ht="16" thickBot="1" x14ac:dyDescent="0.4">
      <c r="A550" s="66"/>
      <c r="B550" s="66"/>
      <c r="C550" s="49"/>
      <c r="D550" s="49"/>
      <c r="E550" s="49" t="s">
        <v>546</v>
      </c>
      <c r="F550" s="49"/>
      <c r="G550" s="49"/>
      <c r="H550" s="63">
        <v>4568.2</v>
      </c>
      <c r="I550" s="63">
        <v>20000</v>
      </c>
      <c r="J550" s="64">
        <v>4000.49</v>
      </c>
      <c r="K550" s="64">
        <v>30000</v>
      </c>
      <c r="L550" s="65">
        <v>22812.77</v>
      </c>
      <c r="M550" s="65">
        <v>10000</v>
      </c>
      <c r="N550" s="66">
        <f t="shared" ref="N550:O553" si="140">ROUND(H550+J550+L550,5)</f>
        <v>31381.46</v>
      </c>
      <c r="O550" s="66">
        <f t="shared" si="140"/>
        <v>60000</v>
      </c>
      <c r="P550" s="69">
        <f t="shared" si="133"/>
        <v>10460.486666666666</v>
      </c>
      <c r="Q550" s="69">
        <f t="shared" si="133"/>
        <v>20000</v>
      </c>
      <c r="R550" s="54"/>
      <c r="S550" s="49"/>
      <c r="T550" s="49"/>
      <c r="U550" s="49"/>
      <c r="V550" s="49"/>
      <c r="W550" s="49" t="s">
        <v>546</v>
      </c>
      <c r="X550" s="49"/>
      <c r="Y550" s="49"/>
      <c r="Z550" s="66">
        <v>15000</v>
      </c>
      <c r="AA550" s="140"/>
      <c r="AB550" s="66">
        <v>10000</v>
      </c>
      <c r="AC550" s="66">
        <v>10000</v>
      </c>
      <c r="AD550" s="66">
        <v>10000</v>
      </c>
      <c r="AE550" s="66">
        <v>10000</v>
      </c>
    </row>
    <row r="551" spans="1:36" ht="16" thickBot="1" x14ac:dyDescent="0.4">
      <c r="A551" s="66"/>
      <c r="B551" s="66"/>
      <c r="C551" s="49"/>
      <c r="D551" s="49" t="s">
        <v>547</v>
      </c>
      <c r="E551" s="49"/>
      <c r="F551" s="49"/>
      <c r="G551" s="49"/>
      <c r="H551" s="75">
        <f t="shared" ref="H551:M551" si="141">ROUND(SUM(H549:H550),5)</f>
        <v>4568.2</v>
      </c>
      <c r="I551" s="75">
        <f t="shared" si="141"/>
        <v>20000</v>
      </c>
      <c r="J551" s="76">
        <f t="shared" si="141"/>
        <v>4000.49</v>
      </c>
      <c r="K551" s="76">
        <f t="shared" si="141"/>
        <v>30000</v>
      </c>
      <c r="L551" s="77">
        <f t="shared" si="141"/>
        <v>22812.77</v>
      </c>
      <c r="M551" s="77">
        <f t="shared" si="141"/>
        <v>10000</v>
      </c>
      <c r="N551" s="78">
        <f t="shared" si="140"/>
        <v>31381.46</v>
      </c>
      <c r="O551" s="78">
        <f t="shared" si="140"/>
        <v>60000</v>
      </c>
      <c r="P551" s="79">
        <f t="shared" si="133"/>
        <v>10460.486666666666</v>
      </c>
      <c r="Q551" s="79">
        <f t="shared" si="133"/>
        <v>20000</v>
      </c>
      <c r="R551" s="54"/>
      <c r="S551" s="49"/>
      <c r="T551" s="49"/>
      <c r="U551" s="49"/>
      <c r="V551" s="49" t="s">
        <v>547</v>
      </c>
      <c r="W551" s="49"/>
      <c r="X551" s="49"/>
      <c r="Y551" s="49"/>
      <c r="Z551" s="78">
        <f>ROUND(SUM(Z549:Z550),5)</f>
        <v>15000</v>
      </c>
      <c r="AA551" s="140"/>
      <c r="AB551" s="91">
        <f>ROUND(SUM(AB549:AB550),5)</f>
        <v>10000</v>
      </c>
      <c r="AC551" s="91">
        <f>ROUND(SUM(AC549:AC550),5)</f>
        <v>10000</v>
      </c>
      <c r="AD551" s="91">
        <f>ROUND(SUM(AD549:AD550),5)</f>
        <v>10000</v>
      </c>
      <c r="AE551" s="91">
        <f>ROUND(SUM(AE549:AE550),5)</f>
        <v>10000</v>
      </c>
    </row>
    <row r="552" spans="1:36" ht="16" thickBot="1" x14ac:dyDescent="0.4">
      <c r="A552" s="66"/>
      <c r="B552" s="66"/>
      <c r="C552" s="49" t="s">
        <v>548</v>
      </c>
      <c r="D552" s="49"/>
      <c r="E552" s="49"/>
      <c r="F552" s="49"/>
      <c r="G552" s="49"/>
      <c r="H552" s="83">
        <f t="shared" ref="H552:M552" si="142">ROUND(H221+H225+H364+H371+H376+H428+H489+H548+H551,5)</f>
        <v>4602596.84</v>
      </c>
      <c r="I552" s="83">
        <f t="shared" si="142"/>
        <v>4826439.17</v>
      </c>
      <c r="J552" s="84">
        <f t="shared" si="142"/>
        <v>5124859.8899999997</v>
      </c>
      <c r="K552" s="84">
        <f t="shared" si="142"/>
        <v>4876753.51</v>
      </c>
      <c r="L552" s="85">
        <f t="shared" si="142"/>
        <v>5236566.88</v>
      </c>
      <c r="M552" s="85">
        <f t="shared" si="142"/>
        <v>5167354.4800000004</v>
      </c>
      <c r="N552" s="86">
        <f t="shared" si="140"/>
        <v>14964023.609999999</v>
      </c>
      <c r="O552" s="86">
        <f t="shared" si="140"/>
        <v>14870547.16</v>
      </c>
      <c r="P552" s="87">
        <f t="shared" si="133"/>
        <v>4988007.87</v>
      </c>
      <c r="Q552" s="87">
        <f t="shared" si="133"/>
        <v>4956849.0533333337</v>
      </c>
      <c r="R552" s="54"/>
      <c r="S552" s="49"/>
      <c r="T552" s="49"/>
      <c r="U552" s="49" t="s">
        <v>548</v>
      </c>
      <c r="V552" s="49"/>
      <c r="W552" s="49"/>
      <c r="X552" s="49"/>
      <c r="Y552" s="49"/>
      <c r="Z552" s="86">
        <f>ROUND(Z221+Z225+Z364+Z371+Z376+Z428+Z489+Z548+Z551,5)</f>
        <v>5275555.82</v>
      </c>
      <c r="AA552" s="140"/>
      <c r="AB552" s="86">
        <f>ROUND(AB221+AB225+AB364+AB371+AB376+AB428+AB489+AB548+AB551,5)</f>
        <v>5504831.5764199998</v>
      </c>
      <c r="AC552" s="86">
        <f>ROUND(AC221+AC225+AC364+AC371+AC376+AC428+AC489+AC548+AC551,5)</f>
        <v>5320349.5814199997</v>
      </c>
      <c r="AD552" s="86">
        <f>ROUND(AD221+AD225+AD364+AD371+AD376+AD428+AD489+AD548+AD551,5)</f>
        <v>5361614.52202</v>
      </c>
      <c r="AE552" s="86">
        <f>ROUND(AE221+AE225+AE364+AE371+AE376+AE428+AE489+AE548+AE551,5)</f>
        <v>5350553.41</v>
      </c>
    </row>
    <row r="553" spans="1:36" x14ac:dyDescent="0.35">
      <c r="A553" s="66"/>
      <c r="B553" s="66" t="s">
        <v>549</v>
      </c>
      <c r="C553" s="49"/>
      <c r="D553" s="49"/>
      <c r="E553" s="49"/>
      <c r="F553" s="49"/>
      <c r="G553" s="49"/>
      <c r="H553" s="63">
        <f t="shared" ref="H553:M553" si="143">ROUND(H5+H220-H552,5)</f>
        <v>-92592.2</v>
      </c>
      <c r="I553" s="63">
        <f t="shared" si="143"/>
        <v>8714.58</v>
      </c>
      <c r="J553" s="64">
        <f t="shared" si="143"/>
        <v>-187378.98</v>
      </c>
      <c r="K553" s="64">
        <f t="shared" si="143"/>
        <v>826.41</v>
      </c>
      <c r="L553" s="65">
        <f t="shared" si="143"/>
        <v>-21575.47</v>
      </c>
      <c r="M553" s="65">
        <f t="shared" si="143"/>
        <v>354.02</v>
      </c>
      <c r="N553" s="66">
        <f t="shared" si="140"/>
        <v>-301546.65000000002</v>
      </c>
      <c r="O553" s="66">
        <f t="shared" si="140"/>
        <v>9895.01</v>
      </c>
      <c r="P553" s="69">
        <f t="shared" si="133"/>
        <v>-100515.55</v>
      </c>
      <c r="Q553" s="69">
        <f t="shared" si="133"/>
        <v>3298.3366666666666</v>
      </c>
      <c r="R553" s="54"/>
      <c r="S553" s="49"/>
      <c r="T553" s="49" t="s">
        <v>549</v>
      </c>
      <c r="U553" s="49"/>
      <c r="V553" s="49"/>
      <c r="W553" s="49"/>
      <c r="X553" s="49"/>
      <c r="Y553" s="49"/>
      <c r="Z553" s="66">
        <f>ROUND(Z5+Z220-Z552,5)</f>
        <v>811.37</v>
      </c>
      <c r="AA553" s="140"/>
      <c r="AB553" s="66">
        <f>ROUND(AB5+AB220-AB552,5)</f>
        <v>-193160.46642000001</v>
      </c>
      <c r="AC553" s="66">
        <f>ROUND(AC5+AC220-AC552,5)</f>
        <v>-8678.4714199999999</v>
      </c>
      <c r="AD553" s="66">
        <f>ROUND(AD5+AD220-AD552,5)</f>
        <v>15325.98798</v>
      </c>
      <c r="AE553" s="66">
        <f>ROUND(AE5+AE220-AE552,5)</f>
        <v>6387.1</v>
      </c>
    </row>
    <row r="554" spans="1:36" x14ac:dyDescent="0.35">
      <c r="A554" s="66"/>
      <c r="B554" s="66" t="s">
        <v>550</v>
      </c>
      <c r="C554" s="49"/>
      <c r="D554" s="49"/>
      <c r="E554" s="49"/>
      <c r="F554" s="49"/>
      <c r="G554" s="49"/>
      <c r="H554" s="63"/>
      <c r="I554" s="63"/>
      <c r="J554" s="64"/>
      <c r="K554" s="64"/>
      <c r="L554" s="65"/>
      <c r="M554" s="65"/>
      <c r="N554" s="66"/>
      <c r="O554" s="66"/>
      <c r="P554" s="69"/>
      <c r="Q554" s="69"/>
      <c r="R554" s="54"/>
      <c r="S554" s="49"/>
      <c r="T554" s="49" t="s">
        <v>550</v>
      </c>
      <c r="U554" s="49"/>
      <c r="V554" s="49"/>
      <c r="W554" s="49"/>
      <c r="X554" s="49"/>
      <c r="Y554" s="49"/>
      <c r="Z554" s="66"/>
      <c r="AA554" s="140"/>
      <c r="AB554" s="66"/>
      <c r="AC554" s="66"/>
      <c r="AD554" s="66"/>
      <c r="AE554" s="66"/>
    </row>
    <row r="555" spans="1:36" x14ac:dyDescent="0.35">
      <c r="A555" s="66"/>
      <c r="B555" s="66"/>
      <c r="C555" s="49" t="s">
        <v>551</v>
      </c>
      <c r="D555" s="49"/>
      <c r="E555" s="49"/>
      <c r="F555" s="49"/>
      <c r="G555" s="49"/>
      <c r="H555" s="63"/>
      <c r="I555" s="63"/>
      <c r="J555" s="64"/>
      <c r="K555" s="64"/>
      <c r="L555" s="65"/>
      <c r="M555" s="65"/>
      <c r="N555" s="66"/>
      <c r="O555" s="66"/>
      <c r="P555" s="69"/>
      <c r="Q555" s="69"/>
      <c r="R555" s="54"/>
      <c r="S555" s="49"/>
      <c r="T555" s="49"/>
      <c r="U555" s="49" t="s">
        <v>551</v>
      </c>
      <c r="V555" s="49"/>
      <c r="W555" s="49"/>
      <c r="X555" s="49"/>
      <c r="Y555" s="49"/>
      <c r="Z555" s="66"/>
      <c r="AA555" s="140"/>
      <c r="AB555" s="66"/>
      <c r="AC555" s="66"/>
      <c r="AD555" s="66"/>
      <c r="AE555" s="66"/>
    </row>
    <row r="556" spans="1:36" x14ac:dyDescent="0.35">
      <c r="A556" s="66"/>
      <c r="B556" s="66"/>
      <c r="C556" s="49"/>
      <c r="D556" s="49" t="s">
        <v>552</v>
      </c>
      <c r="E556" s="49"/>
      <c r="F556" s="49"/>
      <c r="G556" s="49"/>
      <c r="H556" s="63">
        <v>288386.05</v>
      </c>
      <c r="I556" s="63">
        <v>0</v>
      </c>
      <c r="J556" s="64">
        <v>313714.26</v>
      </c>
      <c r="K556" s="64">
        <v>0</v>
      </c>
      <c r="L556" s="65">
        <v>363433.03</v>
      </c>
      <c r="M556" s="65">
        <v>0</v>
      </c>
      <c r="N556" s="66">
        <f>ROUND(H556+J556+L556,5)</f>
        <v>965533.34</v>
      </c>
      <c r="O556" s="66">
        <f>ROUND(I556+K556+M556,5)</f>
        <v>0</v>
      </c>
      <c r="P556" s="69">
        <f t="shared" si="133"/>
        <v>321844.44666666666</v>
      </c>
      <c r="Q556" s="69">
        <f t="shared" si="133"/>
        <v>0</v>
      </c>
      <c r="R556" s="54"/>
      <c r="S556" s="49"/>
      <c r="T556" s="49"/>
      <c r="U556" s="49"/>
      <c r="V556" s="49" t="s">
        <v>552</v>
      </c>
      <c r="W556" s="49"/>
      <c r="X556" s="49"/>
      <c r="Y556" s="49"/>
      <c r="Z556" s="66"/>
      <c r="AA556" s="140"/>
      <c r="AB556" s="157"/>
      <c r="AC556" s="157"/>
      <c r="AD556" s="157"/>
      <c r="AE556" s="157"/>
    </row>
    <row r="557" spans="1:36" x14ac:dyDescent="0.35">
      <c r="A557" s="66"/>
      <c r="B557" s="66"/>
      <c r="C557" s="49"/>
      <c r="D557" s="49" t="s">
        <v>553</v>
      </c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/>
      <c r="V557" s="49" t="s">
        <v>553</v>
      </c>
      <c r="W557" s="49"/>
      <c r="X557" s="49"/>
      <c r="Y557" s="49"/>
      <c r="Z557" s="66"/>
      <c r="AA557" s="140"/>
      <c r="AB557" s="66"/>
      <c r="AC557" s="66"/>
      <c r="AD557" s="66"/>
      <c r="AE557" s="66"/>
    </row>
    <row r="558" spans="1:36" x14ac:dyDescent="0.35">
      <c r="A558" s="66"/>
      <c r="B558" s="66"/>
      <c r="C558" s="49"/>
      <c r="D558" s="49"/>
      <c r="E558" s="49" t="s">
        <v>554</v>
      </c>
      <c r="F558" s="49"/>
      <c r="G558" s="49"/>
      <c r="H558" s="63">
        <v>0</v>
      </c>
      <c r="I558" s="63">
        <v>0</v>
      </c>
      <c r="J558" s="64">
        <v>0</v>
      </c>
      <c r="K558" s="64">
        <v>0</v>
      </c>
      <c r="L558" s="65">
        <v>0</v>
      </c>
      <c r="M558" s="65">
        <v>0</v>
      </c>
      <c r="N558" s="66">
        <f t="shared" ref="N558:O563" si="144">ROUND(H558+J558+L558,5)</f>
        <v>0</v>
      </c>
      <c r="O558" s="66">
        <f t="shared" si="144"/>
        <v>0</v>
      </c>
      <c r="P558" s="69">
        <f t="shared" si="133"/>
        <v>0</v>
      </c>
      <c r="Q558" s="69">
        <f t="shared" si="133"/>
        <v>0</v>
      </c>
      <c r="R558" s="54"/>
      <c r="S558" s="49"/>
      <c r="T558" s="49"/>
      <c r="U558" s="49"/>
      <c r="V558" s="49"/>
      <c r="W558" s="49" t="s">
        <v>554</v>
      </c>
      <c r="X558" s="49"/>
      <c r="Y558" s="49"/>
      <c r="Z558" s="66"/>
      <c r="AA558" s="140"/>
      <c r="AB558" s="66"/>
      <c r="AC558" s="66"/>
      <c r="AD558" s="66"/>
      <c r="AE558" s="66"/>
    </row>
    <row r="559" spans="1:36" x14ac:dyDescent="0.35">
      <c r="A559" s="66"/>
      <c r="B559" s="66"/>
      <c r="C559" s="49"/>
      <c r="D559" s="49"/>
      <c r="E559" s="49" t="s">
        <v>555</v>
      </c>
      <c r="F559" s="49"/>
      <c r="G559" s="49"/>
      <c r="H559" s="63">
        <v>0</v>
      </c>
      <c r="I559" s="63">
        <v>0</v>
      </c>
      <c r="J559" s="64">
        <v>0</v>
      </c>
      <c r="K559" s="64">
        <v>0</v>
      </c>
      <c r="L559" s="65">
        <v>0</v>
      </c>
      <c r="M559" s="65">
        <v>0</v>
      </c>
      <c r="N559" s="66">
        <f t="shared" si="144"/>
        <v>0</v>
      </c>
      <c r="O559" s="66">
        <f t="shared" si="144"/>
        <v>0</v>
      </c>
      <c r="P559" s="69">
        <f t="shared" si="133"/>
        <v>0</v>
      </c>
      <c r="Q559" s="69">
        <f t="shared" si="133"/>
        <v>0</v>
      </c>
      <c r="R559" s="54"/>
      <c r="S559" s="49"/>
      <c r="T559" s="49"/>
      <c r="U559" s="49"/>
      <c r="V559" s="49"/>
      <c r="W559" s="49" t="s">
        <v>555</v>
      </c>
      <c r="X559" s="49"/>
      <c r="Y559" s="49"/>
      <c r="Z559" s="66"/>
      <c r="AA559" s="140"/>
      <c r="AB559" s="66"/>
      <c r="AC559" s="66"/>
      <c r="AD559" s="66"/>
      <c r="AE559" s="66"/>
    </row>
    <row r="560" spans="1:36" x14ac:dyDescent="0.35">
      <c r="A560" s="66"/>
      <c r="B560" s="66"/>
      <c r="C560" s="49"/>
      <c r="D560" s="49"/>
      <c r="E560" s="49" t="s">
        <v>556</v>
      </c>
      <c r="F560" s="49"/>
      <c r="G560" s="49"/>
      <c r="H560" s="63">
        <v>10930.61</v>
      </c>
      <c r="I560" s="63">
        <v>0</v>
      </c>
      <c r="J560" s="64">
        <v>16392.32</v>
      </c>
      <c r="K560" s="64">
        <v>0</v>
      </c>
      <c r="L560" s="65">
        <v>17337.490000000002</v>
      </c>
      <c r="M560" s="65">
        <v>0</v>
      </c>
      <c r="N560" s="66">
        <f t="shared" si="144"/>
        <v>44660.42</v>
      </c>
      <c r="O560" s="66">
        <f t="shared" si="144"/>
        <v>0</v>
      </c>
      <c r="P560" s="69">
        <f t="shared" si="133"/>
        <v>14886.806666666665</v>
      </c>
      <c r="Q560" s="69">
        <f t="shared" si="133"/>
        <v>0</v>
      </c>
      <c r="R560" s="54"/>
      <c r="S560" s="49"/>
      <c r="T560" s="49"/>
      <c r="U560" s="49"/>
      <c r="V560" s="49"/>
      <c r="W560" s="49" t="s">
        <v>556</v>
      </c>
      <c r="X560" s="49"/>
      <c r="Y560" s="49"/>
      <c r="Z560" s="66"/>
      <c r="AA560" s="140"/>
      <c r="AB560" s="66"/>
      <c r="AC560" s="66"/>
      <c r="AD560" s="66"/>
      <c r="AE560" s="66"/>
    </row>
    <row r="561" spans="1:31" x14ac:dyDescent="0.35">
      <c r="A561" s="66"/>
      <c r="B561" s="66"/>
      <c r="C561" s="49"/>
      <c r="D561" s="49"/>
      <c r="E561" s="49" t="s">
        <v>557</v>
      </c>
      <c r="F561" s="49"/>
      <c r="G561" s="49"/>
      <c r="H561" s="63">
        <v>12442.84</v>
      </c>
      <c r="I561" s="63">
        <v>0</v>
      </c>
      <c r="J561" s="64">
        <v>10602.84</v>
      </c>
      <c r="K561" s="64">
        <v>0</v>
      </c>
      <c r="L561" s="65">
        <v>10395.5</v>
      </c>
      <c r="M561" s="65">
        <v>0</v>
      </c>
      <c r="N561" s="66">
        <f t="shared" si="144"/>
        <v>33441.18</v>
      </c>
      <c r="O561" s="66">
        <f t="shared" si="144"/>
        <v>0</v>
      </c>
      <c r="P561" s="69">
        <f t="shared" si="133"/>
        <v>11147.06</v>
      </c>
      <c r="Q561" s="69">
        <f t="shared" si="133"/>
        <v>0</v>
      </c>
      <c r="R561" s="54"/>
      <c r="S561" s="49"/>
      <c r="T561" s="49"/>
      <c r="U561" s="49"/>
      <c r="V561" s="49"/>
      <c r="W561" s="49" t="s">
        <v>557</v>
      </c>
      <c r="X561" s="49"/>
      <c r="Y561" s="49"/>
      <c r="Z561" s="66"/>
      <c r="AA561" s="140"/>
      <c r="AB561" s="66"/>
      <c r="AC561" s="66"/>
      <c r="AD561" s="66"/>
      <c r="AE561" s="66"/>
    </row>
    <row r="562" spans="1:31" ht="16" thickBot="1" x14ac:dyDescent="0.4">
      <c r="A562" s="66"/>
      <c r="B562" s="66"/>
      <c r="C562" s="49"/>
      <c r="D562" s="49"/>
      <c r="E562" s="49" t="s">
        <v>558</v>
      </c>
      <c r="F562" s="49"/>
      <c r="G562" s="49"/>
      <c r="H562" s="70">
        <v>1000</v>
      </c>
      <c r="I562" s="70">
        <v>0</v>
      </c>
      <c r="J562" s="71">
        <v>1000</v>
      </c>
      <c r="K562" s="64">
        <v>0</v>
      </c>
      <c r="L562" s="72">
        <v>1000</v>
      </c>
      <c r="M562" s="65">
        <v>0</v>
      </c>
      <c r="N562" s="73">
        <f t="shared" si="144"/>
        <v>3000</v>
      </c>
      <c r="O562" s="73">
        <f t="shared" si="144"/>
        <v>0</v>
      </c>
      <c r="P562" s="74">
        <f t="shared" si="133"/>
        <v>1000</v>
      </c>
      <c r="Q562" s="74">
        <f t="shared" si="133"/>
        <v>0</v>
      </c>
      <c r="R562" s="54"/>
      <c r="S562" s="49"/>
      <c r="T562" s="49"/>
      <c r="U562" s="49"/>
      <c r="V562" s="49"/>
      <c r="W562" s="49" t="s">
        <v>558</v>
      </c>
      <c r="X562" s="49"/>
      <c r="Y562" s="49"/>
      <c r="Z562" s="66"/>
      <c r="AA562" s="140"/>
      <c r="AB562" s="66"/>
      <c r="AC562" s="66"/>
      <c r="AD562" s="66"/>
      <c r="AE562" s="66"/>
    </row>
    <row r="563" spans="1:31" x14ac:dyDescent="0.35">
      <c r="A563" s="66"/>
      <c r="B563" s="66"/>
      <c r="C563" s="49"/>
      <c r="D563" s="49" t="s">
        <v>559</v>
      </c>
      <c r="E563" s="49"/>
      <c r="F563" s="49"/>
      <c r="G563" s="49"/>
      <c r="H563" s="63">
        <f t="shared" ref="H563:M563" si="145">ROUND(SUM(H557:H562),5)</f>
        <v>24373.45</v>
      </c>
      <c r="I563" s="63">
        <f t="shared" si="145"/>
        <v>0</v>
      </c>
      <c r="J563" s="64">
        <f t="shared" si="145"/>
        <v>27995.16</v>
      </c>
      <c r="K563" s="76">
        <f t="shared" si="145"/>
        <v>0</v>
      </c>
      <c r="L563" s="65">
        <f t="shared" si="145"/>
        <v>28732.99</v>
      </c>
      <c r="M563" s="77">
        <f t="shared" si="145"/>
        <v>0</v>
      </c>
      <c r="N563" s="66">
        <f t="shared" si="144"/>
        <v>81101.600000000006</v>
      </c>
      <c r="O563" s="66">
        <f t="shared" si="144"/>
        <v>0</v>
      </c>
      <c r="P563" s="69">
        <f t="shared" si="133"/>
        <v>27033.866666666669</v>
      </c>
      <c r="Q563" s="69">
        <f t="shared" si="133"/>
        <v>0</v>
      </c>
      <c r="R563" s="54"/>
      <c r="S563" s="49"/>
      <c r="T563" s="49"/>
      <c r="U563" s="49"/>
      <c r="V563" s="49" t="s">
        <v>559</v>
      </c>
      <c r="W563" s="49"/>
      <c r="X563" s="49"/>
      <c r="Y563" s="49"/>
      <c r="Z563" s="66"/>
      <c r="AA563" s="140"/>
      <c r="AB563" s="66"/>
      <c r="AC563" s="66"/>
      <c r="AD563" s="66"/>
      <c r="AE563" s="66"/>
    </row>
    <row r="564" spans="1:31" x14ac:dyDescent="0.35">
      <c r="A564" s="66"/>
      <c r="B564" s="66"/>
      <c r="C564" s="49"/>
      <c r="D564" s="49" t="s">
        <v>560</v>
      </c>
      <c r="E564" s="49"/>
      <c r="F564" s="49"/>
      <c r="G564" s="49"/>
      <c r="H564" s="63"/>
      <c r="I564" s="63"/>
      <c r="J564" s="64"/>
      <c r="K564" s="64"/>
      <c r="L564" s="65"/>
      <c r="M564" s="65"/>
      <c r="N564" s="66"/>
      <c r="O564" s="66"/>
      <c r="P564" s="69"/>
      <c r="Q564" s="69"/>
      <c r="R564" s="54"/>
      <c r="S564" s="49"/>
      <c r="T564" s="49"/>
      <c r="U564" s="49"/>
      <c r="V564" s="49" t="s">
        <v>560</v>
      </c>
      <c r="W564" s="49"/>
      <c r="X564" s="49"/>
      <c r="Y564" s="49"/>
      <c r="Z564" s="66"/>
      <c r="AA564" s="140"/>
      <c r="AB564" s="66"/>
      <c r="AC564" s="66"/>
      <c r="AD564" s="66"/>
      <c r="AE564" s="66"/>
    </row>
    <row r="565" spans="1:31" x14ac:dyDescent="0.35">
      <c r="A565" s="66"/>
      <c r="B565" s="66"/>
      <c r="C565" s="49"/>
      <c r="D565" s="49"/>
      <c r="E565" s="49" t="s">
        <v>561</v>
      </c>
      <c r="F565" s="49"/>
      <c r="G565" s="49"/>
      <c r="H565" s="63">
        <v>558.27</v>
      </c>
      <c r="I565" s="63">
        <v>0</v>
      </c>
      <c r="J565" s="64">
        <v>-985.85</v>
      </c>
      <c r="K565" s="64">
        <v>0</v>
      </c>
      <c r="L565" s="65">
        <v>6774.89</v>
      </c>
      <c r="M565" s="65">
        <v>0</v>
      </c>
      <c r="N565" s="66">
        <f t="shared" ref="N565:O569" si="146">ROUND(H565+J565+L565,5)</f>
        <v>6347.31</v>
      </c>
      <c r="O565" s="66">
        <f t="shared" si="146"/>
        <v>0</v>
      </c>
      <c r="P565" s="69">
        <f t="shared" si="133"/>
        <v>2115.77</v>
      </c>
      <c r="Q565" s="69">
        <f t="shared" si="133"/>
        <v>0</v>
      </c>
      <c r="R565" s="54"/>
      <c r="S565" s="49"/>
      <c r="T565" s="49"/>
      <c r="U565" s="49"/>
      <c r="V565" s="49"/>
      <c r="W565" s="49" t="s">
        <v>561</v>
      </c>
      <c r="X565" s="49"/>
      <c r="Y565" s="49"/>
      <c r="Z565" s="66"/>
      <c r="AA565" s="140"/>
      <c r="AB565" s="66"/>
      <c r="AC565" s="66"/>
      <c r="AD565" s="66"/>
      <c r="AE565" s="66"/>
    </row>
    <row r="566" spans="1:31" x14ac:dyDescent="0.35">
      <c r="A566" s="66"/>
      <c r="B566" s="66"/>
      <c r="C566" s="49"/>
      <c r="D566" s="49"/>
      <c r="E566" s="49" t="s">
        <v>562</v>
      </c>
      <c r="F566" s="49"/>
      <c r="G566" s="49"/>
      <c r="H566" s="63">
        <v>0</v>
      </c>
      <c r="I566" s="63">
        <v>0</v>
      </c>
      <c r="J566" s="64">
        <v>0</v>
      </c>
      <c r="K566" s="64">
        <v>0</v>
      </c>
      <c r="L566" s="65">
        <v>-58.71</v>
      </c>
      <c r="M566" s="65">
        <v>0</v>
      </c>
      <c r="N566" s="66">
        <f t="shared" si="146"/>
        <v>-58.71</v>
      </c>
      <c r="O566" s="66">
        <f t="shared" si="146"/>
        <v>0</v>
      </c>
      <c r="P566" s="69">
        <f t="shared" si="133"/>
        <v>-19.57</v>
      </c>
      <c r="Q566" s="69">
        <f t="shared" si="133"/>
        <v>0</v>
      </c>
      <c r="R566" s="54"/>
      <c r="S566" s="49"/>
      <c r="T566" s="49"/>
      <c r="U566" s="49"/>
      <c r="V566" s="49"/>
      <c r="W566" s="49" t="s">
        <v>562</v>
      </c>
      <c r="X566" s="49"/>
      <c r="Y566" s="49"/>
      <c r="Z566" s="66"/>
      <c r="AA566" s="140"/>
      <c r="AB566" s="66"/>
      <c r="AC566" s="66"/>
      <c r="AD566" s="66"/>
      <c r="AE566" s="66"/>
    </row>
    <row r="567" spans="1:31" ht="16" thickBot="1" x14ac:dyDescent="0.4">
      <c r="A567" s="66"/>
      <c r="B567" s="66"/>
      <c r="C567" s="49"/>
      <c r="D567" s="49"/>
      <c r="E567" s="49" t="s">
        <v>563</v>
      </c>
      <c r="F567" s="49"/>
      <c r="G567" s="49"/>
      <c r="H567" s="63">
        <v>136732.6</v>
      </c>
      <c r="I567" s="63">
        <v>0</v>
      </c>
      <c r="J567" s="64">
        <v>235676.86</v>
      </c>
      <c r="K567" s="64">
        <v>0</v>
      </c>
      <c r="L567" s="65">
        <v>195303.78</v>
      </c>
      <c r="M567" s="65">
        <v>0</v>
      </c>
      <c r="N567" s="66">
        <f t="shared" si="146"/>
        <v>567713.24</v>
      </c>
      <c r="O567" s="66">
        <f t="shared" si="146"/>
        <v>0</v>
      </c>
      <c r="P567" s="69">
        <f t="shared" si="133"/>
        <v>189237.74666666667</v>
      </c>
      <c r="Q567" s="69">
        <f t="shared" si="133"/>
        <v>0</v>
      </c>
      <c r="R567" s="54"/>
      <c r="S567" s="49"/>
      <c r="T567" s="49"/>
      <c r="U567" s="49"/>
      <c r="V567" s="49"/>
      <c r="W567" s="49" t="s">
        <v>563</v>
      </c>
      <c r="X567" s="49"/>
      <c r="Y567" s="49"/>
      <c r="Z567" s="66"/>
      <c r="AA567" s="140"/>
      <c r="AB567" s="66"/>
      <c r="AC567" s="66"/>
      <c r="AD567" s="66"/>
      <c r="AE567" s="66"/>
    </row>
    <row r="568" spans="1:31" ht="16" thickBot="1" x14ac:dyDescent="0.4">
      <c r="A568" s="66"/>
      <c r="B568" s="66"/>
      <c r="C568" s="49"/>
      <c r="D568" s="49" t="s">
        <v>564</v>
      </c>
      <c r="E568" s="49"/>
      <c r="F568" s="49"/>
      <c r="G568" s="49"/>
      <c r="H568" s="83">
        <f t="shared" ref="H568:M568" si="147">ROUND(SUM(H564:H567),5)</f>
        <v>137290.87</v>
      </c>
      <c r="I568" s="83">
        <f t="shared" si="147"/>
        <v>0</v>
      </c>
      <c r="J568" s="84">
        <f t="shared" si="147"/>
        <v>234691.01</v>
      </c>
      <c r="K568" s="84">
        <f t="shared" si="147"/>
        <v>0</v>
      </c>
      <c r="L568" s="85">
        <f t="shared" si="147"/>
        <v>202019.96</v>
      </c>
      <c r="M568" s="85">
        <f t="shared" si="147"/>
        <v>0</v>
      </c>
      <c r="N568" s="86">
        <f t="shared" si="146"/>
        <v>574001.84</v>
      </c>
      <c r="O568" s="86">
        <f t="shared" si="146"/>
        <v>0</v>
      </c>
      <c r="P568" s="87">
        <f t="shared" si="133"/>
        <v>191333.94666666666</v>
      </c>
      <c r="Q568" s="87">
        <f t="shared" si="133"/>
        <v>0</v>
      </c>
      <c r="R568" s="54"/>
      <c r="S568" s="49"/>
      <c r="T568" s="49"/>
      <c r="U568" s="49"/>
      <c r="V568" s="49" t="s">
        <v>564</v>
      </c>
      <c r="W568" s="49"/>
      <c r="X568" s="49"/>
      <c r="Y568" s="49"/>
      <c r="Z568" s="66"/>
      <c r="AA568" s="140"/>
      <c r="AB568" s="66"/>
      <c r="AC568" s="66"/>
      <c r="AD568" s="66"/>
      <c r="AE568" s="66"/>
    </row>
    <row r="569" spans="1:31" x14ac:dyDescent="0.35">
      <c r="A569" s="66"/>
      <c r="B569" s="66"/>
      <c r="C569" s="49" t="s">
        <v>565</v>
      </c>
      <c r="D569" s="49"/>
      <c r="E569" s="49"/>
      <c r="F569" s="49"/>
      <c r="G569" s="49"/>
      <c r="H569" s="63">
        <f t="shared" ref="H569:M569" si="148">ROUND(SUM(H555:H556)+H563+H568,5)</f>
        <v>450050.37</v>
      </c>
      <c r="I569" s="63">
        <f t="shared" si="148"/>
        <v>0</v>
      </c>
      <c r="J569" s="64">
        <f t="shared" si="148"/>
        <v>576400.43000000005</v>
      </c>
      <c r="K569" s="64">
        <f t="shared" si="148"/>
        <v>0</v>
      </c>
      <c r="L569" s="65">
        <f t="shared" si="148"/>
        <v>594185.98</v>
      </c>
      <c r="M569" s="65">
        <f t="shared" si="148"/>
        <v>0</v>
      </c>
      <c r="N569" s="66">
        <f t="shared" si="146"/>
        <v>1620636.78</v>
      </c>
      <c r="O569" s="66">
        <f t="shared" si="146"/>
        <v>0</v>
      </c>
      <c r="P569" s="69">
        <f t="shared" si="133"/>
        <v>540212.26</v>
      </c>
      <c r="Q569" s="69">
        <f t="shared" si="133"/>
        <v>0</v>
      </c>
      <c r="R569" s="54"/>
      <c r="S569" s="49"/>
      <c r="T569" s="49"/>
      <c r="U569" s="49" t="s">
        <v>565</v>
      </c>
      <c r="V569" s="49"/>
      <c r="W569" s="49"/>
      <c r="X569" s="49"/>
      <c r="Y569" s="49"/>
      <c r="Z569" s="66"/>
      <c r="AA569" s="140"/>
      <c r="AB569" s="66"/>
      <c r="AC569" s="66"/>
      <c r="AD569" s="66"/>
      <c r="AE569" s="66"/>
    </row>
    <row r="570" spans="1:31" x14ac:dyDescent="0.35">
      <c r="A570" s="66"/>
      <c r="B570" s="66"/>
      <c r="C570" s="49" t="s">
        <v>566</v>
      </c>
      <c r="D570" s="49"/>
      <c r="E570" s="49"/>
      <c r="F570" s="49"/>
      <c r="G570" s="49"/>
      <c r="H570" s="63"/>
      <c r="I570" s="63"/>
      <c r="J570" s="64"/>
      <c r="K570" s="64"/>
      <c r="L570" s="65"/>
      <c r="M570" s="65"/>
      <c r="N570" s="66"/>
      <c r="O570" s="66"/>
      <c r="P570" s="69"/>
      <c r="Q570" s="69"/>
      <c r="R570" s="54"/>
      <c r="S570" s="49"/>
      <c r="T570" s="49"/>
      <c r="U570" s="49" t="s">
        <v>566</v>
      </c>
      <c r="V570" s="49"/>
      <c r="W570" s="49"/>
      <c r="X570" s="49"/>
      <c r="Y570" s="49"/>
      <c r="Z570" s="66"/>
      <c r="AA570" s="140"/>
      <c r="AB570" s="66"/>
      <c r="AC570" s="66"/>
      <c r="AD570" s="66"/>
      <c r="AE570" s="66"/>
    </row>
    <row r="571" spans="1:31" x14ac:dyDescent="0.35">
      <c r="A571" s="66"/>
      <c r="B571" s="66"/>
      <c r="C571" s="49"/>
      <c r="D571" s="49" t="s">
        <v>567</v>
      </c>
      <c r="E571" s="49"/>
      <c r="F571" s="49"/>
      <c r="G571" s="49"/>
      <c r="H571" s="63"/>
      <c r="I571" s="63"/>
      <c r="J571" s="64"/>
      <c r="K571" s="64"/>
      <c r="L571" s="65"/>
      <c r="M571" s="65"/>
      <c r="N571" s="66"/>
      <c r="O571" s="66"/>
      <c r="P571" s="69"/>
      <c r="Q571" s="69"/>
      <c r="R571" s="54"/>
      <c r="S571" s="49"/>
      <c r="T571" s="49"/>
      <c r="U571" s="49"/>
      <c r="V571" s="49" t="s">
        <v>567</v>
      </c>
      <c r="W571" s="49"/>
      <c r="X571" s="49"/>
      <c r="Y571" s="49"/>
      <c r="Z571" s="66"/>
      <c r="AA571" s="140"/>
      <c r="AB571" s="66"/>
      <c r="AC571" s="66"/>
      <c r="AD571" s="66"/>
      <c r="AE571" s="66"/>
    </row>
    <row r="572" spans="1:31" x14ac:dyDescent="0.35">
      <c r="A572" s="66"/>
      <c r="B572" s="66"/>
      <c r="C572" s="49"/>
      <c r="D572" s="49"/>
      <c r="E572" s="49" t="s">
        <v>568</v>
      </c>
      <c r="F572" s="49"/>
      <c r="G572" s="49"/>
      <c r="H572" s="63">
        <v>541.88</v>
      </c>
      <c r="I572" s="63">
        <v>0</v>
      </c>
      <c r="J572" s="64">
        <v>554.29999999999995</v>
      </c>
      <c r="K572" s="64">
        <v>0</v>
      </c>
      <c r="L572" s="65">
        <v>645.24</v>
      </c>
      <c r="M572" s="65">
        <v>0</v>
      </c>
      <c r="N572" s="66">
        <f t="shared" ref="N572:O580" si="149">ROUND(H572+J572+L572,5)</f>
        <v>1741.42</v>
      </c>
      <c r="O572" s="66">
        <f t="shared" si="149"/>
        <v>0</v>
      </c>
      <c r="P572" s="69">
        <f t="shared" ref="P572:Q580" si="150">N572/3</f>
        <v>580.47333333333336</v>
      </c>
      <c r="Q572" s="69">
        <f t="shared" si="150"/>
        <v>0</v>
      </c>
      <c r="R572" s="54"/>
      <c r="S572" s="49"/>
      <c r="T572" s="49"/>
      <c r="U572" s="49"/>
      <c r="V572" s="49"/>
      <c r="W572" s="49" t="s">
        <v>568</v>
      </c>
      <c r="X572" s="49"/>
      <c r="Y572" s="49"/>
      <c r="Z572" s="66"/>
      <c r="AA572" s="140"/>
      <c r="AB572" s="66"/>
      <c r="AC572" s="66"/>
      <c r="AD572" s="66"/>
      <c r="AE572" s="66"/>
    </row>
    <row r="573" spans="1:31" x14ac:dyDescent="0.35">
      <c r="A573" s="66"/>
      <c r="B573" s="66"/>
      <c r="C573" s="49"/>
      <c r="D573" s="49"/>
      <c r="E573" s="49" t="s">
        <v>569</v>
      </c>
      <c r="F573" s="49"/>
      <c r="G573" s="49"/>
      <c r="H573" s="63">
        <v>0</v>
      </c>
      <c r="I573" s="63">
        <v>0</v>
      </c>
      <c r="J573" s="64">
        <v>0</v>
      </c>
      <c r="K573" s="64">
        <v>0</v>
      </c>
      <c r="L573" s="65">
        <v>0</v>
      </c>
      <c r="M573" s="65">
        <v>0</v>
      </c>
      <c r="N573" s="66">
        <f t="shared" si="149"/>
        <v>0</v>
      </c>
      <c r="O573" s="66">
        <f t="shared" si="149"/>
        <v>0</v>
      </c>
      <c r="P573" s="69">
        <f t="shared" si="150"/>
        <v>0</v>
      </c>
      <c r="Q573" s="69">
        <f t="shared" si="150"/>
        <v>0</v>
      </c>
      <c r="R573" s="54"/>
      <c r="S573" s="49"/>
      <c r="T573" s="49"/>
      <c r="U573" s="49"/>
      <c r="V573" s="49"/>
      <c r="W573" s="49" t="s">
        <v>569</v>
      </c>
      <c r="X573" s="49"/>
      <c r="Y573" s="49"/>
      <c r="Z573" s="66"/>
      <c r="AA573" s="143"/>
      <c r="AB573" s="66"/>
      <c r="AC573" s="66"/>
      <c r="AD573" s="66"/>
      <c r="AE573" s="66"/>
    </row>
    <row r="574" spans="1:31" x14ac:dyDescent="0.35">
      <c r="A574" s="66"/>
      <c r="B574" s="66"/>
      <c r="C574" s="49"/>
      <c r="D574" s="49"/>
      <c r="E574" s="49" t="s">
        <v>570</v>
      </c>
      <c r="F574" s="49"/>
      <c r="G574" s="49"/>
      <c r="H574" s="63">
        <v>2500</v>
      </c>
      <c r="I574" s="63">
        <v>0</v>
      </c>
      <c r="J574" s="64">
        <v>4000</v>
      </c>
      <c r="K574" s="64">
        <v>0</v>
      </c>
      <c r="L574" s="65">
        <v>4500</v>
      </c>
      <c r="M574" s="65">
        <v>0</v>
      </c>
      <c r="N574" s="66">
        <f t="shared" si="149"/>
        <v>11000</v>
      </c>
      <c r="O574" s="66">
        <f t="shared" si="149"/>
        <v>0</v>
      </c>
      <c r="P574" s="69">
        <f t="shared" si="150"/>
        <v>3666.6666666666665</v>
      </c>
      <c r="Q574" s="69">
        <f t="shared" si="150"/>
        <v>0</v>
      </c>
      <c r="R574" s="54"/>
      <c r="S574" s="49"/>
      <c r="T574" s="49"/>
      <c r="U574" s="49"/>
      <c r="V574" s="49"/>
      <c r="W574" s="49" t="s">
        <v>570</v>
      </c>
      <c r="X574" s="49"/>
      <c r="Y574" s="49"/>
      <c r="Z574" s="66"/>
      <c r="AA574" s="140"/>
      <c r="AB574" s="66"/>
      <c r="AC574" s="66"/>
      <c r="AD574" s="66"/>
      <c r="AE574" s="66"/>
    </row>
    <row r="575" spans="1:31" ht="16" thickBot="1" x14ac:dyDescent="0.4">
      <c r="A575" s="66"/>
      <c r="B575" s="66"/>
      <c r="C575" s="49"/>
      <c r="D575" s="49"/>
      <c r="E575" s="49" t="s">
        <v>571</v>
      </c>
      <c r="F575" s="49"/>
      <c r="G575" s="49"/>
      <c r="H575" s="70">
        <v>21487.599999999999</v>
      </c>
      <c r="I575" s="70">
        <v>0</v>
      </c>
      <c r="J575" s="71">
        <v>19409.990000000002</v>
      </c>
      <c r="K575" s="64">
        <v>0</v>
      </c>
      <c r="L575" s="72">
        <v>19578.830000000002</v>
      </c>
      <c r="M575" s="65">
        <v>0</v>
      </c>
      <c r="N575" s="73">
        <f t="shared" si="149"/>
        <v>60476.42</v>
      </c>
      <c r="O575" s="73">
        <f t="shared" si="149"/>
        <v>0</v>
      </c>
      <c r="P575" s="74">
        <f t="shared" si="150"/>
        <v>20158.806666666667</v>
      </c>
      <c r="Q575" s="74">
        <f t="shared" si="150"/>
        <v>0</v>
      </c>
      <c r="R575" s="54"/>
      <c r="S575" s="49"/>
      <c r="T575" s="49"/>
      <c r="U575" s="49"/>
      <c r="V575" s="49"/>
      <c r="W575" s="49" t="s">
        <v>571</v>
      </c>
      <c r="X575" s="49"/>
      <c r="Y575" s="49"/>
      <c r="Z575" s="66"/>
      <c r="AA575" s="140"/>
      <c r="AB575" s="66"/>
      <c r="AC575" s="66"/>
      <c r="AD575" s="66"/>
      <c r="AE575" s="66"/>
    </row>
    <row r="576" spans="1:31" x14ac:dyDescent="0.35">
      <c r="A576" s="66"/>
      <c r="B576" s="66"/>
      <c r="C576" s="49"/>
      <c r="D576" s="49" t="s">
        <v>572</v>
      </c>
      <c r="E576" s="49"/>
      <c r="F576" s="49"/>
      <c r="G576" s="49"/>
      <c r="H576" s="63">
        <f t="shared" ref="H576:M576" si="151">ROUND(SUM(H571:H575),5)</f>
        <v>24529.48</v>
      </c>
      <c r="I576" s="63">
        <f t="shared" si="151"/>
        <v>0</v>
      </c>
      <c r="J576" s="64">
        <f t="shared" si="151"/>
        <v>23964.29</v>
      </c>
      <c r="K576" s="76">
        <f t="shared" si="151"/>
        <v>0</v>
      </c>
      <c r="L576" s="65">
        <f t="shared" si="151"/>
        <v>24724.07</v>
      </c>
      <c r="M576" s="77">
        <f t="shared" si="151"/>
        <v>0</v>
      </c>
      <c r="N576" s="66">
        <f t="shared" si="149"/>
        <v>73217.84</v>
      </c>
      <c r="O576" s="66">
        <f t="shared" si="149"/>
        <v>0</v>
      </c>
      <c r="P576" s="69">
        <f t="shared" si="150"/>
        <v>24405.946666666667</v>
      </c>
      <c r="Q576" s="69">
        <f t="shared" si="150"/>
        <v>0</v>
      </c>
      <c r="R576" s="54"/>
      <c r="S576" s="49"/>
      <c r="T576" s="49"/>
      <c r="U576" s="49"/>
      <c r="V576" s="49" t="s">
        <v>572</v>
      </c>
      <c r="W576" s="49"/>
      <c r="X576" s="49"/>
      <c r="Y576" s="49"/>
      <c r="Z576" s="66"/>
      <c r="AA576" s="140"/>
      <c r="AB576" s="66"/>
      <c r="AC576" s="66"/>
      <c r="AD576" s="66"/>
      <c r="AE576" s="66"/>
    </row>
    <row r="577" spans="1:33" ht="16" thickBot="1" x14ac:dyDescent="0.4">
      <c r="A577" s="66"/>
      <c r="B577" s="66"/>
      <c r="C577" s="49"/>
      <c r="D577" s="49" t="s">
        <v>573</v>
      </c>
      <c r="E577" s="49"/>
      <c r="F577" s="49"/>
      <c r="G577" s="49"/>
      <c r="H577" s="63">
        <v>288386.05</v>
      </c>
      <c r="I577" s="63">
        <v>0</v>
      </c>
      <c r="J577" s="64">
        <v>313714.26</v>
      </c>
      <c r="K577" s="64">
        <v>0</v>
      </c>
      <c r="L577" s="65">
        <v>363433.03</v>
      </c>
      <c r="M577" s="65">
        <v>0</v>
      </c>
      <c r="N577" s="66">
        <f t="shared" si="149"/>
        <v>965533.34</v>
      </c>
      <c r="O577" s="66">
        <f t="shared" si="149"/>
        <v>0</v>
      </c>
      <c r="P577" s="69">
        <f t="shared" si="150"/>
        <v>321844.44666666666</v>
      </c>
      <c r="Q577" s="69">
        <f t="shared" si="150"/>
        <v>0</v>
      </c>
      <c r="R577" s="54"/>
      <c r="S577" s="49"/>
      <c r="T577" s="49"/>
      <c r="U577" s="49"/>
      <c r="V577" s="49" t="s">
        <v>573</v>
      </c>
      <c r="W577" s="49"/>
      <c r="X577" s="49"/>
      <c r="Y577" s="49"/>
      <c r="Z577" s="66"/>
      <c r="AA577" s="140"/>
      <c r="AB577" s="157"/>
      <c r="AC577" s="157"/>
      <c r="AD577" s="157"/>
      <c r="AE577" s="157"/>
    </row>
    <row r="578" spans="1:33" ht="16" thickBot="1" x14ac:dyDescent="0.4">
      <c r="A578" s="66"/>
      <c r="B578" s="66"/>
      <c r="C578" s="49" t="s">
        <v>574</v>
      </c>
      <c r="D578" s="49"/>
      <c r="E578" s="49"/>
      <c r="F578" s="49"/>
      <c r="G578" s="49"/>
      <c r="H578" s="75">
        <f t="shared" ref="H578:M578" si="152">ROUND(H570+SUM(H576:H577),5)</f>
        <v>312915.53000000003</v>
      </c>
      <c r="I578" s="75">
        <f t="shared" si="152"/>
        <v>0</v>
      </c>
      <c r="J578" s="76">
        <f t="shared" si="152"/>
        <v>337678.55</v>
      </c>
      <c r="K578" s="76">
        <f t="shared" si="152"/>
        <v>0</v>
      </c>
      <c r="L578" s="77">
        <f t="shared" si="152"/>
        <v>388157.1</v>
      </c>
      <c r="M578" s="77">
        <f t="shared" si="152"/>
        <v>0</v>
      </c>
      <c r="N578" s="78">
        <f t="shared" si="149"/>
        <v>1038751.18</v>
      </c>
      <c r="O578" s="78">
        <f t="shared" si="149"/>
        <v>0</v>
      </c>
      <c r="P578" s="79">
        <f t="shared" si="150"/>
        <v>346250.39333333337</v>
      </c>
      <c r="Q578" s="79">
        <f t="shared" si="150"/>
        <v>0</v>
      </c>
      <c r="R578" s="54"/>
      <c r="S578" s="49"/>
      <c r="T578" s="49"/>
      <c r="U578" s="49" t="s">
        <v>574</v>
      </c>
      <c r="V578" s="49"/>
      <c r="W578" s="49"/>
      <c r="X578" s="49"/>
      <c r="Y578" s="49"/>
      <c r="Z578" s="66"/>
      <c r="AA578" s="140"/>
      <c r="AB578" s="66"/>
      <c r="AC578" s="66"/>
      <c r="AD578" s="66"/>
      <c r="AE578" s="66"/>
      <c r="AG578" s="45"/>
    </row>
    <row r="579" spans="1:33" ht="16" thickBot="1" x14ac:dyDescent="0.4">
      <c r="A579" s="66"/>
      <c r="B579" s="66" t="s">
        <v>575</v>
      </c>
      <c r="C579" s="49"/>
      <c r="D579" s="49"/>
      <c r="E579" s="49"/>
      <c r="F579" s="49"/>
      <c r="G579" s="49"/>
      <c r="H579" s="75">
        <f t="shared" ref="H579:M579" si="153">ROUND(H554+H569-H578,5)</f>
        <v>137134.84</v>
      </c>
      <c r="I579" s="75">
        <f t="shared" si="153"/>
        <v>0</v>
      </c>
      <c r="J579" s="76">
        <f t="shared" si="153"/>
        <v>238721.88</v>
      </c>
      <c r="K579" s="76">
        <f t="shared" si="153"/>
        <v>0</v>
      </c>
      <c r="L579" s="77">
        <f t="shared" si="153"/>
        <v>206028.88</v>
      </c>
      <c r="M579" s="77">
        <f t="shared" si="153"/>
        <v>0</v>
      </c>
      <c r="N579" s="78">
        <f t="shared" si="149"/>
        <v>581885.6</v>
      </c>
      <c r="O579" s="78">
        <f t="shared" si="149"/>
        <v>0</v>
      </c>
      <c r="P579" s="79">
        <f t="shared" si="150"/>
        <v>193961.86666666667</v>
      </c>
      <c r="Q579" s="79">
        <f t="shared" si="150"/>
        <v>0</v>
      </c>
      <c r="R579" s="54"/>
      <c r="S579" s="49"/>
      <c r="T579" s="49" t="s">
        <v>575</v>
      </c>
      <c r="U579" s="49"/>
      <c r="V579" s="49"/>
      <c r="W579" s="49"/>
      <c r="X579" s="49"/>
      <c r="Y579" s="49"/>
      <c r="Z579" s="66"/>
      <c r="AA579" s="140"/>
      <c r="AB579" s="66"/>
      <c r="AC579" s="66"/>
      <c r="AD579" s="66"/>
      <c r="AE579" s="66"/>
    </row>
    <row r="580" spans="1:33" s="45" customFormat="1" ht="16" thickBot="1" x14ac:dyDescent="0.4">
      <c r="A580" s="95" t="s">
        <v>576</v>
      </c>
      <c r="B580" s="95"/>
      <c r="C580" s="49"/>
      <c r="D580" s="49"/>
      <c r="E580" s="49"/>
      <c r="F580" s="49"/>
      <c r="G580" s="49"/>
      <c r="H580" s="96">
        <f t="shared" ref="H580:M580" si="154">ROUND(H553+H579,5)</f>
        <v>44542.64</v>
      </c>
      <c r="I580" s="96">
        <f t="shared" si="154"/>
        <v>8714.58</v>
      </c>
      <c r="J580" s="97">
        <f t="shared" si="154"/>
        <v>51342.9</v>
      </c>
      <c r="K580" s="97">
        <f t="shared" si="154"/>
        <v>826.41</v>
      </c>
      <c r="L580" s="98">
        <f t="shared" si="154"/>
        <v>184453.41</v>
      </c>
      <c r="M580" s="98">
        <f t="shared" si="154"/>
        <v>354.02</v>
      </c>
      <c r="N580" s="99">
        <f t="shared" si="149"/>
        <v>280338.95</v>
      </c>
      <c r="O580" s="99">
        <f t="shared" si="149"/>
        <v>9895.01</v>
      </c>
      <c r="P580" s="100">
        <f t="shared" si="150"/>
        <v>93446.316666666666</v>
      </c>
      <c r="Q580" s="100">
        <f t="shared" si="150"/>
        <v>3298.3366666666666</v>
      </c>
      <c r="R580" s="101"/>
      <c r="S580" s="49" t="s">
        <v>576</v>
      </c>
      <c r="T580" s="49"/>
      <c r="U580" s="49"/>
      <c r="V580" s="49"/>
      <c r="W580" s="49"/>
      <c r="X580" s="49"/>
      <c r="Y580" s="49"/>
      <c r="Z580" s="99">
        <f>ROUND(Z553+Z579,5)</f>
        <v>811.37</v>
      </c>
      <c r="AA580" s="140"/>
      <c r="AB580" s="99">
        <f>ROUND(AB553+AB579,5)</f>
        <v>-193160.46642000001</v>
      </c>
      <c r="AC580" s="99">
        <f>ROUND(AC553+AC579,5)</f>
        <v>-8678.4714199999999</v>
      </c>
      <c r="AD580" s="99">
        <f>ROUND(AD553+AD579,5)</f>
        <v>15325.98798</v>
      </c>
      <c r="AE580" s="99">
        <f>ROUND(AE553+AE579,5)</f>
        <v>6387.1</v>
      </c>
      <c r="AF580"/>
      <c r="AG580" s="46"/>
    </row>
    <row r="581" spans="1:33" ht="16" thickTop="1" x14ac:dyDescent="0.35">
      <c r="AB581" s="47"/>
      <c r="AC581" s="47"/>
      <c r="AD581" s="47"/>
      <c r="AE581" s="47"/>
    </row>
  </sheetData>
  <mergeCells count="1"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DCE8-F699-4D4E-B592-5F5E730BD64E}">
  <sheetPr>
    <tabColor rgb="FF00B050"/>
  </sheetPr>
  <dimension ref="A1:AM581"/>
  <sheetViews>
    <sheetView zoomScale="130" zoomScaleNormal="130" workbookViewId="0">
      <pane xSplit="7" ySplit="4" topLeftCell="Y5" activePane="bottomRight" state="frozen"/>
      <selection pane="topRight" activeCell="H1" sqref="H1"/>
      <selection pane="bottomLeft" activeCell="A5" sqref="A5"/>
      <selection pane="bottomRight" activeCell="AF172" sqref="AF172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4.1796875" style="46" bestFit="1" customWidth="1"/>
    <col min="10" max="10" width="16.81640625" style="46" customWidth="1"/>
    <col min="11" max="11" width="14.1796875" style="46" bestFit="1" customWidth="1"/>
    <col min="12" max="12" width="16.81640625" style="46" customWidth="1"/>
    <col min="13" max="13" width="14.1796875" style="46" bestFit="1" customWidth="1"/>
    <col min="14" max="14" width="16.81640625" style="46" bestFit="1" customWidth="1"/>
    <col min="15" max="15" width="14.81640625" style="46" bestFit="1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453125" style="45" customWidth="1"/>
    <col min="26" max="26" width="14.1796875" style="47" bestFit="1" customWidth="1"/>
    <col min="27" max="27" width="0.6328125" style="46" customWidth="1"/>
    <col min="28" max="32" width="17.1796875" style="46" bestFit="1" customWidth="1"/>
    <col min="33" max="33" width="17.54296875" bestFit="1" customWidth="1"/>
    <col min="34" max="34" width="47.81640625" style="46" customWidth="1"/>
    <col min="35" max="36" width="11.54296875" style="46" bestFit="1" customWidth="1"/>
    <col min="37" max="37" width="11.1796875" style="46" bestFit="1" customWidth="1"/>
    <col min="38" max="38" width="12.6328125" style="46" bestFit="1" customWidth="1"/>
    <col min="39" max="39" width="10.1796875" style="46" bestFit="1" customWidth="1"/>
    <col min="40" max="16384" width="8.81640625" style="46"/>
  </cols>
  <sheetData>
    <row r="1" spans="1:34" ht="25" customHeight="1" x14ac:dyDescent="0.35">
      <c r="A1" s="45" t="s">
        <v>985</v>
      </c>
      <c r="H1" s="103">
        <f t="shared" ref="H1:Q1" si="0">H580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Z580</f>
        <v>811.37</v>
      </c>
      <c r="AA1" s="139"/>
      <c r="AB1" s="106">
        <f>AB580</f>
        <v>-193160.46642000001</v>
      </c>
      <c r="AC1" s="129">
        <f>AC580</f>
        <v>-8678.4714199999999</v>
      </c>
      <c r="AD1" s="132">
        <f>AD580</f>
        <v>15325.98798</v>
      </c>
      <c r="AE1" s="153">
        <f>AE580</f>
        <v>6387.1</v>
      </c>
      <c r="AF1" s="161">
        <f>AF580</f>
        <v>22442.035</v>
      </c>
      <c r="AH1" s="81"/>
    </row>
    <row r="2" spans="1:34" ht="16" x14ac:dyDescent="0.35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  <c r="AF2" s="162" t="s">
        <v>944</v>
      </c>
    </row>
    <row r="3" spans="1:34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A3" s="140"/>
      <c r="AB3" s="1" t="s">
        <v>582</v>
      </c>
      <c r="AC3" s="1" t="s">
        <v>582</v>
      </c>
      <c r="AD3" s="1" t="s">
        <v>582</v>
      </c>
      <c r="AE3" s="1" t="s">
        <v>582</v>
      </c>
      <c r="AF3" s="1" t="s">
        <v>582</v>
      </c>
    </row>
    <row r="4" spans="1:34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A4" s="141"/>
      <c r="AB4" s="59" t="s">
        <v>2</v>
      </c>
      <c r="AC4" s="59" t="s">
        <v>2</v>
      </c>
      <c r="AD4" s="59" t="s">
        <v>2</v>
      </c>
      <c r="AE4" s="59" t="s">
        <v>2</v>
      </c>
      <c r="AF4" s="59" t="s">
        <v>2</v>
      </c>
      <c r="AG4"/>
    </row>
    <row r="5" spans="1:34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G5"/>
    </row>
    <row r="6" spans="1:34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34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34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34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</row>
    <row r="10" spans="1:34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1">ROUND(H10+J10+L10,5)</f>
        <v>270788.24</v>
      </c>
      <c r="O10" s="66">
        <f t="shared" si="1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  <c r="AF10" s="66"/>
    </row>
    <row r="11" spans="1:34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1"/>
        <v>104161.84</v>
      </c>
      <c r="O11" s="66">
        <f t="shared" si="1"/>
        <v>47215</v>
      </c>
      <c r="P11" s="69">
        <f t="shared" ref="P11:Q74" si="2">N11/3</f>
        <v>34720.613333333335</v>
      </c>
      <c r="Q11" s="69">
        <f t="shared" si="2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  <c r="AF11" s="66"/>
    </row>
    <row r="12" spans="1:34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1"/>
        <v>0</v>
      </c>
      <c r="O12" s="66">
        <f t="shared" si="1"/>
        <v>8970</v>
      </c>
      <c r="P12" s="69">
        <f t="shared" si="2"/>
        <v>0</v>
      </c>
      <c r="Q12" s="69">
        <f t="shared" si="2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  <c r="AF12" s="66"/>
    </row>
    <row r="13" spans="1:34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1"/>
        <v>49113.85</v>
      </c>
      <c r="O13" s="66">
        <f t="shared" si="1"/>
        <v>22276</v>
      </c>
      <c r="P13" s="69">
        <f t="shared" si="2"/>
        <v>16371.283333333333</v>
      </c>
      <c r="Q13" s="69">
        <f t="shared" si="2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  <c r="AF13" s="66"/>
    </row>
    <row r="14" spans="1:34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1"/>
        <v>7790</v>
      </c>
      <c r="O14" s="73">
        <f t="shared" si="1"/>
        <v>1400</v>
      </c>
      <c r="P14" s="74">
        <f t="shared" si="2"/>
        <v>2596.6666666666665</v>
      </c>
      <c r="Q14" s="74">
        <f t="shared" si="2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  <c r="AF14" s="73"/>
    </row>
    <row r="15" spans="1:34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3">ROUND(SUM(H9:H14),5)</f>
        <v>171173.36</v>
      </c>
      <c r="I15" s="63">
        <f t="shared" si="3"/>
        <v>33072</v>
      </c>
      <c r="J15" s="64">
        <f t="shared" si="3"/>
        <v>129396.15</v>
      </c>
      <c r="K15" s="64">
        <f t="shared" si="3"/>
        <v>61776</v>
      </c>
      <c r="L15" s="65">
        <f t="shared" si="3"/>
        <v>131284.42000000001</v>
      </c>
      <c r="M15" s="65">
        <f t="shared" si="3"/>
        <v>159494</v>
      </c>
      <c r="N15" s="66">
        <f t="shared" si="1"/>
        <v>431853.93</v>
      </c>
      <c r="O15" s="66">
        <f t="shared" si="1"/>
        <v>254342</v>
      </c>
      <c r="P15" s="69">
        <f t="shared" si="2"/>
        <v>143951.31</v>
      </c>
      <c r="Q15" s="69">
        <f t="shared" si="2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>ROUND(SUM(AB9:AB14),5)</f>
        <v>960784.8</v>
      </c>
      <c r="AC15" s="66">
        <f>ROUND(SUM(AC9:AC14),5)</f>
        <v>960784.8</v>
      </c>
      <c r="AD15" s="66">
        <f>ROUND(SUM(AD9:AD14),5)</f>
        <v>1026054.2</v>
      </c>
      <c r="AE15" s="66">
        <f>ROUND(SUM(AE9:AE14),5)</f>
        <v>1026054.2</v>
      </c>
      <c r="AF15" s="66">
        <f>ROUND(SUM(AF9:AF14),5)</f>
        <v>1026054.2</v>
      </c>
    </row>
    <row r="16" spans="1:34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  <c r="AF16" s="66"/>
    </row>
    <row r="17" spans="1:32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4">ROUND(H17+J17+L17,5)</f>
        <v>101809.82</v>
      </c>
      <c r="O17" s="66">
        <f t="shared" si="4"/>
        <v>79973</v>
      </c>
      <c r="P17" s="69">
        <f t="shared" si="2"/>
        <v>33936.606666666667</v>
      </c>
      <c r="Q17" s="69">
        <f t="shared" si="2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  <c r="AF17" s="66"/>
    </row>
    <row r="18" spans="1:32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4"/>
        <v>26984.29</v>
      </c>
      <c r="O18" s="66">
        <f t="shared" si="4"/>
        <v>23625</v>
      </c>
      <c r="P18" s="69">
        <f t="shared" si="2"/>
        <v>8994.7633333333342</v>
      </c>
      <c r="Q18" s="69">
        <f t="shared" si="2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  <c r="AF18" s="66"/>
    </row>
    <row r="19" spans="1:32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4"/>
        <v>17270</v>
      </c>
      <c r="O19" s="66">
        <f t="shared" si="4"/>
        <v>35512</v>
      </c>
      <c r="P19" s="69">
        <f t="shared" si="2"/>
        <v>5756.666666666667</v>
      </c>
      <c r="Q19" s="69">
        <f t="shared" si="2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  <c r="AF19" s="66"/>
    </row>
    <row r="20" spans="1:32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4"/>
        <v>22714.81</v>
      </c>
      <c r="O20" s="66">
        <f t="shared" si="4"/>
        <v>35292</v>
      </c>
      <c r="P20" s="69">
        <f t="shared" si="2"/>
        <v>7571.6033333333335</v>
      </c>
      <c r="Q20" s="69">
        <f t="shared" si="2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  <c r="AF20" s="66"/>
    </row>
    <row r="21" spans="1:32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4"/>
        <v>3255.05</v>
      </c>
      <c r="O21" s="66">
        <f t="shared" si="4"/>
        <v>0</v>
      </c>
      <c r="P21" s="69">
        <f t="shared" si="2"/>
        <v>1085.0166666666667</v>
      </c>
      <c r="Q21" s="69">
        <f t="shared" si="2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  <c r="AF21" s="66"/>
    </row>
    <row r="22" spans="1:32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4"/>
        <v>24336.65</v>
      </c>
      <c r="O22" s="66">
        <f t="shared" si="4"/>
        <v>58135</v>
      </c>
      <c r="P22" s="69">
        <f t="shared" si="2"/>
        <v>8112.2166666666672</v>
      </c>
      <c r="Q22" s="69">
        <f t="shared" si="2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  <c r="AF22" s="66"/>
    </row>
    <row r="23" spans="1:32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4"/>
        <v>3560.05</v>
      </c>
      <c r="O23" s="66">
        <f t="shared" si="4"/>
        <v>0</v>
      </c>
      <c r="P23" s="69">
        <f t="shared" si="2"/>
        <v>1186.6833333333334</v>
      </c>
      <c r="Q23" s="69">
        <f t="shared" si="2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  <c r="AF23" s="66"/>
    </row>
    <row r="24" spans="1:32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4"/>
        <v>20454.099999999999</v>
      </c>
      <c r="O24" s="66">
        <f t="shared" si="4"/>
        <v>42287</v>
      </c>
      <c r="P24" s="69">
        <f t="shared" si="2"/>
        <v>6818.0333333333328</v>
      </c>
      <c r="Q24" s="69">
        <f t="shared" si="2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  <c r="AF24" s="66"/>
    </row>
    <row r="25" spans="1:32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4"/>
        <v>13358.41</v>
      </c>
      <c r="O25" s="66">
        <f t="shared" si="4"/>
        <v>17758</v>
      </c>
      <c r="P25" s="69">
        <f t="shared" si="2"/>
        <v>4452.8033333333333</v>
      </c>
      <c r="Q25" s="69">
        <f t="shared" si="2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  <c r="AF25" s="66"/>
    </row>
    <row r="26" spans="1:32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4"/>
        <v>5642.08</v>
      </c>
      <c r="O26" s="66">
        <f t="shared" si="4"/>
        <v>0</v>
      </c>
      <c r="P26" s="69">
        <f t="shared" si="2"/>
        <v>1880.6933333333334</v>
      </c>
      <c r="Q26" s="69">
        <f t="shared" si="2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  <c r="AF26" s="66"/>
    </row>
    <row r="27" spans="1:32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4"/>
        <v>28947.17</v>
      </c>
      <c r="O27" s="66">
        <f t="shared" si="4"/>
        <v>23569</v>
      </c>
      <c r="P27" s="69">
        <f t="shared" si="2"/>
        <v>9649.0566666666655</v>
      </c>
      <c r="Q27" s="69">
        <f t="shared" si="2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  <c r="AF27" s="66"/>
    </row>
    <row r="28" spans="1:32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4"/>
        <v>6391.99</v>
      </c>
      <c r="O28" s="66">
        <f t="shared" si="4"/>
        <v>5858</v>
      </c>
      <c r="P28" s="69">
        <f t="shared" si="2"/>
        <v>2130.6633333333334</v>
      </c>
      <c r="Q28" s="69">
        <f t="shared" si="2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  <c r="AF28" s="66"/>
    </row>
    <row r="29" spans="1:32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4"/>
        <v>33957.879999999997</v>
      </c>
      <c r="O29" s="66">
        <f t="shared" si="4"/>
        <v>66808</v>
      </c>
      <c r="P29" s="69">
        <f t="shared" si="2"/>
        <v>11319.293333333333</v>
      </c>
      <c r="Q29" s="69">
        <f t="shared" si="2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  <c r="AF29" s="66"/>
    </row>
    <row r="30" spans="1:32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4"/>
        <v>44017.48</v>
      </c>
      <c r="O30" s="66">
        <f t="shared" si="4"/>
        <v>49854</v>
      </c>
      <c r="P30" s="69">
        <f t="shared" si="2"/>
        <v>14672.493333333334</v>
      </c>
      <c r="Q30" s="69">
        <f t="shared" si="2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  <c r="AF30" s="66"/>
    </row>
    <row r="31" spans="1:32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4"/>
        <v>64578.81</v>
      </c>
      <c r="O31" s="66">
        <f t="shared" si="4"/>
        <v>27090</v>
      </c>
      <c r="P31" s="69">
        <f t="shared" si="2"/>
        <v>21526.27</v>
      </c>
      <c r="Q31" s="69">
        <f t="shared" si="2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  <c r="AF31" s="66"/>
    </row>
    <row r="32" spans="1:32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4"/>
        <v>14800.16</v>
      </c>
      <c r="O32" s="66">
        <f t="shared" si="4"/>
        <v>0</v>
      </c>
      <c r="P32" s="69">
        <f t="shared" si="2"/>
        <v>4933.3866666666663</v>
      </c>
      <c r="Q32" s="69">
        <f t="shared" si="2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  <c r="AF32" s="66"/>
    </row>
    <row r="33" spans="1:32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4"/>
        <v>1604.11</v>
      </c>
      <c r="O33" s="66">
        <f t="shared" si="4"/>
        <v>22561</v>
      </c>
      <c r="P33" s="69">
        <f t="shared" si="2"/>
        <v>534.70333333333326</v>
      </c>
      <c r="Q33" s="69">
        <f t="shared" si="2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  <c r="AF33" s="66"/>
    </row>
    <row r="34" spans="1:32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4"/>
        <v>1104</v>
      </c>
      <c r="O34" s="66">
        <f t="shared" si="4"/>
        <v>7038</v>
      </c>
      <c r="P34" s="69">
        <f t="shared" si="2"/>
        <v>368</v>
      </c>
      <c r="Q34" s="69">
        <f t="shared" si="2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  <c r="AF34" s="66"/>
    </row>
    <row r="35" spans="1:32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4"/>
        <v>0</v>
      </c>
      <c r="O35" s="66">
        <f t="shared" si="4"/>
        <v>15254</v>
      </c>
      <c r="P35" s="69">
        <f t="shared" si="2"/>
        <v>0</v>
      </c>
      <c r="Q35" s="69">
        <f t="shared" si="2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  <c r="AF35" s="66"/>
    </row>
    <row r="36" spans="1:32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2"/>
        <v>1854.64</v>
      </c>
      <c r="Q36" s="69">
        <f t="shared" si="2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  <c r="AF36" s="66"/>
    </row>
    <row r="37" spans="1:32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2"/>
        <v>0</v>
      </c>
      <c r="Q37" s="69">
        <f t="shared" si="2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  <c r="AF37" s="66"/>
    </row>
    <row r="38" spans="1:32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2"/>
        <v>0</v>
      </c>
      <c r="Q38" s="74">
        <f t="shared" si="2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  <c r="AF38" s="73"/>
    </row>
    <row r="39" spans="1:32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5">ROUND(SUM(H16:H38),5)</f>
        <v>125929.22</v>
      </c>
      <c r="I39" s="63">
        <f t="shared" si="5"/>
        <v>120263</v>
      </c>
      <c r="J39" s="64">
        <f t="shared" si="5"/>
        <v>136830.26</v>
      </c>
      <c r="K39" s="64">
        <f t="shared" si="5"/>
        <v>203448</v>
      </c>
      <c r="L39" s="65">
        <f t="shared" si="5"/>
        <v>177591.3</v>
      </c>
      <c r="M39" s="65">
        <f t="shared" si="5"/>
        <v>186903</v>
      </c>
      <c r="N39" s="66">
        <f>ROUND(H39+J39+L39,5)</f>
        <v>440350.78</v>
      </c>
      <c r="O39" s="66">
        <f>ROUND(I39+K39+M39,5)</f>
        <v>510614</v>
      </c>
      <c r="P39" s="69">
        <f t="shared" si="2"/>
        <v>146783.59333333335</v>
      </c>
      <c r="Q39" s="69">
        <f t="shared" si="2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>ROUND(SUM(AB16:AB38),5)</f>
        <v>0</v>
      </c>
      <c r="AC39" s="66">
        <f>ROUND(SUM(AC16:AC38),5)</f>
        <v>0</v>
      </c>
      <c r="AD39" s="66">
        <f>ROUND(SUM(AD16:AD38),5)</f>
        <v>0</v>
      </c>
      <c r="AE39" s="66">
        <f>ROUND(SUM(AE16:AE38),5)</f>
        <v>0</v>
      </c>
      <c r="AF39" s="66">
        <f>ROUND(SUM(AF16:AF38),5)</f>
        <v>0</v>
      </c>
    </row>
    <row r="40" spans="1:32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  <c r="AF40" s="66"/>
    </row>
    <row r="41" spans="1:32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6">ROUND(H41+J41+L41,5)</f>
        <v>17081.599999999999</v>
      </c>
      <c r="O41" s="66">
        <f t="shared" si="6"/>
        <v>44688</v>
      </c>
      <c r="P41" s="69">
        <f t="shared" si="2"/>
        <v>5693.8666666666659</v>
      </c>
      <c r="Q41" s="69">
        <f t="shared" si="2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  <c r="AF41" s="66"/>
    </row>
    <row r="42" spans="1:32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6"/>
        <v>1953.03</v>
      </c>
      <c r="O42" s="66">
        <f t="shared" si="6"/>
        <v>0</v>
      </c>
      <c r="P42" s="69">
        <f t="shared" si="2"/>
        <v>651.01</v>
      </c>
      <c r="Q42" s="69">
        <f t="shared" si="2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  <c r="AF42" s="66"/>
    </row>
    <row r="43" spans="1:32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6"/>
        <v>6637.98</v>
      </c>
      <c r="O43" s="66">
        <f t="shared" si="6"/>
        <v>16220</v>
      </c>
      <c r="P43" s="69">
        <f t="shared" si="2"/>
        <v>2212.66</v>
      </c>
      <c r="Q43" s="69">
        <f t="shared" si="2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  <c r="AF43" s="66"/>
    </row>
    <row r="44" spans="1:32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6"/>
        <v>0</v>
      </c>
      <c r="O44" s="73">
        <f t="shared" si="6"/>
        <v>0</v>
      </c>
      <c r="P44" s="74">
        <f t="shared" si="2"/>
        <v>0</v>
      </c>
      <c r="Q44" s="74">
        <f t="shared" si="2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  <c r="AF44" s="73"/>
    </row>
    <row r="45" spans="1:32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7">ROUND(SUM(H40:H44),5)</f>
        <v>5918.6</v>
      </c>
      <c r="I45" s="63">
        <f t="shared" si="7"/>
        <v>27950</v>
      </c>
      <c r="J45" s="64">
        <f t="shared" si="7"/>
        <v>10455</v>
      </c>
      <c r="K45" s="64">
        <f t="shared" si="7"/>
        <v>22248</v>
      </c>
      <c r="L45" s="65">
        <f t="shared" si="7"/>
        <v>9299.01</v>
      </c>
      <c r="M45" s="65">
        <f t="shared" si="7"/>
        <v>10710</v>
      </c>
      <c r="N45" s="66">
        <f t="shared" si="6"/>
        <v>25672.61</v>
      </c>
      <c r="O45" s="66">
        <f t="shared" si="6"/>
        <v>60908</v>
      </c>
      <c r="P45" s="69">
        <f t="shared" si="2"/>
        <v>8557.5366666666669</v>
      </c>
      <c r="Q45" s="69">
        <f t="shared" si="2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>ROUND(SUM(AB40:AB44),5)</f>
        <v>0</v>
      </c>
      <c r="AC45" s="66">
        <f>ROUND(SUM(AC40:AC44),5)</f>
        <v>0</v>
      </c>
      <c r="AD45" s="66">
        <f>ROUND(SUM(AD40:AD44),5)</f>
        <v>0</v>
      </c>
      <c r="AE45" s="66">
        <f>ROUND(SUM(AE40:AE44),5)</f>
        <v>0</v>
      </c>
      <c r="AF45" s="66">
        <f>ROUND(SUM(AF40:AF44),5)</f>
        <v>0</v>
      </c>
    </row>
    <row r="46" spans="1:32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  <c r="AF46" s="66"/>
    </row>
    <row r="47" spans="1:32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8">ROUND(H47+J47+L47,5)</f>
        <v>87354.12</v>
      </c>
      <c r="O47" s="66">
        <f t="shared" si="8"/>
        <v>72146</v>
      </c>
      <c r="P47" s="69">
        <f t="shared" si="2"/>
        <v>29118.039999999997</v>
      </c>
      <c r="Q47" s="69">
        <f t="shared" si="2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  <c r="AF47" s="66"/>
    </row>
    <row r="48" spans="1:32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8"/>
        <v>12866.68</v>
      </c>
      <c r="O48" s="66">
        <f t="shared" si="8"/>
        <v>23176</v>
      </c>
      <c r="P48" s="69">
        <f t="shared" si="2"/>
        <v>4288.8933333333334</v>
      </c>
      <c r="Q48" s="69">
        <f t="shared" si="2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  <c r="AF48" s="66"/>
    </row>
    <row r="49" spans="1:32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8"/>
        <v>1104</v>
      </c>
      <c r="O49" s="66">
        <f t="shared" si="8"/>
        <v>19670</v>
      </c>
      <c r="P49" s="69">
        <f t="shared" si="2"/>
        <v>368</v>
      </c>
      <c r="Q49" s="69">
        <f t="shared" si="2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  <c r="AF49" s="66"/>
    </row>
    <row r="50" spans="1:32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8"/>
        <v>35352.550000000003</v>
      </c>
      <c r="O50" s="66">
        <f t="shared" si="8"/>
        <v>25225</v>
      </c>
      <c r="P50" s="69">
        <f t="shared" si="2"/>
        <v>11784.183333333334</v>
      </c>
      <c r="Q50" s="69">
        <f t="shared" si="2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  <c r="AF50" s="66"/>
    </row>
    <row r="51" spans="1:32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8"/>
        <v>3884.55</v>
      </c>
      <c r="O51" s="66">
        <f t="shared" si="8"/>
        <v>1190</v>
      </c>
      <c r="P51" s="69">
        <f t="shared" si="2"/>
        <v>1294.8500000000001</v>
      </c>
      <c r="Q51" s="69">
        <f t="shared" si="2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  <c r="AF51" s="66"/>
    </row>
    <row r="52" spans="1:32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8"/>
        <v>3960</v>
      </c>
      <c r="O52" s="66">
        <f t="shared" si="8"/>
        <v>11560</v>
      </c>
      <c r="P52" s="69">
        <f t="shared" si="2"/>
        <v>1320</v>
      </c>
      <c r="Q52" s="69">
        <f t="shared" si="2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  <c r="AF52" s="66"/>
    </row>
    <row r="53" spans="1:32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8"/>
        <v>546</v>
      </c>
      <c r="O53" s="66">
        <f t="shared" si="8"/>
        <v>10387</v>
      </c>
      <c r="P53" s="69">
        <f t="shared" si="2"/>
        <v>182</v>
      </c>
      <c r="Q53" s="69">
        <f t="shared" si="2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  <c r="AF53" s="66"/>
    </row>
    <row r="54" spans="1:32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8"/>
        <v>8740.36</v>
      </c>
      <c r="O54" s="66">
        <f t="shared" si="8"/>
        <v>19808</v>
      </c>
      <c r="P54" s="69">
        <f t="shared" si="2"/>
        <v>2913.4533333333334</v>
      </c>
      <c r="Q54" s="69">
        <f t="shared" si="2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  <c r="AF54" s="66"/>
    </row>
    <row r="55" spans="1:32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8"/>
        <v>594</v>
      </c>
      <c r="O55" s="66">
        <f t="shared" si="8"/>
        <v>24884</v>
      </c>
      <c r="P55" s="69">
        <f t="shared" si="2"/>
        <v>198</v>
      </c>
      <c r="Q55" s="69">
        <f t="shared" si="2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  <c r="AF55" s="66"/>
    </row>
    <row r="56" spans="1:32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8"/>
        <v>690</v>
      </c>
      <c r="O56" s="66">
        <f t="shared" si="8"/>
        <v>5419</v>
      </c>
      <c r="P56" s="69">
        <f t="shared" si="2"/>
        <v>230</v>
      </c>
      <c r="Q56" s="69">
        <f t="shared" si="2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  <c r="AF56" s="66"/>
    </row>
    <row r="57" spans="1:32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8"/>
        <v>1413.6</v>
      </c>
      <c r="O57" s="66">
        <f t="shared" si="8"/>
        <v>27552</v>
      </c>
      <c r="P57" s="69">
        <f t="shared" si="2"/>
        <v>471.2</v>
      </c>
      <c r="Q57" s="69">
        <f t="shared" si="2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  <c r="AF57" s="66"/>
    </row>
    <row r="58" spans="1:32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8"/>
        <v>174920.21</v>
      </c>
      <c r="O58" s="66">
        <f t="shared" si="8"/>
        <v>143746</v>
      </c>
      <c r="P58" s="69">
        <f t="shared" si="2"/>
        <v>58306.736666666664</v>
      </c>
      <c r="Q58" s="69">
        <f t="shared" si="2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  <c r="AF58" s="66"/>
    </row>
    <row r="59" spans="1:32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8"/>
        <v>12307.07</v>
      </c>
      <c r="O59" s="66">
        <f t="shared" si="8"/>
        <v>24217</v>
      </c>
      <c r="P59" s="69">
        <f t="shared" si="2"/>
        <v>4102.3566666666666</v>
      </c>
      <c r="Q59" s="69">
        <f t="shared" si="2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  <c r="AF59" s="66"/>
    </row>
    <row r="60" spans="1:32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8"/>
        <v>23322.21</v>
      </c>
      <c r="O60" s="66">
        <f t="shared" si="8"/>
        <v>22992</v>
      </c>
      <c r="P60" s="69">
        <f t="shared" si="2"/>
        <v>7774.07</v>
      </c>
      <c r="Q60" s="69">
        <f t="shared" si="2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  <c r="AF60" s="66"/>
    </row>
    <row r="61" spans="1:32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8"/>
        <v>4553.9799999999996</v>
      </c>
      <c r="O61" s="73">
        <f t="shared" si="8"/>
        <v>0</v>
      </c>
      <c r="P61" s="74">
        <f t="shared" si="2"/>
        <v>1517.9933333333331</v>
      </c>
      <c r="Q61" s="74">
        <f t="shared" si="2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  <c r="AF61" s="73"/>
    </row>
    <row r="62" spans="1:32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9">ROUND(SUM(H46:H61),5)</f>
        <v>137372.26</v>
      </c>
      <c r="I62" s="63">
        <f t="shared" si="9"/>
        <v>73450</v>
      </c>
      <c r="J62" s="64">
        <f t="shared" si="9"/>
        <v>111914.03</v>
      </c>
      <c r="K62" s="64">
        <f t="shared" si="9"/>
        <v>203796</v>
      </c>
      <c r="L62" s="65">
        <f t="shared" si="9"/>
        <v>122323.04</v>
      </c>
      <c r="M62" s="65">
        <f t="shared" si="9"/>
        <v>154726</v>
      </c>
      <c r="N62" s="66">
        <f t="shared" si="8"/>
        <v>371609.33</v>
      </c>
      <c r="O62" s="66">
        <f t="shared" si="8"/>
        <v>431972</v>
      </c>
      <c r="P62" s="69">
        <f t="shared" si="2"/>
        <v>123869.77666666667</v>
      </c>
      <c r="Q62" s="69">
        <f t="shared" si="2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>ROUND(SUM(AB46:AB61),5)</f>
        <v>0</v>
      </c>
      <c r="AC62" s="66">
        <f>ROUND(SUM(AC46:AC61),5)</f>
        <v>0</v>
      </c>
      <c r="AD62" s="66">
        <f>ROUND(SUM(AD46:AD61),5)</f>
        <v>0</v>
      </c>
      <c r="AE62" s="66">
        <f>ROUND(SUM(AE46:AE61),5)</f>
        <v>0</v>
      </c>
      <c r="AF62" s="66">
        <f>ROUND(SUM(AF46:AF61),5)</f>
        <v>0</v>
      </c>
    </row>
    <row r="63" spans="1:32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8"/>
        <v>34181.74</v>
      </c>
      <c r="O63" s="66">
        <f t="shared" si="8"/>
        <v>66123.38</v>
      </c>
      <c r="P63" s="69">
        <f t="shared" si="2"/>
        <v>11393.913333333332</v>
      </c>
      <c r="Q63" s="69">
        <f t="shared" si="2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  <c r="AF63" s="66"/>
    </row>
    <row r="64" spans="1:32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  <c r="AF64" s="66"/>
    </row>
    <row r="65" spans="1:32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10">ROUND(H65+J65+L65,5)</f>
        <v>106817.3</v>
      </c>
      <c r="O65" s="66">
        <f t="shared" si="10"/>
        <v>56558</v>
      </c>
      <c r="P65" s="69">
        <f t="shared" si="2"/>
        <v>35605.76666666667</v>
      </c>
      <c r="Q65" s="69">
        <f t="shared" si="2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  <c r="AF65" s="66"/>
    </row>
    <row r="66" spans="1:32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10"/>
        <v>63970.64</v>
      </c>
      <c r="O66" s="66">
        <f t="shared" si="10"/>
        <v>68284</v>
      </c>
      <c r="P66" s="69">
        <f t="shared" si="2"/>
        <v>21323.546666666665</v>
      </c>
      <c r="Q66" s="69">
        <f t="shared" si="2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  <c r="AF66" s="66"/>
    </row>
    <row r="67" spans="1:32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10"/>
        <v>1794</v>
      </c>
      <c r="O67" s="66">
        <f t="shared" si="10"/>
        <v>15153</v>
      </c>
      <c r="P67" s="69">
        <f t="shared" si="2"/>
        <v>598</v>
      </c>
      <c r="Q67" s="69">
        <f t="shared" si="2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  <c r="AF67" s="66"/>
    </row>
    <row r="68" spans="1:32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10"/>
        <v>22842.29</v>
      </c>
      <c r="O68" s="66">
        <f t="shared" si="10"/>
        <v>61166</v>
      </c>
      <c r="P68" s="69">
        <f t="shared" si="2"/>
        <v>7614.0966666666673</v>
      </c>
      <c r="Q68" s="69">
        <f t="shared" si="2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  <c r="AF68" s="66"/>
    </row>
    <row r="69" spans="1:32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10"/>
        <v>9232</v>
      </c>
      <c r="O69" s="66">
        <f t="shared" si="10"/>
        <v>16972</v>
      </c>
      <c r="P69" s="69">
        <f t="shared" si="2"/>
        <v>3077.3333333333335</v>
      </c>
      <c r="Q69" s="69">
        <f t="shared" si="2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  <c r="AF69" s="66"/>
    </row>
    <row r="70" spans="1:32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10"/>
        <v>11879.44</v>
      </c>
      <c r="O70" s="73">
        <f t="shared" si="10"/>
        <v>43386</v>
      </c>
      <c r="P70" s="74">
        <f t="shared" si="2"/>
        <v>3959.8133333333335</v>
      </c>
      <c r="Q70" s="74">
        <f t="shared" si="2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  <c r="AF70" s="73"/>
    </row>
    <row r="71" spans="1:32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11">ROUND(SUM(H64:H70),5)</f>
        <v>53816.6</v>
      </c>
      <c r="I71" s="63">
        <f t="shared" si="11"/>
        <v>52052</v>
      </c>
      <c r="J71" s="64">
        <f t="shared" si="11"/>
        <v>74785.06</v>
      </c>
      <c r="K71" s="64">
        <f t="shared" si="11"/>
        <v>127356</v>
      </c>
      <c r="L71" s="65">
        <f t="shared" si="11"/>
        <v>87934.01</v>
      </c>
      <c r="M71" s="65">
        <f t="shared" si="11"/>
        <v>82111</v>
      </c>
      <c r="N71" s="66">
        <f t="shared" si="10"/>
        <v>216535.67</v>
      </c>
      <c r="O71" s="66">
        <f t="shared" si="10"/>
        <v>261519</v>
      </c>
      <c r="P71" s="69">
        <f t="shared" si="2"/>
        <v>72178.556666666671</v>
      </c>
      <c r="Q71" s="69">
        <f t="shared" si="2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>ROUND(SUM(AB64:AB70),5)</f>
        <v>0</v>
      </c>
      <c r="AC71" s="66">
        <f>ROUND(SUM(AC64:AC70),5)</f>
        <v>0</v>
      </c>
      <c r="AD71" s="66">
        <f>ROUND(SUM(AD64:AD70),5)</f>
        <v>0</v>
      </c>
      <c r="AE71" s="66">
        <f>ROUND(SUM(AE64:AE70),5)</f>
        <v>0</v>
      </c>
      <c r="AF71" s="66">
        <f>ROUND(SUM(AF64:AF70),5)</f>
        <v>0</v>
      </c>
    </row>
    <row r="72" spans="1:32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  <c r="AF72" s="66"/>
    </row>
    <row r="73" spans="1:32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12">ROUND(H73+J73+L73,5)</f>
        <v>5364.31</v>
      </c>
      <c r="O73" s="66">
        <f t="shared" si="12"/>
        <v>9909</v>
      </c>
      <c r="P73" s="69">
        <f t="shared" si="2"/>
        <v>1788.1033333333335</v>
      </c>
      <c r="Q73" s="69">
        <f t="shared" si="2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  <c r="AF73" s="66"/>
    </row>
    <row r="74" spans="1:32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12"/>
        <v>46000.91</v>
      </c>
      <c r="O74" s="66">
        <f t="shared" si="12"/>
        <v>29903</v>
      </c>
      <c r="P74" s="69">
        <f t="shared" si="2"/>
        <v>15333.636666666667</v>
      </c>
      <c r="Q74" s="69">
        <f t="shared" si="2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  <c r="AF74" s="66"/>
    </row>
    <row r="75" spans="1:32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12"/>
        <v>0</v>
      </c>
      <c r="O75" s="66">
        <f t="shared" si="12"/>
        <v>31248</v>
      </c>
      <c r="P75" s="69">
        <f t="shared" ref="P75:Q137" si="13">N75/3</f>
        <v>0</v>
      </c>
      <c r="Q75" s="69">
        <f t="shared" si="13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  <c r="AF75" s="66"/>
    </row>
    <row r="76" spans="1:32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12"/>
        <v>29409.79</v>
      </c>
      <c r="O76" s="66">
        <f t="shared" si="12"/>
        <v>27007</v>
      </c>
      <c r="P76" s="69">
        <f t="shared" si="13"/>
        <v>9803.2633333333342</v>
      </c>
      <c r="Q76" s="69">
        <f t="shared" si="13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  <c r="AF76" s="66"/>
    </row>
    <row r="77" spans="1:32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12"/>
        <v>3458.77</v>
      </c>
      <c r="O77" s="66">
        <f t="shared" si="12"/>
        <v>7965</v>
      </c>
      <c r="P77" s="69">
        <f t="shared" si="13"/>
        <v>1152.9233333333334</v>
      </c>
      <c r="Q77" s="69">
        <f t="shared" si="13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  <c r="AF77" s="66"/>
    </row>
    <row r="78" spans="1:32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12"/>
        <v>21632.07</v>
      </c>
      <c r="O78" s="66">
        <f t="shared" si="12"/>
        <v>25676</v>
      </c>
      <c r="P78" s="69">
        <f t="shared" si="13"/>
        <v>7210.69</v>
      </c>
      <c r="Q78" s="69">
        <f t="shared" si="13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  <c r="AF78" s="66"/>
    </row>
    <row r="79" spans="1:32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12"/>
        <v>966</v>
      </c>
      <c r="O79" s="66">
        <f t="shared" si="12"/>
        <v>3588</v>
      </c>
      <c r="P79" s="69">
        <f t="shared" si="13"/>
        <v>322</v>
      </c>
      <c r="Q79" s="69">
        <f t="shared" si="13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  <c r="AF79" s="66"/>
    </row>
    <row r="80" spans="1:32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12"/>
        <v>0</v>
      </c>
      <c r="O80" s="66">
        <f t="shared" si="12"/>
        <v>3901</v>
      </c>
      <c r="P80" s="69">
        <f t="shared" si="13"/>
        <v>0</v>
      </c>
      <c r="Q80" s="69">
        <f t="shared" si="13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  <c r="AF80" s="66"/>
    </row>
    <row r="81" spans="1:32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13"/>
        <v>0</v>
      </c>
      <c r="Q81" s="69">
        <f t="shared" si="13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  <c r="AF81" s="66"/>
    </row>
    <row r="82" spans="1:32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14">ROUND(H82+J82+L82,5)</f>
        <v>0</v>
      </c>
      <c r="O82" s="66">
        <f t="shared" si="14"/>
        <v>0</v>
      </c>
      <c r="P82" s="69">
        <f t="shared" si="13"/>
        <v>0</v>
      </c>
      <c r="Q82" s="69">
        <f t="shared" si="13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  <c r="AF82" s="66"/>
    </row>
    <row r="83" spans="1:32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14"/>
        <v>0</v>
      </c>
      <c r="O83" s="73">
        <f t="shared" si="14"/>
        <v>0</v>
      </c>
      <c r="P83" s="74">
        <f t="shared" si="13"/>
        <v>0</v>
      </c>
      <c r="Q83" s="74">
        <f t="shared" si="13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  <c r="AF83" s="73"/>
    </row>
    <row r="84" spans="1:32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15">ROUND(SUM(H72:H83),5)</f>
        <v>39159.980000000003</v>
      </c>
      <c r="I84" s="63">
        <f t="shared" si="15"/>
        <v>39468</v>
      </c>
      <c r="J84" s="64">
        <f t="shared" si="15"/>
        <v>32291.99</v>
      </c>
      <c r="K84" s="64">
        <f t="shared" si="15"/>
        <v>31248</v>
      </c>
      <c r="L84" s="65">
        <f t="shared" si="15"/>
        <v>35379.879999999997</v>
      </c>
      <c r="M84" s="65">
        <f t="shared" si="15"/>
        <v>68481</v>
      </c>
      <c r="N84" s="66">
        <f t="shared" si="14"/>
        <v>106831.85</v>
      </c>
      <c r="O84" s="66">
        <f t="shared" si="14"/>
        <v>139197</v>
      </c>
      <c r="P84" s="69">
        <f t="shared" si="13"/>
        <v>35610.616666666669</v>
      </c>
      <c r="Q84" s="69">
        <f t="shared" si="13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>ROUND(SUM(AB72:AB83),5)</f>
        <v>0</v>
      </c>
      <c r="AC84" s="66">
        <f>ROUND(SUM(AC72:AC83),5)</f>
        <v>0</v>
      </c>
      <c r="AD84" s="66">
        <f>ROUND(SUM(AD72:AD83),5)</f>
        <v>0</v>
      </c>
      <c r="AE84" s="66">
        <f>ROUND(SUM(AE72:AE83),5)</f>
        <v>0</v>
      </c>
      <c r="AF84" s="66">
        <f>ROUND(SUM(AF72:AF83),5)</f>
        <v>0</v>
      </c>
    </row>
    <row r="85" spans="1:32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  <c r="AF85" s="66"/>
    </row>
    <row r="86" spans="1:32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16">ROUND(H86+J86+L86,5)</f>
        <v>41055.360000000001</v>
      </c>
      <c r="O86" s="66">
        <f t="shared" si="16"/>
        <v>61593</v>
      </c>
      <c r="P86" s="69">
        <f t="shared" si="13"/>
        <v>13685.12</v>
      </c>
      <c r="Q86" s="69">
        <f t="shared" si="13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  <c r="AF86" s="66"/>
    </row>
    <row r="87" spans="1:32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16"/>
        <v>4557.07</v>
      </c>
      <c r="O87" s="66">
        <f t="shared" si="16"/>
        <v>5852</v>
      </c>
      <c r="P87" s="69">
        <f t="shared" si="13"/>
        <v>1519.0233333333333</v>
      </c>
      <c r="Q87" s="69">
        <f t="shared" si="13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  <c r="AF87" s="66"/>
    </row>
    <row r="88" spans="1:32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16"/>
        <v>9699</v>
      </c>
      <c r="O88" s="66">
        <f t="shared" si="16"/>
        <v>58996</v>
      </c>
      <c r="P88" s="69">
        <f t="shared" si="13"/>
        <v>3233</v>
      </c>
      <c r="Q88" s="69">
        <f t="shared" si="13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  <c r="AF88" s="66"/>
    </row>
    <row r="89" spans="1:32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16"/>
        <v>4967.9799999999996</v>
      </c>
      <c r="O89" s="73">
        <f t="shared" si="16"/>
        <v>15466</v>
      </c>
      <c r="P89" s="74">
        <f t="shared" si="13"/>
        <v>1655.9933333333331</v>
      </c>
      <c r="Q89" s="74">
        <f t="shared" si="13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  <c r="AF89" s="73"/>
    </row>
    <row r="90" spans="1:32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17">ROUND(SUM(H85:H89),5)</f>
        <v>20271.38</v>
      </c>
      <c r="I90" s="63">
        <f t="shared" si="17"/>
        <v>42055</v>
      </c>
      <c r="J90" s="64">
        <f t="shared" si="17"/>
        <v>14973.03</v>
      </c>
      <c r="K90" s="64">
        <f t="shared" si="17"/>
        <v>58944</v>
      </c>
      <c r="L90" s="65">
        <f t="shared" si="17"/>
        <v>25035</v>
      </c>
      <c r="M90" s="65">
        <f t="shared" si="17"/>
        <v>40908</v>
      </c>
      <c r="N90" s="66">
        <f t="shared" si="16"/>
        <v>60279.41</v>
      </c>
      <c r="O90" s="66">
        <f t="shared" si="16"/>
        <v>141907</v>
      </c>
      <c r="P90" s="69">
        <f t="shared" si="13"/>
        <v>20093.136666666669</v>
      </c>
      <c r="Q90" s="69">
        <f t="shared" si="13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>ROUND(SUM(AB85:AB89),5)</f>
        <v>0</v>
      </c>
      <c r="AC90" s="66">
        <f>ROUND(SUM(AC85:AC89),5)</f>
        <v>0</v>
      </c>
      <c r="AD90" s="66">
        <f>ROUND(SUM(AD85:AD89),5)</f>
        <v>0</v>
      </c>
      <c r="AE90" s="66">
        <f>ROUND(SUM(AE85:AE89),5)</f>
        <v>0</v>
      </c>
      <c r="AF90" s="66">
        <f>ROUND(SUM(AF85:AF89),5)</f>
        <v>0</v>
      </c>
    </row>
    <row r="91" spans="1:32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  <c r="AF91" s="66"/>
    </row>
    <row r="92" spans="1:32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18">ROUND(H92+J92+L92,5)</f>
        <v>108862.85</v>
      </c>
      <c r="O92" s="66">
        <f t="shared" si="18"/>
        <v>69579</v>
      </c>
      <c r="P92" s="69">
        <f t="shared" si="13"/>
        <v>36287.616666666669</v>
      </c>
      <c r="Q92" s="69">
        <f t="shared" si="13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  <c r="AF92" s="66"/>
    </row>
    <row r="93" spans="1:32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18"/>
        <v>14518.12</v>
      </c>
      <c r="O93" s="66">
        <f t="shared" si="18"/>
        <v>19733</v>
      </c>
      <c r="P93" s="69">
        <f t="shared" si="13"/>
        <v>4839.3733333333339</v>
      </c>
      <c r="Q93" s="69">
        <f t="shared" si="13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  <c r="AF93" s="66"/>
    </row>
    <row r="94" spans="1:32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18"/>
        <v>43484.49</v>
      </c>
      <c r="O94" s="66">
        <f t="shared" si="18"/>
        <v>62432</v>
      </c>
      <c r="P94" s="69">
        <f t="shared" si="13"/>
        <v>14494.83</v>
      </c>
      <c r="Q94" s="69">
        <f t="shared" si="13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  <c r="AF94" s="66"/>
    </row>
    <row r="95" spans="1:32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18"/>
        <v>4211.0600000000004</v>
      </c>
      <c r="O95" s="66">
        <f t="shared" si="18"/>
        <v>13454</v>
      </c>
      <c r="P95" s="69">
        <f t="shared" si="13"/>
        <v>1403.6866666666667</v>
      </c>
      <c r="Q95" s="69">
        <f t="shared" si="13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  <c r="AF95" s="66"/>
    </row>
    <row r="96" spans="1:32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18"/>
        <v>49443.53</v>
      </c>
      <c r="O96" s="66">
        <f t="shared" si="18"/>
        <v>34119</v>
      </c>
      <c r="P96" s="69">
        <f t="shared" si="13"/>
        <v>16481.176666666666</v>
      </c>
      <c r="Q96" s="69">
        <f t="shared" si="13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  <c r="AF96" s="66"/>
    </row>
    <row r="97" spans="1:32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18"/>
        <v>5328.03</v>
      </c>
      <c r="O97" s="66">
        <f t="shared" si="18"/>
        <v>7526</v>
      </c>
      <c r="P97" s="69">
        <f t="shared" si="13"/>
        <v>1776.01</v>
      </c>
      <c r="Q97" s="69">
        <f t="shared" si="13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  <c r="AF97" s="66"/>
    </row>
    <row r="98" spans="1:32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18"/>
        <v>63633.29</v>
      </c>
      <c r="O98" s="66">
        <f t="shared" si="18"/>
        <v>69145</v>
      </c>
      <c r="P98" s="69">
        <f t="shared" si="13"/>
        <v>21211.096666666668</v>
      </c>
      <c r="Q98" s="69">
        <f t="shared" si="13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  <c r="AF98" s="66"/>
    </row>
    <row r="99" spans="1:32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18"/>
        <v>7554.05</v>
      </c>
      <c r="O99" s="66">
        <f t="shared" si="18"/>
        <v>16058</v>
      </c>
      <c r="P99" s="69">
        <f t="shared" si="13"/>
        <v>2518.0166666666669</v>
      </c>
      <c r="Q99" s="69">
        <f t="shared" si="13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  <c r="AF99" s="66"/>
    </row>
    <row r="100" spans="1:32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18"/>
        <v>5514</v>
      </c>
      <c r="O100" s="66">
        <f t="shared" si="18"/>
        <v>12319</v>
      </c>
      <c r="P100" s="69">
        <f t="shared" si="13"/>
        <v>1838</v>
      </c>
      <c r="Q100" s="69">
        <f t="shared" si="13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  <c r="AF100" s="66"/>
    </row>
    <row r="101" spans="1:32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  <c r="AF101" s="73"/>
    </row>
    <row r="102" spans="1:32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19">ROUND(SUM(H91:H100),5)</f>
        <v>81944.17</v>
      </c>
      <c r="I102" s="63">
        <f t="shared" si="19"/>
        <v>70005</v>
      </c>
      <c r="J102" s="64">
        <f t="shared" si="19"/>
        <v>112983.21</v>
      </c>
      <c r="K102" s="64">
        <f t="shared" si="19"/>
        <v>122376</v>
      </c>
      <c r="L102" s="65">
        <f t="shared" si="19"/>
        <v>107622.04</v>
      </c>
      <c r="M102" s="65">
        <f t="shared" si="19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13"/>
        <v>100849.80666666666</v>
      </c>
      <c r="Q102" s="69">
        <f t="shared" si="13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>ROUND(SUM(AB91:AB101),5)</f>
        <v>0</v>
      </c>
      <c r="AC102" s="66">
        <f>ROUND(SUM(AC91:AC101),5)</f>
        <v>0</v>
      </c>
      <c r="AD102" s="66">
        <f>ROUND(SUM(AD91:AD101),5)</f>
        <v>0</v>
      </c>
      <c r="AE102" s="66">
        <f>ROUND(SUM(AE91:AE101),5)</f>
        <v>0</v>
      </c>
      <c r="AF102" s="66">
        <f>ROUND(SUM(AF91:AF101),5)</f>
        <v>0</v>
      </c>
    </row>
    <row r="103" spans="1:32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13"/>
        <v>0</v>
      </c>
      <c r="Q103" s="69">
        <f t="shared" si="13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  <c r="AF103" s="66"/>
    </row>
    <row r="104" spans="1:32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20">ROUND(H104+J104+L104,5)</f>
        <v>74439.240000000005</v>
      </c>
      <c r="O104" s="66">
        <f t="shared" si="20"/>
        <v>63264</v>
      </c>
      <c r="P104" s="69">
        <f t="shared" si="13"/>
        <v>24813.08</v>
      </c>
      <c r="Q104" s="69">
        <f t="shared" si="13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  <c r="AF104" s="66"/>
    </row>
    <row r="105" spans="1:32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20"/>
        <v>13570.83</v>
      </c>
      <c r="O105" s="66">
        <f t="shared" si="20"/>
        <v>26229</v>
      </c>
      <c r="P105" s="69">
        <f t="shared" si="13"/>
        <v>4523.6099999999997</v>
      </c>
      <c r="Q105" s="69">
        <f t="shared" si="13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  <c r="AF105" s="66"/>
    </row>
    <row r="106" spans="1:32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20"/>
        <v>31132.720000000001</v>
      </c>
      <c r="O106" s="66">
        <f t="shared" si="20"/>
        <v>23118</v>
      </c>
      <c r="P106" s="69">
        <f t="shared" si="13"/>
        <v>10377.573333333334</v>
      </c>
      <c r="Q106" s="69">
        <f t="shared" si="13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  <c r="AF106" s="66"/>
    </row>
    <row r="107" spans="1:32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20"/>
        <v>5105.97</v>
      </c>
      <c r="O107" s="66">
        <f t="shared" si="20"/>
        <v>7489</v>
      </c>
      <c r="P107" s="69">
        <f t="shared" si="13"/>
        <v>1701.99</v>
      </c>
      <c r="Q107" s="69">
        <f t="shared" si="13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  <c r="AF107" s="66"/>
    </row>
    <row r="108" spans="1:32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20"/>
        <v>60762.3</v>
      </c>
      <c r="O108" s="66">
        <f t="shared" si="20"/>
        <v>41781</v>
      </c>
      <c r="P108" s="69">
        <f t="shared" si="13"/>
        <v>20254.100000000002</v>
      </c>
      <c r="Q108" s="69">
        <f t="shared" si="13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  <c r="AF108" s="66"/>
    </row>
    <row r="109" spans="1:32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20"/>
        <v>20355.89</v>
      </c>
      <c r="O109" s="66">
        <f t="shared" si="20"/>
        <v>5382</v>
      </c>
      <c r="P109" s="69">
        <f t="shared" si="13"/>
        <v>6785.2966666666662</v>
      </c>
      <c r="Q109" s="69">
        <f t="shared" si="13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  <c r="AF109" s="66"/>
    </row>
    <row r="110" spans="1:32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20"/>
        <v>3399.97</v>
      </c>
      <c r="O110" s="66">
        <f t="shared" si="20"/>
        <v>0</v>
      </c>
      <c r="P110" s="69">
        <f t="shared" si="13"/>
        <v>1133.3233333333333</v>
      </c>
      <c r="Q110" s="69">
        <f t="shared" si="13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  <c r="AF110" s="66"/>
    </row>
    <row r="111" spans="1:32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21">ROUND(SUM(H103:H110),5)</f>
        <v>59018.03</v>
      </c>
      <c r="I111" s="75">
        <f t="shared" si="21"/>
        <v>31525</v>
      </c>
      <c r="J111" s="76">
        <f t="shared" si="21"/>
        <v>66518.98</v>
      </c>
      <c r="K111" s="76">
        <f t="shared" si="21"/>
        <v>44976</v>
      </c>
      <c r="L111" s="77">
        <f t="shared" si="21"/>
        <v>83229.91</v>
      </c>
      <c r="M111" s="77">
        <f t="shared" si="21"/>
        <v>90762</v>
      </c>
      <c r="N111" s="78">
        <f t="shared" si="20"/>
        <v>208766.92</v>
      </c>
      <c r="O111" s="78">
        <f t="shared" si="20"/>
        <v>167263</v>
      </c>
      <c r="P111" s="79">
        <f t="shared" si="13"/>
        <v>69588.973333333342</v>
      </c>
      <c r="Q111" s="79">
        <f t="shared" si="13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>ROUND(SUM(AB103:AB110),5)</f>
        <v>0</v>
      </c>
      <c r="AC111" s="78">
        <f>ROUND(SUM(AC103:AC110),5)</f>
        <v>0</v>
      </c>
      <c r="AD111" s="78">
        <f>ROUND(SUM(AD103:AD110),5)</f>
        <v>0</v>
      </c>
      <c r="AE111" s="78">
        <f>ROUND(SUM(AE103:AE110),5)</f>
        <v>0</v>
      </c>
      <c r="AF111" s="78">
        <f>ROUND(SUM(AF103:AF110),5)</f>
        <v>0</v>
      </c>
    </row>
    <row r="112" spans="1:32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13"/>
        <v>0</v>
      </c>
      <c r="Q112" s="69">
        <f t="shared" si="13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  <c r="AF112" s="66"/>
    </row>
    <row r="113" spans="1:35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22">ROUND(H113+J113+L113,5)</f>
        <v>453828.9</v>
      </c>
      <c r="O113" s="66">
        <f t="shared" si="22"/>
        <v>406218</v>
      </c>
      <c r="P113" s="69">
        <f t="shared" si="13"/>
        <v>151276.30000000002</v>
      </c>
      <c r="Q113" s="69">
        <f t="shared" si="13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</row>
    <row r="114" spans="1:35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22"/>
        <v>0</v>
      </c>
      <c r="O114" s="73">
        <f t="shared" si="22"/>
        <v>0</v>
      </c>
      <c r="P114" s="74">
        <f t="shared" si="13"/>
        <v>0</v>
      </c>
      <c r="Q114" s="74">
        <f t="shared" si="13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</row>
    <row r="115" spans="1:35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23">ROUND(SUM(H112:H114),5)</f>
        <v>57491.4</v>
      </c>
      <c r="I115" s="63">
        <f t="shared" si="23"/>
        <v>406218</v>
      </c>
      <c r="J115" s="64">
        <f t="shared" si="23"/>
        <v>150471.5</v>
      </c>
      <c r="K115" s="64">
        <f t="shared" si="23"/>
        <v>0</v>
      </c>
      <c r="L115" s="65">
        <f t="shared" si="23"/>
        <v>245866</v>
      </c>
      <c r="M115" s="65">
        <f t="shared" si="23"/>
        <v>0</v>
      </c>
      <c r="N115" s="66">
        <f t="shared" si="22"/>
        <v>453828.9</v>
      </c>
      <c r="O115" s="66">
        <f t="shared" si="22"/>
        <v>406218</v>
      </c>
      <c r="P115" s="69">
        <f t="shared" si="13"/>
        <v>151276.30000000002</v>
      </c>
      <c r="Q115" s="69">
        <f t="shared" si="13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</row>
    <row r="116" spans="1:35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24">ROUND(H8+H15+H39+H45+SUM(H62:H63)+H71+H84+H90+H102+H111+SUM(H115:H115),5)</f>
        <v>760409.73</v>
      </c>
      <c r="I116" s="75">
        <f t="shared" si="24"/>
        <v>912984</v>
      </c>
      <c r="J116" s="76">
        <f t="shared" si="24"/>
        <v>855809.22</v>
      </c>
      <c r="K116" s="76">
        <f t="shared" si="24"/>
        <v>904615.38</v>
      </c>
      <c r="L116" s="77">
        <f t="shared" si="24"/>
        <v>1036241.61</v>
      </c>
      <c r="M116" s="77">
        <f t="shared" si="24"/>
        <v>926829</v>
      </c>
      <c r="N116" s="78">
        <f t="shared" si="22"/>
        <v>2652460.56</v>
      </c>
      <c r="O116" s="78">
        <f t="shared" si="22"/>
        <v>2744428.38</v>
      </c>
      <c r="P116" s="79">
        <f t="shared" si="13"/>
        <v>884153.52</v>
      </c>
      <c r="Q116" s="79">
        <f t="shared" si="13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>ROUND(AB8+AB15+AB39+AB45+SUM(AB62:AB63)+AB71+AB84+AB90+AB102+AB111+SUM(AB115:AB115),5)</f>
        <v>960784.8</v>
      </c>
      <c r="AC116" s="80">
        <f>ROUND(AC8+AC15+AC39+AC45+SUM(AC62:AC63)+AC71+AC84+AC90+AC102+AC111+SUM(AC115:AC115),5)</f>
        <v>960784.8</v>
      </c>
      <c r="AD116" s="80">
        <f>ROUND(AD8+AD15+AD39+AD45+SUM(AD62:AD63)+AD71+AD84+AD90+AD102+AD111+SUM(AD115:AD115),5)</f>
        <v>1026054.2</v>
      </c>
      <c r="AE116" s="80">
        <f>ROUND(AE8+AE15+AE39+AE45+SUM(AE62:AE63)+AE71+AE84+AE90+AE102+AE111+SUM(AE115:AE115),5)</f>
        <v>1026054.2</v>
      </c>
      <c r="AF116" s="80">
        <f>ROUND(AF8+AF15+AF39+AF45+SUM(AF62:AF63)+AF71+AF84+AF90+AF102+AF111+SUM(AF115:AF115),5)</f>
        <v>1026054.2</v>
      </c>
      <c r="AG116" s="144"/>
      <c r="AI116" s="112"/>
    </row>
    <row r="117" spans="1:35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13"/>
        <v>0</v>
      </c>
      <c r="Q117" s="69">
        <f t="shared" si="13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  <c r="AF117" s="66"/>
    </row>
    <row r="118" spans="1:35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13"/>
        <v>0</v>
      </c>
      <c r="Q118" s="69">
        <f t="shared" si="13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</row>
    <row r="119" spans="1:35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25">ROUND(H119+J119+L119,5)</f>
        <v>488400</v>
      </c>
      <c r="O119" s="66">
        <f t="shared" si="25"/>
        <v>485585</v>
      </c>
      <c r="P119" s="69">
        <f t="shared" si="13"/>
        <v>162800</v>
      </c>
      <c r="Q119" s="69">
        <f t="shared" si="13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  <c r="AF119" s="66"/>
    </row>
    <row r="120" spans="1:35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25"/>
        <v>399075</v>
      </c>
      <c r="O120" s="66">
        <f t="shared" si="25"/>
        <v>126010</v>
      </c>
      <c r="P120" s="69">
        <f t="shared" si="13"/>
        <v>133025</v>
      </c>
      <c r="Q120" s="69">
        <f t="shared" si="13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  <c r="AF120" s="66"/>
    </row>
    <row r="121" spans="1:35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25"/>
        <v>265</v>
      </c>
      <c r="O121" s="66">
        <f t="shared" si="25"/>
        <v>0</v>
      </c>
      <c r="P121" s="69">
        <f t="shared" si="13"/>
        <v>88.333333333333329</v>
      </c>
      <c r="Q121" s="69">
        <f t="shared" si="13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  <c r="AF121" s="66"/>
    </row>
    <row r="122" spans="1:35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25"/>
        <v>265</v>
      </c>
      <c r="O122" s="66">
        <f t="shared" si="25"/>
        <v>91390</v>
      </c>
      <c r="P122" s="69">
        <f t="shared" si="13"/>
        <v>88.333333333333329</v>
      </c>
      <c r="Q122" s="69">
        <f t="shared" si="13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  <c r="AF122" s="66"/>
    </row>
    <row r="123" spans="1:35" ht="16" hidden="1" thickBot="1" x14ac:dyDescent="0.4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25"/>
        <v>98830</v>
      </c>
      <c r="O123" s="66">
        <f t="shared" si="25"/>
        <v>125165</v>
      </c>
      <c r="P123" s="69">
        <f t="shared" si="13"/>
        <v>32943.333333333336</v>
      </c>
      <c r="Q123" s="69">
        <f t="shared" si="13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  <c r="AF123" s="66"/>
    </row>
    <row r="124" spans="1:35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26">ROUND(SUM(H118:H123),5)</f>
        <v>322815</v>
      </c>
      <c r="I124" s="75">
        <f t="shared" si="26"/>
        <v>280085</v>
      </c>
      <c r="J124" s="76">
        <f t="shared" si="26"/>
        <v>327395</v>
      </c>
      <c r="K124" s="76">
        <f t="shared" si="26"/>
        <v>231075</v>
      </c>
      <c r="L124" s="77">
        <f t="shared" si="26"/>
        <v>336625</v>
      </c>
      <c r="M124" s="77">
        <f t="shared" si="26"/>
        <v>316990</v>
      </c>
      <c r="N124" s="78">
        <f t="shared" si="25"/>
        <v>986835</v>
      </c>
      <c r="O124" s="78">
        <f t="shared" si="25"/>
        <v>828150</v>
      </c>
      <c r="P124" s="79">
        <f t="shared" si="13"/>
        <v>328945</v>
      </c>
      <c r="Q124" s="79">
        <f t="shared" si="13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>ROUND(SUM(AB118:AB123),5)</f>
        <v>1043950</v>
      </c>
      <c r="AC124" s="78">
        <f>ROUND(SUM(AC118:AC123),5)</f>
        <v>1043950</v>
      </c>
      <c r="AD124" s="78">
        <f>ROUND(SUM(AD118:AD123),5)</f>
        <v>1043950</v>
      </c>
      <c r="AE124" s="78">
        <f>ROUND(SUM(AE118:AE123),5)</f>
        <v>1043950</v>
      </c>
      <c r="AF124" s="78">
        <f>ROUND(SUM(AF118:AF123),5)</f>
        <v>1069055</v>
      </c>
    </row>
    <row r="125" spans="1:35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13"/>
        <v>0</v>
      </c>
      <c r="Q125" s="69">
        <f t="shared" si="13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  <c r="AF125" s="66"/>
    </row>
    <row r="126" spans="1:35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27">ROUND(H126+J126+L126,5)</f>
        <v>294615</v>
      </c>
      <c r="O126" s="66">
        <f t="shared" si="27"/>
        <v>236035</v>
      </c>
      <c r="P126" s="69">
        <f t="shared" si="13"/>
        <v>98205</v>
      </c>
      <c r="Q126" s="69">
        <f t="shared" si="13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  <c r="AF126" s="66"/>
    </row>
    <row r="127" spans="1:35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27"/>
        <v>96940</v>
      </c>
      <c r="O127" s="66">
        <f t="shared" si="27"/>
        <v>135795</v>
      </c>
      <c r="P127" s="69">
        <f t="shared" si="13"/>
        <v>32313.333333333332</v>
      </c>
      <c r="Q127" s="69">
        <f t="shared" si="13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  <c r="AF127" s="66"/>
    </row>
    <row r="128" spans="1:35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27"/>
        <v>69790</v>
      </c>
      <c r="O128" s="66">
        <f t="shared" si="27"/>
        <v>111720</v>
      </c>
      <c r="P128" s="69">
        <f t="shared" si="13"/>
        <v>23263.333333333332</v>
      </c>
      <c r="Q128" s="69">
        <f t="shared" si="13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  <c r="AF128" s="66"/>
    </row>
    <row r="129" spans="1:32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27"/>
        <v>81000</v>
      </c>
      <c r="O129" s="73">
        <f t="shared" si="27"/>
        <v>99880</v>
      </c>
      <c r="P129" s="74">
        <f t="shared" si="13"/>
        <v>27000</v>
      </c>
      <c r="Q129" s="74">
        <f t="shared" si="13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  <c r="AF129" s="73"/>
    </row>
    <row r="130" spans="1:32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28">ROUND(SUM(H125:H129),5)</f>
        <v>172910</v>
      </c>
      <c r="I130" s="63">
        <f t="shared" si="28"/>
        <v>222395</v>
      </c>
      <c r="J130" s="64">
        <f t="shared" si="28"/>
        <v>180035</v>
      </c>
      <c r="K130" s="64">
        <f t="shared" si="28"/>
        <v>178545</v>
      </c>
      <c r="L130" s="65">
        <f t="shared" si="28"/>
        <v>189400</v>
      </c>
      <c r="M130" s="65">
        <f t="shared" si="28"/>
        <v>182490</v>
      </c>
      <c r="N130" s="66">
        <f t="shared" si="27"/>
        <v>542345</v>
      </c>
      <c r="O130" s="66">
        <f t="shared" si="27"/>
        <v>583430</v>
      </c>
      <c r="P130" s="69">
        <f t="shared" si="13"/>
        <v>180781.66666666666</v>
      </c>
      <c r="Q130" s="69">
        <f t="shared" si="13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>ROUND(SUM(AB125:AB129),5)</f>
        <v>0</v>
      </c>
      <c r="AC130" s="66">
        <f>ROUND(SUM(AC125:AC129),5)</f>
        <v>0</v>
      </c>
      <c r="AD130" s="66">
        <f>ROUND(SUM(AD125:AD129),5)</f>
        <v>0</v>
      </c>
      <c r="AE130" s="66">
        <f>ROUND(SUM(AE125:AE129),5)</f>
        <v>0</v>
      </c>
      <c r="AF130" s="66">
        <f>ROUND(SUM(AF125:AF129),5)</f>
        <v>0</v>
      </c>
    </row>
    <row r="131" spans="1:32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13"/>
        <v>0</v>
      </c>
      <c r="Q131" s="69">
        <f t="shared" si="13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  <c r="AF131" s="66"/>
    </row>
    <row r="132" spans="1:32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29">ROUND(H132+J132+L132,5)</f>
        <v>59355</v>
      </c>
      <c r="O132" s="66">
        <f t="shared" si="29"/>
        <v>117110</v>
      </c>
      <c r="P132" s="69">
        <f t="shared" si="13"/>
        <v>19785</v>
      </c>
      <c r="Q132" s="69">
        <f t="shared" si="13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  <c r="AF132" s="66"/>
    </row>
    <row r="133" spans="1:32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29"/>
        <v>22765</v>
      </c>
      <c r="O133" s="66">
        <f t="shared" si="29"/>
        <v>58385</v>
      </c>
      <c r="P133" s="69">
        <f t="shared" si="13"/>
        <v>7588.333333333333</v>
      </c>
      <c r="Q133" s="69">
        <f t="shared" si="13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  <c r="AF133" s="66"/>
    </row>
    <row r="134" spans="1:32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29"/>
        <v>55100</v>
      </c>
      <c r="O134" s="73">
        <f t="shared" si="29"/>
        <v>63285</v>
      </c>
      <c r="P134" s="74">
        <f t="shared" si="13"/>
        <v>18366.666666666668</v>
      </c>
      <c r="Q134" s="74">
        <f t="shared" si="13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  <c r="AF134" s="73"/>
    </row>
    <row r="135" spans="1:32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30">ROUND(SUM(H131:H134),5)</f>
        <v>47660</v>
      </c>
      <c r="I135" s="63">
        <f t="shared" si="30"/>
        <v>89480</v>
      </c>
      <c r="J135" s="64">
        <f t="shared" si="30"/>
        <v>50325</v>
      </c>
      <c r="K135" s="64">
        <f t="shared" si="30"/>
        <v>95015</v>
      </c>
      <c r="L135" s="65">
        <f t="shared" si="30"/>
        <v>39235</v>
      </c>
      <c r="M135" s="65">
        <f t="shared" si="30"/>
        <v>54285</v>
      </c>
      <c r="N135" s="66">
        <f t="shared" si="29"/>
        <v>137220</v>
      </c>
      <c r="O135" s="66">
        <f t="shared" si="29"/>
        <v>238780</v>
      </c>
      <c r="P135" s="69">
        <f t="shared" si="13"/>
        <v>45740</v>
      </c>
      <c r="Q135" s="69">
        <f t="shared" si="13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>ROUND(SUM(AB131:AB134),5)</f>
        <v>0</v>
      </c>
      <c r="AC135" s="66">
        <f>ROUND(SUM(AC131:AC134),5)</f>
        <v>0</v>
      </c>
      <c r="AD135" s="66">
        <f>ROUND(SUM(AD131:AD134),5)</f>
        <v>0</v>
      </c>
      <c r="AE135" s="66">
        <f>ROUND(SUM(AE131:AE134),5)</f>
        <v>0</v>
      </c>
      <c r="AF135" s="66">
        <f>ROUND(SUM(AF131:AF134),5)</f>
        <v>0</v>
      </c>
    </row>
    <row r="136" spans="1:32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13"/>
        <v>0</v>
      </c>
      <c r="Q136" s="69">
        <f t="shared" si="13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  <c r="AF136" s="66"/>
    </row>
    <row r="137" spans="1:32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31">ROUND(H137+J137+L137,5)</f>
        <v>139495</v>
      </c>
      <c r="O137" s="66">
        <f t="shared" si="31"/>
        <v>160315</v>
      </c>
      <c r="P137" s="69">
        <f t="shared" si="13"/>
        <v>46498.333333333336</v>
      </c>
      <c r="Q137" s="69">
        <f t="shared" si="13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  <c r="AF137" s="66"/>
    </row>
    <row r="138" spans="1:32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31"/>
        <v>11925</v>
      </c>
      <c r="O138" s="66">
        <f t="shared" si="31"/>
        <v>57525</v>
      </c>
      <c r="P138" s="69">
        <f t="shared" ref="P138:Q198" si="32">N138/3</f>
        <v>3975</v>
      </c>
      <c r="Q138" s="69">
        <f t="shared" si="32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  <c r="AF138" s="66"/>
    </row>
    <row r="139" spans="1:32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31"/>
        <v>54560</v>
      </c>
      <c r="O139" s="66">
        <f t="shared" si="31"/>
        <v>80605</v>
      </c>
      <c r="P139" s="69">
        <f t="shared" si="32"/>
        <v>18186.666666666668</v>
      </c>
      <c r="Q139" s="69">
        <f t="shared" si="32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  <c r="AF139" s="66"/>
    </row>
    <row r="140" spans="1:32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31"/>
        <v>35915</v>
      </c>
      <c r="O140" s="73">
        <f t="shared" si="31"/>
        <v>52710</v>
      </c>
      <c r="P140" s="74">
        <f t="shared" si="32"/>
        <v>11971.666666666666</v>
      </c>
      <c r="Q140" s="74">
        <f t="shared" si="32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  <c r="AF140" s="73"/>
    </row>
    <row r="141" spans="1:32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33">ROUND(SUM(H136:H140),5)</f>
        <v>92055</v>
      </c>
      <c r="I141" s="63">
        <f t="shared" si="33"/>
        <v>121215</v>
      </c>
      <c r="J141" s="64">
        <f t="shared" si="33"/>
        <v>73370</v>
      </c>
      <c r="K141" s="64">
        <f t="shared" si="33"/>
        <v>124725</v>
      </c>
      <c r="L141" s="65">
        <f t="shared" si="33"/>
        <v>76470</v>
      </c>
      <c r="M141" s="65">
        <f t="shared" si="33"/>
        <v>105215</v>
      </c>
      <c r="N141" s="66">
        <f t="shared" si="31"/>
        <v>241895</v>
      </c>
      <c r="O141" s="66">
        <f t="shared" si="31"/>
        <v>351155</v>
      </c>
      <c r="P141" s="69">
        <f t="shared" si="32"/>
        <v>80631.666666666672</v>
      </c>
      <c r="Q141" s="69">
        <f t="shared" si="32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>ROUND(SUM(AB136:AB140),5)</f>
        <v>0</v>
      </c>
      <c r="AC141" s="66">
        <f>ROUND(SUM(AC136:AC140),5)</f>
        <v>0</v>
      </c>
      <c r="AD141" s="66">
        <f>ROUND(SUM(AD136:AD140),5)</f>
        <v>0</v>
      </c>
      <c r="AE141" s="66">
        <f>ROUND(SUM(AE136:AE140),5)</f>
        <v>0</v>
      </c>
      <c r="AF141" s="66">
        <f>ROUND(SUM(AF136:AF140),5)</f>
        <v>0</v>
      </c>
    </row>
    <row r="142" spans="1:32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32"/>
        <v>0</v>
      </c>
      <c r="Q142" s="69">
        <f t="shared" si="32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  <c r="AF142" s="66"/>
    </row>
    <row r="143" spans="1:32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32"/>
        <v>-129721.66666666667</v>
      </c>
      <c r="Q143" s="74">
        <f t="shared" si="32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</row>
    <row r="144" spans="1:32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34">ROUND(SUM(H142:H143),5)</f>
        <v>-125650</v>
      </c>
      <c r="I144" s="63">
        <f t="shared" si="34"/>
        <v>-126150</v>
      </c>
      <c r="J144" s="64">
        <f t="shared" si="34"/>
        <v>-133460</v>
      </c>
      <c r="K144" s="64">
        <f t="shared" si="34"/>
        <v>-130115.02</v>
      </c>
      <c r="L144" s="65">
        <f t="shared" si="34"/>
        <v>-130055</v>
      </c>
      <c r="M144" s="65">
        <f t="shared" si="34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32"/>
        <v>-129721.66666666667</v>
      </c>
      <c r="Q144" s="69">
        <f t="shared" si="32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>ROUND(SUM(AB142:AB143),5)</f>
        <v>-116261.69</v>
      </c>
      <c r="AC144" s="66">
        <f>ROUND(SUM(AC142:AC143),5)</f>
        <v>-116261.69</v>
      </c>
      <c r="AD144" s="66">
        <f>ROUND(SUM(AD142:AD143),5)</f>
        <v>-116261.69</v>
      </c>
      <c r="AE144" s="66">
        <f>ROUND(SUM(AE142:AE143),5)</f>
        <v>-116261.69</v>
      </c>
      <c r="AF144" s="66">
        <f>ROUND(SUM(AF142:AF143),5)</f>
        <v>-118175</v>
      </c>
    </row>
    <row r="145" spans="1:34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32"/>
        <v>0</v>
      </c>
      <c r="Q145" s="69">
        <f t="shared" si="32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F145" s="66"/>
      <c r="AH145" s="81"/>
    </row>
    <row r="146" spans="1:34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35">ROUND(H146+J146+L146,5)</f>
        <v>15355</v>
      </c>
      <c r="O146" s="66">
        <f t="shared" si="35"/>
        <v>40980</v>
      </c>
      <c r="P146" s="69">
        <f t="shared" si="32"/>
        <v>5118.333333333333</v>
      </c>
      <c r="Q146" s="69">
        <f t="shared" si="32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  <c r="AF146" s="66"/>
    </row>
    <row r="147" spans="1:34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35"/>
        <v>11325</v>
      </c>
      <c r="O147" s="66">
        <f t="shared" si="35"/>
        <v>40155</v>
      </c>
      <c r="P147" s="69">
        <f t="shared" si="32"/>
        <v>3775</v>
      </c>
      <c r="Q147" s="69">
        <f t="shared" si="32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  <c r="AF147" s="66"/>
    </row>
    <row r="148" spans="1:34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35"/>
        <v>13910</v>
      </c>
      <c r="O148" s="66">
        <f t="shared" si="35"/>
        <v>41310</v>
      </c>
      <c r="P148" s="69">
        <f t="shared" si="32"/>
        <v>4636.666666666667</v>
      </c>
      <c r="Q148" s="69">
        <f t="shared" si="32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  <c r="AF148" s="66"/>
    </row>
    <row r="149" spans="1:34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35"/>
        <v>14095</v>
      </c>
      <c r="O149" s="66">
        <f t="shared" si="35"/>
        <v>40355</v>
      </c>
      <c r="P149" s="69">
        <f t="shared" si="32"/>
        <v>4698.333333333333</v>
      </c>
      <c r="Q149" s="69">
        <f t="shared" si="32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  <c r="AF149" s="66"/>
    </row>
    <row r="150" spans="1:34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35"/>
        <v>25215</v>
      </c>
      <c r="O150" s="73">
        <f t="shared" si="35"/>
        <v>66355</v>
      </c>
      <c r="P150" s="74">
        <f t="shared" si="32"/>
        <v>8405</v>
      </c>
      <c r="Q150" s="74">
        <f t="shared" si="32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  <c r="AF150" s="73"/>
    </row>
    <row r="151" spans="1:34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36">ROUND(SUM(H145:H150),5)</f>
        <v>28635</v>
      </c>
      <c r="I151" s="63">
        <f t="shared" si="36"/>
        <v>84725</v>
      </c>
      <c r="J151" s="64">
        <f t="shared" si="36"/>
        <v>25420</v>
      </c>
      <c r="K151" s="64">
        <f t="shared" si="36"/>
        <v>100435</v>
      </c>
      <c r="L151" s="65">
        <f t="shared" si="36"/>
        <v>25845</v>
      </c>
      <c r="M151" s="65">
        <f t="shared" si="36"/>
        <v>43995</v>
      </c>
      <c r="N151" s="66">
        <f t="shared" si="35"/>
        <v>79900</v>
      </c>
      <c r="O151" s="66">
        <f t="shared" si="35"/>
        <v>229155</v>
      </c>
      <c r="P151" s="69">
        <f t="shared" si="32"/>
        <v>26633.333333333332</v>
      </c>
      <c r="Q151" s="69">
        <f t="shared" si="32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>ROUND(SUM(AB145:AB150),5)</f>
        <v>0</v>
      </c>
      <c r="AC151" s="66">
        <f>ROUND(SUM(AC145:AC150),5)</f>
        <v>0</v>
      </c>
      <c r="AD151" s="66">
        <f>ROUND(SUM(AD145:AD150),5)</f>
        <v>0</v>
      </c>
      <c r="AE151" s="66">
        <f>ROUND(SUM(AE145:AE150),5)</f>
        <v>0</v>
      </c>
      <c r="AF151" s="66">
        <f>ROUND(SUM(AF145:AF150),5)</f>
        <v>0</v>
      </c>
    </row>
    <row r="152" spans="1:34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32"/>
        <v>0</v>
      </c>
      <c r="Q152" s="69">
        <f t="shared" si="32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  <c r="AF152" s="66"/>
    </row>
    <row r="153" spans="1:34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37">ROUND(H153+J153+L153,5)</f>
        <v>158780</v>
      </c>
      <c r="O153" s="66">
        <f t="shared" si="37"/>
        <v>106120</v>
      </c>
      <c r="P153" s="69">
        <f t="shared" si="32"/>
        <v>52926.666666666664</v>
      </c>
      <c r="Q153" s="69">
        <f t="shared" si="32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  <c r="AF153" s="66"/>
    </row>
    <row r="154" spans="1:34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37"/>
        <v>0</v>
      </c>
      <c r="O154" s="66">
        <f t="shared" si="37"/>
        <v>0</v>
      </c>
      <c r="P154" s="69">
        <f t="shared" si="32"/>
        <v>0</v>
      </c>
      <c r="Q154" s="69">
        <f t="shared" si="32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  <c r="AF154" s="66"/>
    </row>
    <row r="155" spans="1:34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37"/>
        <v>20005</v>
      </c>
      <c r="O155" s="73">
        <f t="shared" si="37"/>
        <v>57720</v>
      </c>
      <c r="P155" s="74">
        <f t="shared" si="32"/>
        <v>6668.333333333333</v>
      </c>
      <c r="Q155" s="74">
        <f t="shared" si="32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  <c r="AF155" s="73"/>
    </row>
    <row r="156" spans="1:34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38">ROUND(SUM(H152:H155),5)</f>
        <v>49410</v>
      </c>
      <c r="I156" s="63">
        <f t="shared" si="38"/>
        <v>53770</v>
      </c>
      <c r="J156" s="64">
        <f t="shared" si="38"/>
        <v>64775</v>
      </c>
      <c r="K156" s="64">
        <f t="shared" si="38"/>
        <v>53565</v>
      </c>
      <c r="L156" s="65">
        <f t="shared" si="38"/>
        <v>64600</v>
      </c>
      <c r="M156" s="65">
        <f t="shared" si="38"/>
        <v>56505</v>
      </c>
      <c r="N156" s="66">
        <f t="shared" si="37"/>
        <v>178785</v>
      </c>
      <c r="O156" s="66">
        <f t="shared" si="37"/>
        <v>163840</v>
      </c>
      <c r="P156" s="69">
        <f t="shared" si="32"/>
        <v>59595</v>
      </c>
      <c r="Q156" s="69">
        <f t="shared" si="32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>ROUND(SUM(AB152:AB155),5)</f>
        <v>0</v>
      </c>
      <c r="AC156" s="66">
        <f>ROUND(SUM(AC152:AC155),5)</f>
        <v>0</v>
      </c>
      <c r="AD156" s="66">
        <f>ROUND(SUM(AD152:AD155),5)</f>
        <v>0</v>
      </c>
      <c r="AE156" s="66">
        <f>ROUND(SUM(AE152:AE155),5)</f>
        <v>0</v>
      </c>
      <c r="AF156" s="66">
        <f>ROUND(SUM(AF152:AF155),5)</f>
        <v>0</v>
      </c>
    </row>
    <row r="157" spans="1:34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32"/>
        <v>0</v>
      </c>
      <c r="Q157" s="69">
        <f t="shared" si="32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  <c r="AF157" s="66"/>
    </row>
    <row r="158" spans="1:34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32"/>
        <v>44666.666666666664</v>
      </c>
      <c r="Q158" s="74">
        <f t="shared" si="32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  <c r="AF158" s="73"/>
    </row>
    <row r="159" spans="1:34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39">ROUND(SUM(H157:H158),5)</f>
        <v>40160</v>
      </c>
      <c r="I159" s="63">
        <f t="shared" si="39"/>
        <v>39540</v>
      </c>
      <c r="J159" s="64">
        <f t="shared" si="39"/>
        <v>42655</v>
      </c>
      <c r="K159" s="64">
        <f t="shared" si="39"/>
        <v>40060</v>
      </c>
      <c r="L159" s="65">
        <f t="shared" si="39"/>
        <v>51185</v>
      </c>
      <c r="M159" s="65">
        <f t="shared" si="39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32"/>
        <v>44666.666666666664</v>
      </c>
      <c r="Q159" s="69">
        <f t="shared" si="32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>ROUND(SUM(AB157:AB158),5)</f>
        <v>0</v>
      </c>
      <c r="AC159" s="66">
        <f>ROUND(SUM(AC157:AC158),5)</f>
        <v>0</v>
      </c>
      <c r="AD159" s="66">
        <f>ROUND(SUM(AD157:AD158),5)</f>
        <v>0</v>
      </c>
      <c r="AE159" s="66">
        <f>ROUND(SUM(AE157:AE158),5)</f>
        <v>0</v>
      </c>
      <c r="AF159" s="66">
        <f>ROUND(SUM(AF157:AF158),5)</f>
        <v>0</v>
      </c>
    </row>
    <row r="160" spans="1:34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32"/>
        <v>0</v>
      </c>
      <c r="Q160" s="69">
        <f t="shared" si="32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  <c r="AF160" s="66"/>
    </row>
    <row r="161" spans="1:39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40">ROUND(H161+J161+L161,5)</f>
        <v>246750</v>
      </c>
      <c r="O161" s="66">
        <f t="shared" si="40"/>
        <v>185670</v>
      </c>
      <c r="P161" s="69">
        <f t="shared" si="32"/>
        <v>82250</v>
      </c>
      <c r="Q161" s="69">
        <f t="shared" si="32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  <c r="AF161" s="66"/>
    </row>
    <row r="162" spans="1:39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40"/>
        <v>151865</v>
      </c>
      <c r="O162" s="66">
        <f t="shared" si="40"/>
        <v>108245</v>
      </c>
      <c r="P162" s="69">
        <f t="shared" si="32"/>
        <v>50621.666666666664</v>
      </c>
      <c r="Q162" s="69">
        <f t="shared" si="32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  <c r="AF162" s="66"/>
    </row>
    <row r="163" spans="1:39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40"/>
        <v>110740</v>
      </c>
      <c r="O163" s="73">
        <f t="shared" si="40"/>
        <v>97550</v>
      </c>
      <c r="P163" s="74">
        <f t="shared" si="32"/>
        <v>36913.333333333336</v>
      </c>
      <c r="Q163" s="74">
        <f t="shared" si="32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  <c r="AF163" s="73"/>
    </row>
    <row r="164" spans="1:39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41">ROUND(SUM(H160:H163),5)</f>
        <v>154940</v>
      </c>
      <c r="I164" s="63">
        <f t="shared" si="41"/>
        <v>123940</v>
      </c>
      <c r="J164" s="64">
        <f t="shared" si="41"/>
        <v>167910</v>
      </c>
      <c r="K164" s="64">
        <f t="shared" si="41"/>
        <v>108130</v>
      </c>
      <c r="L164" s="65">
        <f t="shared" si="41"/>
        <v>186505</v>
      </c>
      <c r="M164" s="65">
        <f t="shared" si="41"/>
        <v>159395</v>
      </c>
      <c r="N164" s="66">
        <f t="shared" si="40"/>
        <v>509355</v>
      </c>
      <c r="O164" s="66">
        <f t="shared" si="40"/>
        <v>391465</v>
      </c>
      <c r="P164" s="69">
        <f t="shared" si="32"/>
        <v>169785</v>
      </c>
      <c r="Q164" s="69">
        <f t="shared" si="32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>ROUND(SUM(AB160:AB163),5)</f>
        <v>0</v>
      </c>
      <c r="AC164" s="66">
        <f>ROUND(SUM(AC160:AC163),5)</f>
        <v>0</v>
      </c>
      <c r="AD164" s="66">
        <f>ROUND(SUM(AD160:AD163),5)</f>
        <v>0</v>
      </c>
      <c r="AE164" s="66">
        <f>ROUND(SUM(AE160:AE163),5)</f>
        <v>0</v>
      </c>
      <c r="AF164" s="66">
        <f>ROUND(SUM(AF160:AF163),5)</f>
        <v>0</v>
      </c>
    </row>
    <row r="165" spans="1:39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32"/>
        <v>0</v>
      </c>
      <c r="Q165" s="69">
        <f t="shared" si="32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  <c r="AF165" s="66"/>
    </row>
    <row r="166" spans="1:39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42">ROUND(H166+J166+L166,5)</f>
        <v>223285</v>
      </c>
      <c r="O166" s="66">
        <f t="shared" si="42"/>
        <v>112600</v>
      </c>
      <c r="P166" s="69">
        <f t="shared" si="32"/>
        <v>74428.333333333328</v>
      </c>
      <c r="Q166" s="69">
        <f t="shared" si="32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  <c r="AF166" s="66"/>
    </row>
    <row r="167" spans="1:39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42"/>
        <v>1035</v>
      </c>
      <c r="O167" s="73">
        <f t="shared" si="42"/>
        <v>10779.56</v>
      </c>
      <c r="P167" s="74">
        <f t="shared" si="32"/>
        <v>345</v>
      </c>
      <c r="Q167" s="74">
        <f t="shared" si="32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  <c r="AF167" s="73"/>
    </row>
    <row r="168" spans="1:39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43">ROUND(SUM(H165:H167),5)</f>
        <v>66205</v>
      </c>
      <c r="I168" s="63">
        <f t="shared" si="43"/>
        <v>36000</v>
      </c>
      <c r="J168" s="64">
        <f t="shared" si="43"/>
        <v>76590</v>
      </c>
      <c r="K168" s="64">
        <f t="shared" si="43"/>
        <v>32349.56</v>
      </c>
      <c r="L168" s="65">
        <f t="shared" si="43"/>
        <v>81525</v>
      </c>
      <c r="M168" s="65">
        <f t="shared" si="43"/>
        <v>55030</v>
      </c>
      <c r="N168" s="66">
        <f t="shared" si="42"/>
        <v>224320</v>
      </c>
      <c r="O168" s="66">
        <f t="shared" si="42"/>
        <v>123379.56</v>
      </c>
      <c r="P168" s="69">
        <f t="shared" si="32"/>
        <v>74773.333333333328</v>
      </c>
      <c r="Q168" s="69">
        <f t="shared" si="32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>ROUND(SUM(AB165:AB167),5)</f>
        <v>0</v>
      </c>
      <c r="AC168" s="66">
        <f>ROUND(SUM(AC165:AC167),5)</f>
        <v>0</v>
      </c>
      <c r="AD168" s="66">
        <f>ROUND(SUM(AD165:AD167),5)</f>
        <v>0</v>
      </c>
      <c r="AE168" s="66">
        <f>ROUND(SUM(AE165:AE167),5)</f>
        <v>0</v>
      </c>
      <c r="AF168" s="66">
        <f>ROUND(SUM(AF165:AF167),5)</f>
        <v>0</v>
      </c>
    </row>
    <row r="169" spans="1:39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42"/>
        <v>0</v>
      </c>
      <c r="O169" s="73">
        <f t="shared" si="42"/>
        <v>0</v>
      </c>
      <c r="P169" s="74">
        <f t="shared" si="32"/>
        <v>0</v>
      </c>
      <c r="Q169" s="74">
        <f t="shared" si="32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</row>
    <row r="170" spans="1:39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44">ROUND(H117+H124+H130+H135+H141+H144+H151+H156+H159+H164+SUM(H168:H169),5)</f>
        <v>849140</v>
      </c>
      <c r="I170" s="63">
        <f t="shared" si="44"/>
        <v>925000</v>
      </c>
      <c r="J170" s="64">
        <f t="shared" si="44"/>
        <v>875015</v>
      </c>
      <c r="K170" s="64">
        <f t="shared" si="44"/>
        <v>833784.54</v>
      </c>
      <c r="L170" s="65">
        <f t="shared" si="44"/>
        <v>921335</v>
      </c>
      <c r="M170" s="65">
        <f t="shared" si="44"/>
        <v>890121</v>
      </c>
      <c r="N170" s="66">
        <f t="shared" si="42"/>
        <v>2645490</v>
      </c>
      <c r="O170" s="66">
        <f t="shared" si="42"/>
        <v>2648905.54</v>
      </c>
      <c r="P170" s="69">
        <f t="shared" si="32"/>
        <v>881830</v>
      </c>
      <c r="Q170" s="69">
        <f t="shared" si="32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>ROUND(AB117+AB124+AB130+AB135+AB141+AB144+AB151+AB156+AB159+AB164+SUM(AB168:AB169),5)</f>
        <v>927688.31</v>
      </c>
      <c r="AC170" s="80">
        <f>ROUND(AC117+AC124+AC130+AC135+AC141+AC144+AC151+AC156+AC159+AC164+SUM(AC168:AC169),5)</f>
        <v>927688.31</v>
      </c>
      <c r="AD170" s="80">
        <f>ROUND(AD117+AD124+AD130+AD135+AD141+AD144+AD151+AD156+AD159+AD164+SUM(AD168:AD169),5)</f>
        <v>927688.31</v>
      </c>
      <c r="AE170" s="80">
        <f>ROUND(AE117+AE124+AE130+AE135+AE141+AE144+AE151+AE156+AE159+AE164+SUM(AE168:AE169),5)</f>
        <v>927688.31</v>
      </c>
      <c r="AF170" s="80">
        <f>ROUND(AF117+AF124+AF130+AF135+AF141+AF144+AF151+AF156+AF159+AF164+SUM(AF168:AF169),5)</f>
        <v>950880</v>
      </c>
      <c r="AH170"/>
    </row>
    <row r="171" spans="1:39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32"/>
        <v>0</v>
      </c>
      <c r="Q171" s="69">
        <f t="shared" si="32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  <c r="AF171" s="66"/>
    </row>
    <row r="172" spans="1:39" ht="58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45">ROUND(H172+J172+L172,5)</f>
        <v>322169.82</v>
      </c>
      <c r="O172" s="66">
        <f t="shared" si="45"/>
        <v>137000</v>
      </c>
      <c r="P172" s="69">
        <f t="shared" si="32"/>
        <v>107389.94</v>
      </c>
      <c r="Q172" s="69">
        <f t="shared" si="32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H172" s="102" t="s">
        <v>945</v>
      </c>
      <c r="AK172" s="62" t="s">
        <v>947</v>
      </c>
      <c r="AL172" s="159">
        <v>30000</v>
      </c>
    </row>
    <row r="173" spans="1:39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45"/>
        <v>242478.99</v>
      </c>
      <c r="O173" s="66">
        <f t="shared" si="45"/>
        <v>253000</v>
      </c>
      <c r="P173" s="69">
        <f>N173/3</f>
        <v>80826.33</v>
      </c>
      <c r="Q173" s="69">
        <f t="shared" si="32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>26750+29750+19500+10625</f>
        <v>86625</v>
      </c>
      <c r="AC173" s="66">
        <f>26750+29750+19500+10625</f>
        <v>86625</v>
      </c>
      <c r="AD173" s="66">
        <f>26750+29750+19500+10625</f>
        <v>86625</v>
      </c>
      <c r="AE173" s="66">
        <f>26750+29750+19500+10625</f>
        <v>86625</v>
      </c>
      <c r="AF173" s="66">
        <f>26750+29750+19500+10625</f>
        <v>86625</v>
      </c>
      <c r="AG173" s="144"/>
      <c r="AK173" s="62">
        <v>307</v>
      </c>
      <c r="AL173" s="159">
        <v>30000</v>
      </c>
      <c r="AM173" s="46" t="s">
        <v>957</v>
      </c>
    </row>
    <row r="174" spans="1:39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45"/>
        <v>7072</v>
      </c>
      <c r="O174" s="66">
        <f t="shared" si="45"/>
        <v>8000</v>
      </c>
      <c r="P174" s="69">
        <f t="shared" si="32"/>
        <v>2357.3333333333335</v>
      </c>
      <c r="Q174" s="69">
        <f t="shared" si="32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K174" s="62">
        <v>308</v>
      </c>
      <c r="AL174" s="159">
        <v>64250</v>
      </c>
      <c r="AM174" s="46" t="s">
        <v>957</v>
      </c>
    </row>
    <row r="175" spans="1:39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45"/>
        <v>0</v>
      </c>
      <c r="O175" s="66">
        <f t="shared" si="45"/>
        <v>0</v>
      </c>
      <c r="P175" s="69">
        <f t="shared" si="32"/>
        <v>0</v>
      </c>
      <c r="Q175" s="69">
        <f t="shared" si="32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K175" s="62">
        <v>251</v>
      </c>
      <c r="AL175" s="159">
        <v>20000</v>
      </c>
    </row>
    <row r="176" spans="1:39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45"/>
        <v>11385</v>
      </c>
      <c r="O176" s="66">
        <f t="shared" si="45"/>
        <v>39800</v>
      </c>
      <c r="P176" s="69">
        <f t="shared" si="32"/>
        <v>3795</v>
      </c>
      <c r="Q176" s="69">
        <f t="shared" si="32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H176" s="46" t="s">
        <v>895</v>
      </c>
      <c r="AK176" s="62">
        <v>503</v>
      </c>
      <c r="AL176" s="159">
        <v>20000</v>
      </c>
    </row>
    <row r="177" spans="1:38" ht="23.5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45"/>
        <v>0</v>
      </c>
      <c r="O177" s="66">
        <f t="shared" si="45"/>
        <v>15000</v>
      </c>
      <c r="P177" s="69">
        <f t="shared" si="32"/>
        <v>0</v>
      </c>
      <c r="Q177" s="69">
        <f t="shared" si="32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H177" s="164" t="s">
        <v>953</v>
      </c>
      <c r="AI177" s="46">
        <v>1000</v>
      </c>
      <c r="AK177" s="62" t="s">
        <v>949</v>
      </c>
      <c r="AL177" s="159">
        <v>50000</v>
      </c>
    </row>
    <row r="178" spans="1:38" ht="23.5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45"/>
        <v>3000</v>
      </c>
      <c r="O178" s="66">
        <f t="shared" si="45"/>
        <v>11000</v>
      </c>
      <c r="P178" s="69">
        <f t="shared" si="32"/>
        <v>1000</v>
      </c>
      <c r="Q178" s="69">
        <f t="shared" si="32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H178" s="164" t="s">
        <v>953</v>
      </c>
      <c r="AI178" s="111">
        <v>265</v>
      </c>
      <c r="AK178" s="62" t="s">
        <v>950</v>
      </c>
      <c r="AL178" s="159">
        <v>50000</v>
      </c>
    </row>
    <row r="179" spans="1:38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45"/>
        <v>56296.39</v>
      </c>
      <c r="O179" s="66">
        <f t="shared" si="45"/>
        <v>28065</v>
      </c>
      <c r="P179" s="69">
        <f t="shared" si="32"/>
        <v>18765.463333333333</v>
      </c>
      <c r="Q179" s="69">
        <f t="shared" si="32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I179" s="111">
        <f>AI177*AI178</f>
        <v>265000</v>
      </c>
      <c r="AK179" s="62" t="s">
        <v>951</v>
      </c>
      <c r="AL179" s="159">
        <v>30000</v>
      </c>
    </row>
    <row r="180" spans="1:38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45"/>
        <v>9375</v>
      </c>
      <c r="O180" s="66">
        <f t="shared" si="45"/>
        <v>18070</v>
      </c>
      <c r="P180" s="69">
        <f t="shared" si="32"/>
        <v>3125</v>
      </c>
      <c r="Q180" s="69">
        <f t="shared" si="32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L180" s="160">
        <f>SUM(AL172:AL179)</f>
        <v>294250</v>
      </c>
    </row>
    <row r="181" spans="1:38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45"/>
        <v>5322.15</v>
      </c>
      <c r="O181" s="66">
        <f t="shared" si="45"/>
        <v>4200</v>
      </c>
      <c r="P181" s="69">
        <f t="shared" si="32"/>
        <v>1774.05</v>
      </c>
      <c r="Q181" s="69">
        <f t="shared" si="32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K181" s="46" t="s">
        <v>948</v>
      </c>
      <c r="AL181" s="159">
        <f>AF172-AL180</f>
        <v>100000</v>
      </c>
    </row>
    <row r="182" spans="1:38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46">ROUND(SUM(H171:H181),5)</f>
        <v>94478.28</v>
      </c>
      <c r="I182" s="83">
        <f t="shared" si="46"/>
        <v>186755</v>
      </c>
      <c r="J182" s="84">
        <f t="shared" si="46"/>
        <v>252523.42</v>
      </c>
      <c r="K182" s="84">
        <f t="shared" si="46"/>
        <v>146000</v>
      </c>
      <c r="L182" s="85">
        <f t="shared" si="46"/>
        <v>310097.65000000002</v>
      </c>
      <c r="M182" s="85">
        <f t="shared" si="46"/>
        <v>181380</v>
      </c>
      <c r="N182" s="86">
        <f t="shared" si="45"/>
        <v>657099.35</v>
      </c>
      <c r="O182" s="86">
        <f t="shared" si="45"/>
        <v>514135</v>
      </c>
      <c r="P182" s="87">
        <f t="shared" si="32"/>
        <v>219033.11666666667</v>
      </c>
      <c r="Q182" s="87">
        <f t="shared" si="32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>ROUND(SUM(AB171:AB181),5)</f>
        <v>385875</v>
      </c>
      <c r="AC182" s="88">
        <f>ROUND(SUM(AC171:AC181),5)</f>
        <v>385875</v>
      </c>
      <c r="AD182" s="88">
        <f>ROUND(SUM(AD171:AD181),5)</f>
        <v>385875</v>
      </c>
      <c r="AE182" s="88">
        <f>ROUND(SUM(AE171:AE181),5)</f>
        <v>385875</v>
      </c>
      <c r="AF182" s="88">
        <f>ROUND(SUM(AF171:AF181),5)</f>
        <v>515875</v>
      </c>
    </row>
    <row r="183" spans="1:38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47">ROUND(H7+H116+H170+H182,5)</f>
        <v>1704028.01</v>
      </c>
      <c r="I183" s="63">
        <f t="shared" si="47"/>
        <v>2024739</v>
      </c>
      <c r="J183" s="64">
        <f t="shared" si="47"/>
        <v>1983347.64</v>
      </c>
      <c r="K183" s="64">
        <f t="shared" si="47"/>
        <v>1884399.92</v>
      </c>
      <c r="L183" s="65">
        <f t="shared" si="47"/>
        <v>2267674.2599999998</v>
      </c>
      <c r="M183" s="65">
        <f t="shared" si="47"/>
        <v>1998330</v>
      </c>
      <c r="N183" s="66">
        <f t="shared" si="45"/>
        <v>5955049.9100000001</v>
      </c>
      <c r="O183" s="66">
        <f t="shared" si="45"/>
        <v>5907468.9199999999</v>
      </c>
      <c r="P183" s="69">
        <f t="shared" si="32"/>
        <v>1985016.6366666667</v>
      </c>
      <c r="Q183" s="69">
        <f t="shared" si="32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>ROUND(AB7+AB116+AB170+AB182,5)</f>
        <v>2274348.11</v>
      </c>
      <c r="AC183" s="66">
        <f>ROUND(AC7+AC116+AC170+AC182,5)</f>
        <v>2274348.11</v>
      </c>
      <c r="AD183" s="66">
        <f>ROUND(AD7+AD116+AD170+AD182,5)</f>
        <v>2339617.5099999998</v>
      </c>
      <c r="AE183" s="66">
        <f>ROUND(AE7+AE116+AE170+AE182,5)</f>
        <v>2339617.5099999998</v>
      </c>
      <c r="AF183" s="66">
        <f>ROUND(AF7+AF116+AF170+AF182,5)</f>
        <v>2492809.2000000002</v>
      </c>
      <c r="AH183" s="163"/>
    </row>
    <row r="184" spans="1:38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32"/>
        <v>0</v>
      </c>
      <c r="Q184" s="69">
        <f t="shared" si="32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  <c r="AF184" s="66"/>
      <c r="AH184" s="131"/>
    </row>
    <row r="185" spans="1:38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48">ROUND(H185+J185+L185,5)</f>
        <v>465847.8</v>
      </c>
      <c r="O185" s="66">
        <f t="shared" si="48"/>
        <v>521768</v>
      </c>
      <c r="P185" s="69">
        <f t="shared" si="32"/>
        <v>155282.6</v>
      </c>
      <c r="Q185" s="69">
        <f t="shared" si="32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>ROUND(94796.75, 0)</f>
        <v>94797</v>
      </c>
      <c r="AC185" s="66">
        <f>ROUND(94796.75, 0)</f>
        <v>94797</v>
      </c>
      <c r="AD185" s="66">
        <f>ROUND(94796.75, 0)</f>
        <v>94797</v>
      </c>
      <c r="AE185" s="66">
        <f>ROUND(94796.75, 0)</f>
        <v>94797</v>
      </c>
      <c r="AF185" s="66">
        <f>ROUND(94796.75, 0)</f>
        <v>94797</v>
      </c>
      <c r="AH185" s="115"/>
    </row>
    <row r="186" spans="1:38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48"/>
        <v>77592.62</v>
      </c>
      <c r="O186" s="66">
        <f t="shared" si="48"/>
        <v>92000</v>
      </c>
      <c r="P186" s="69">
        <f t="shared" si="32"/>
        <v>25864.206666666665</v>
      </c>
      <c r="Q186" s="69">
        <f t="shared" si="32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I186" s="111"/>
    </row>
    <row r="187" spans="1:38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48"/>
        <v>15133.13</v>
      </c>
      <c r="O187" s="66">
        <f t="shared" si="48"/>
        <v>61000</v>
      </c>
      <c r="P187" s="69">
        <f t="shared" si="32"/>
        <v>5044.3766666666661</v>
      </c>
      <c r="Q187" s="69">
        <f t="shared" si="32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</row>
    <row r="188" spans="1:38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49">ROUND(SUM(H184:H187),5)</f>
        <v>213369.38</v>
      </c>
      <c r="I188" s="75">
        <f t="shared" si="49"/>
        <v>213000</v>
      </c>
      <c r="J188" s="76">
        <f t="shared" si="49"/>
        <v>193755.57</v>
      </c>
      <c r="K188" s="76">
        <f t="shared" si="49"/>
        <v>240000</v>
      </c>
      <c r="L188" s="77">
        <f t="shared" si="49"/>
        <v>151448.6</v>
      </c>
      <c r="M188" s="77">
        <f t="shared" si="49"/>
        <v>221768</v>
      </c>
      <c r="N188" s="78">
        <f t="shared" si="48"/>
        <v>558573.55000000005</v>
      </c>
      <c r="O188" s="78">
        <f t="shared" si="48"/>
        <v>674768</v>
      </c>
      <c r="P188" s="79">
        <f t="shared" si="32"/>
        <v>186191.18333333335</v>
      </c>
      <c r="Q188" s="79">
        <f t="shared" si="32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>ROUND(SUM(AB184:AB187),5)</f>
        <v>124797</v>
      </c>
      <c r="AC188" s="80">
        <f>ROUND(SUM(AC184:AC187),5)</f>
        <v>124797</v>
      </c>
      <c r="AD188" s="80">
        <f>ROUND(SUM(AD184:AD187),5)</f>
        <v>124797</v>
      </c>
      <c r="AE188" s="80">
        <f>ROUND(SUM(AE184:AE187),5)</f>
        <v>114797</v>
      </c>
      <c r="AF188" s="80">
        <f>ROUND(SUM(AF184:AF187),5)</f>
        <v>114797</v>
      </c>
      <c r="AH188"/>
    </row>
    <row r="189" spans="1:38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32"/>
        <v>0</v>
      </c>
      <c r="Q189" s="69">
        <f t="shared" si="32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66"/>
    </row>
    <row r="190" spans="1:38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32"/>
        <v>96804.536666666667</v>
      </c>
      <c r="Q190" s="74">
        <f t="shared" si="32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</row>
    <row r="191" spans="1:38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50">ROUND(SUM(H189:H190),5)</f>
        <v>61772.91</v>
      </c>
      <c r="I191" s="63">
        <f t="shared" si="50"/>
        <v>30000</v>
      </c>
      <c r="J191" s="64">
        <f t="shared" si="50"/>
        <v>114884.79</v>
      </c>
      <c r="K191" s="64">
        <f t="shared" si="50"/>
        <v>60000</v>
      </c>
      <c r="L191" s="65">
        <f t="shared" si="50"/>
        <v>113755.91</v>
      </c>
      <c r="M191" s="65">
        <f t="shared" si="50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32"/>
        <v>96804.536666666667</v>
      </c>
      <c r="Q191" s="69">
        <f t="shared" si="32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>ROUND(SUM(AB189:AB190),5)</f>
        <v>100000</v>
      </c>
      <c r="AC191" s="80">
        <f>ROUND(SUM(AC189:AC190),5)</f>
        <v>100000</v>
      </c>
      <c r="AD191" s="80">
        <f>ROUND(SUM(AD189:AD190),5)</f>
        <v>100000</v>
      </c>
      <c r="AE191" s="80">
        <f>ROUND(SUM(AE189:AE190),5)</f>
        <v>90000</v>
      </c>
      <c r="AF191" s="80">
        <f>ROUND(SUM(AF189:AF190),5)</f>
        <v>90000</v>
      </c>
    </row>
    <row r="192" spans="1:38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  <c r="AF192" s="66"/>
    </row>
    <row r="193" spans="1:34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51">ROUND(H193+J193+L193,5)</f>
        <v>333403.68</v>
      </c>
      <c r="O193" s="66">
        <f t="shared" si="51"/>
        <v>338929</v>
      </c>
      <c r="P193" s="69">
        <f t="shared" si="32"/>
        <v>111134.56</v>
      </c>
      <c r="Q193" s="69">
        <f t="shared" si="32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>ROUND(142010.17, 0)</f>
        <v>142010</v>
      </c>
      <c r="AC193" s="66">
        <f>ROUND(142010.17, 0)</f>
        <v>142010</v>
      </c>
      <c r="AD193" s="66">
        <f>ROUND(142010.17, 0)</f>
        <v>142010</v>
      </c>
      <c r="AE193" s="66">
        <f>ROUND(142010.17, 0)</f>
        <v>142010</v>
      </c>
      <c r="AF193" s="66">
        <f>ROUND(142010.17, 0)</f>
        <v>142010</v>
      </c>
    </row>
    <row r="194" spans="1:34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51"/>
        <v>694468.19</v>
      </c>
      <c r="O194" s="66">
        <f t="shared" si="51"/>
        <v>750379</v>
      </c>
      <c r="P194" s="69">
        <f t="shared" si="32"/>
        <v>231489.39666666664</v>
      </c>
      <c r="Q194" s="69">
        <f t="shared" si="32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</row>
    <row r="195" spans="1:34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51"/>
        <v>76944.899999999994</v>
      </c>
      <c r="O195" s="66">
        <f t="shared" si="51"/>
        <v>54756</v>
      </c>
      <c r="P195" s="69">
        <f t="shared" si="32"/>
        <v>25648.3</v>
      </c>
      <c r="Q195" s="69">
        <f t="shared" si="32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>(88*12)*25</f>
        <v>26400</v>
      </c>
      <c r="AC195" s="66">
        <f>(88*12)*25</f>
        <v>26400</v>
      </c>
      <c r="AD195" s="66">
        <f>(88*12)*25</f>
        <v>26400</v>
      </c>
      <c r="AE195" s="66">
        <f>(88*12)*25</f>
        <v>26400</v>
      </c>
      <c r="AF195" s="66">
        <f>(88*12)*25</f>
        <v>26400</v>
      </c>
      <c r="AH195" s="46" t="s">
        <v>849</v>
      </c>
    </row>
    <row r="196" spans="1:34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51"/>
        <v>582630.68999999994</v>
      </c>
      <c r="O196" s="66">
        <f t="shared" si="51"/>
        <v>470773.25</v>
      </c>
      <c r="P196" s="69">
        <f t="shared" si="32"/>
        <v>194210.22999999998</v>
      </c>
      <c r="Q196" s="69">
        <f t="shared" si="32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H196" s="110" t="s">
        <v>850</v>
      </c>
    </row>
    <row r="197" spans="1:34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51"/>
        <v>3315663.86</v>
      </c>
      <c r="O197" s="66">
        <f t="shared" si="51"/>
        <v>3738792</v>
      </c>
      <c r="P197" s="69">
        <f t="shared" si="32"/>
        <v>1105221.2866666666</v>
      </c>
      <c r="Q197" s="69">
        <f t="shared" si="32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</row>
    <row r="198" spans="1:34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52">ROUND(SUM(H192:H197),5)</f>
        <v>1617990.72</v>
      </c>
      <c r="I198" s="75">
        <f t="shared" si="52"/>
        <v>1764843.75</v>
      </c>
      <c r="J198" s="76">
        <f t="shared" si="52"/>
        <v>1649149.39</v>
      </c>
      <c r="K198" s="76">
        <f t="shared" si="52"/>
        <v>1716700</v>
      </c>
      <c r="L198" s="77">
        <f t="shared" si="52"/>
        <v>1735971.21</v>
      </c>
      <c r="M198" s="77">
        <f t="shared" si="52"/>
        <v>1872085.5</v>
      </c>
      <c r="N198" s="78">
        <f t="shared" si="51"/>
        <v>5003111.32</v>
      </c>
      <c r="O198" s="78">
        <f t="shared" si="51"/>
        <v>5353629.25</v>
      </c>
      <c r="P198" s="79">
        <f t="shared" si="32"/>
        <v>1667703.7733333334</v>
      </c>
      <c r="Q198" s="79">
        <f t="shared" si="32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>ROUND(SUM(AB192:AB197),5)</f>
        <v>1916936</v>
      </c>
      <c r="AC198" s="80">
        <f>ROUND(SUM(AC192:AC197),5)</f>
        <v>1916936</v>
      </c>
      <c r="AD198" s="80">
        <f>ROUND(SUM(AD192:AD197),5)</f>
        <v>1916936</v>
      </c>
      <c r="AE198" s="80">
        <f>ROUND(SUM(AE192:AE197),5)</f>
        <v>1916936</v>
      </c>
      <c r="AF198" s="80">
        <f>ROUND(SUM(AF192:AF197),5)</f>
        <v>1916936</v>
      </c>
      <c r="AH198" s="81"/>
    </row>
    <row r="199" spans="1:34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  <c r="AF199" s="66"/>
    </row>
    <row r="200" spans="1:34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53">N200/3</f>
        <v>5375.666666666667</v>
      </c>
      <c r="Q200" s="74">
        <f t="shared" si="53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H200" s="111"/>
    </row>
    <row r="201" spans="1:34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54">ROUND(SUM(H199:H200),5)</f>
        <v>5928</v>
      </c>
      <c r="I201" s="63">
        <f t="shared" si="54"/>
        <v>6321</v>
      </c>
      <c r="J201" s="64">
        <f t="shared" si="54"/>
        <v>4164</v>
      </c>
      <c r="K201" s="64">
        <f t="shared" si="54"/>
        <v>7265</v>
      </c>
      <c r="L201" s="65">
        <f t="shared" si="54"/>
        <v>6035</v>
      </c>
      <c r="M201" s="65">
        <f t="shared" si="54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53"/>
        <v>5375.666666666667</v>
      </c>
      <c r="Q201" s="69">
        <f t="shared" si="53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>ROUND(SUM(AB199:AB200),5)</f>
        <v>6980</v>
      </c>
      <c r="AC201" s="80">
        <f>ROUND(SUM(AC199:AC200),5)</f>
        <v>6980</v>
      </c>
      <c r="AD201" s="80">
        <f>ROUND(SUM(AD199:AD200),5)</f>
        <v>6980</v>
      </c>
      <c r="AE201" s="80">
        <f>ROUND(SUM(AE199:AE200),5)</f>
        <v>6980</v>
      </c>
      <c r="AF201" s="80">
        <f>ROUND(SUM(AF199:AF200),5)</f>
        <v>6980</v>
      </c>
      <c r="AH201" s="111"/>
    </row>
    <row r="202" spans="1:34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  <c r="AF202" s="66"/>
    </row>
    <row r="203" spans="1:34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53"/>
        <v>4066.6533333333332</v>
      </c>
      <c r="Q203" s="69">
        <f t="shared" si="53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</row>
    <row r="204" spans="1:34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53"/>
        <v>666.66666666666663</v>
      </c>
      <c r="Q204" s="69">
        <f t="shared" si="53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</row>
    <row r="205" spans="1:34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53"/>
        <v>330</v>
      </c>
      <c r="Q205" s="69">
        <f t="shared" si="53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</row>
    <row r="206" spans="1:34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53"/>
        <v>11731.87</v>
      </c>
      <c r="Q206" s="69">
        <f t="shared" si="53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</row>
    <row r="207" spans="1:34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55">ROUND(SUM(H202:H206),5)</f>
        <v>22749.62</v>
      </c>
      <c r="I207" s="75">
        <f t="shared" si="55"/>
        <v>7950</v>
      </c>
      <c r="J207" s="76">
        <f t="shared" si="55"/>
        <v>10219.52</v>
      </c>
      <c r="K207" s="76">
        <f t="shared" si="55"/>
        <v>2840</v>
      </c>
      <c r="L207" s="77">
        <f t="shared" si="55"/>
        <v>17416.43</v>
      </c>
      <c r="M207" s="77">
        <f t="shared" si="5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53"/>
        <v>16795.189999999999</v>
      </c>
      <c r="Q207" s="79">
        <f t="shared" si="53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>ROUND(SUM(AB202:AB206),5)</f>
        <v>12610</v>
      </c>
      <c r="AC207" s="80">
        <f>ROUND(SUM(AC202:AC206),5)</f>
        <v>12610</v>
      </c>
      <c r="AD207" s="80">
        <f>ROUND(SUM(AD202:AD206),5)</f>
        <v>12610</v>
      </c>
      <c r="AE207" s="80">
        <f>ROUND(SUM(AE202:AE206),5)</f>
        <v>12610</v>
      </c>
      <c r="AF207" s="80">
        <f>ROUND(SUM(AF202:AF206),5)</f>
        <v>12610</v>
      </c>
    </row>
    <row r="208" spans="1:34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  <c r="AF208" s="66"/>
    </row>
    <row r="209" spans="1:34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  <c r="AF209" s="66"/>
    </row>
    <row r="210" spans="1:34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53"/>
        <v>4434.333333333333</v>
      </c>
      <c r="Q210" s="69">
        <f t="shared" si="53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H210" s="46" t="s">
        <v>901</v>
      </c>
    </row>
    <row r="211" spans="1:34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53"/>
        <v>78916.666666666672</v>
      </c>
      <c r="Q211" s="69">
        <f t="shared" si="53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H211" s="46" t="s">
        <v>854</v>
      </c>
    </row>
    <row r="212" spans="1:34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53"/>
        <v>1180</v>
      </c>
      <c r="Q212" s="69">
        <f t="shared" si="53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</row>
    <row r="213" spans="1:34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53"/>
        <v>725696</v>
      </c>
      <c r="Q213" s="69">
        <f t="shared" si="53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H213" s="46" t="s">
        <v>853</v>
      </c>
    </row>
    <row r="214" spans="1:34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53"/>
        <v>114800</v>
      </c>
      <c r="Q214" s="69">
        <f t="shared" si="53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H214" s="46" t="s">
        <v>855</v>
      </c>
    </row>
    <row r="215" spans="1:34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56">ROUND(SUM(H209:H214),5)</f>
        <v>884166</v>
      </c>
      <c r="I215" s="75">
        <f t="shared" si="56"/>
        <v>788300</v>
      </c>
      <c r="J215" s="76">
        <f t="shared" si="56"/>
        <v>968225</v>
      </c>
      <c r="K215" s="76">
        <f t="shared" si="56"/>
        <v>966375</v>
      </c>
      <c r="L215" s="77">
        <f t="shared" si="56"/>
        <v>922690</v>
      </c>
      <c r="M215" s="77">
        <f t="shared" si="56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53"/>
        <v>925027</v>
      </c>
      <c r="Q215" s="79">
        <f t="shared" si="53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>ROUND(SUM(AB209:AB214),5)</f>
        <v>876000</v>
      </c>
      <c r="AC215" s="80">
        <f>ROUND(SUM(AC209:AC214),5)</f>
        <v>876000</v>
      </c>
      <c r="AD215" s="80">
        <f>ROUND(SUM(AD209:AD214),5)</f>
        <v>876000</v>
      </c>
      <c r="AE215" s="80">
        <f>ROUND(SUM(AE209:AE214),5)</f>
        <v>876000</v>
      </c>
      <c r="AF215" s="80">
        <f>ROUND(SUM(AF209:AF214),5)</f>
        <v>876000</v>
      </c>
      <c r="AH215" s="127">
        <f>AF215-AF423</f>
        <v>13546.099999999977</v>
      </c>
    </row>
    <row r="216" spans="1:34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F216" s="66"/>
      <c r="AH216" s="128" t="s">
        <v>952</v>
      </c>
    </row>
    <row r="217" spans="1:34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53"/>
        <v>4578.333333333333</v>
      </c>
      <c r="Q217" s="69">
        <f t="shared" si="53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</row>
    <row r="218" spans="1:34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53"/>
        <v>4578.333333333333</v>
      </c>
      <c r="Q218" s="79">
        <f t="shared" si="53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  <c r="AF218" s="86"/>
    </row>
    <row r="219" spans="1:34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57">ROUND(H208+H215+H218,5)</f>
        <v>884166</v>
      </c>
      <c r="I219" s="83">
        <f t="shared" si="57"/>
        <v>788300</v>
      </c>
      <c r="J219" s="84">
        <f t="shared" si="57"/>
        <v>981960</v>
      </c>
      <c r="K219" s="84">
        <f t="shared" si="57"/>
        <v>966375</v>
      </c>
      <c r="L219" s="85">
        <f t="shared" si="57"/>
        <v>922690</v>
      </c>
      <c r="M219" s="85">
        <f t="shared" si="57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53"/>
        <v>929605.33333333337</v>
      </c>
      <c r="Q219" s="87">
        <f t="shared" si="53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>ROUND(AB208+AB215+AB218,5)</f>
        <v>876000</v>
      </c>
      <c r="AC219" s="88">
        <f>ROUND(AC208+AC215+AC218,5)</f>
        <v>876000</v>
      </c>
      <c r="AD219" s="88">
        <f>ROUND(AD208+AD215+AD218,5)</f>
        <v>876000</v>
      </c>
      <c r="AE219" s="88">
        <f>ROUND(AE208+AE215+AE218,5)</f>
        <v>876000</v>
      </c>
      <c r="AF219" s="88">
        <f>ROUND(AF208+AF215+AF218,5)</f>
        <v>876000</v>
      </c>
    </row>
    <row r="220" spans="1:34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58">ROUND(H6+H183+H188+H191+H198+H201+H207+H219,5)</f>
        <v>4510004.6399999997</v>
      </c>
      <c r="I220" s="63">
        <f t="shared" si="58"/>
        <v>4835153.75</v>
      </c>
      <c r="J220" s="64">
        <f t="shared" si="58"/>
        <v>4937480.91</v>
      </c>
      <c r="K220" s="64">
        <f t="shared" si="58"/>
        <v>4877579.92</v>
      </c>
      <c r="L220" s="65">
        <f t="shared" si="58"/>
        <v>5214991.41</v>
      </c>
      <c r="M220" s="65">
        <f t="shared" si="58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53"/>
        <v>4887492.32</v>
      </c>
      <c r="Q220" s="69">
        <f t="shared" si="53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>ROUND(AB6+AB183+AB188+AB191+AB198+AB201+AB207+AB219,5)</f>
        <v>5311671.1100000003</v>
      </c>
      <c r="AC220" s="66">
        <f>ROUND(AC6+AC183+AC188+AC191+AC198+AC201+AC207+AC219,5)</f>
        <v>5311671.1100000003</v>
      </c>
      <c r="AD220" s="66">
        <f>ROUND(AD6+AD183+AD188+AD191+AD198+AD201+AD207+AD219,5)</f>
        <v>5376940.5099999998</v>
      </c>
      <c r="AE220" s="66">
        <f>ROUND(AE6+AE183+AE188+AE191+AE198+AE201+AE207+AE219,5)</f>
        <v>5356940.51</v>
      </c>
      <c r="AF220" s="66">
        <f>ROUND(AF6+AF183+AF188+AF191+AF198+AF201+AF207+AF219,5)</f>
        <v>5510132.2000000002</v>
      </c>
      <c r="AH220" s="111"/>
    </row>
    <row r="221" spans="1:34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  <c r="AF221" s="66"/>
    </row>
    <row r="222" spans="1:34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  <c r="AF222" s="66"/>
    </row>
    <row r="223" spans="1:34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59">ROUND(H223+J223+L223,5)</f>
        <v>14645.71</v>
      </c>
      <c r="O223" s="66">
        <f t="shared" si="59"/>
        <v>15644.98</v>
      </c>
      <c r="P223" s="69">
        <f t="shared" si="53"/>
        <v>4881.9033333333327</v>
      </c>
      <c r="Q223" s="69">
        <f t="shared" si="53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>ROUND(5691.67, 0)</f>
        <v>5692</v>
      </c>
      <c r="AC223" s="66">
        <f>ROUND(5691.67, 0)</f>
        <v>5692</v>
      </c>
      <c r="AD223" s="66">
        <f>ROUND(5691.67, 0)</f>
        <v>5692</v>
      </c>
      <c r="AE223" s="66">
        <f>ROUND(5691.67, 0)</f>
        <v>5692</v>
      </c>
      <c r="AF223" s="66">
        <f>ROUND(5691.67, 0)</f>
        <v>5692</v>
      </c>
    </row>
    <row r="224" spans="1:34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59"/>
        <v>3195.19</v>
      </c>
      <c r="O224" s="66">
        <f t="shared" si="59"/>
        <v>7437.44</v>
      </c>
      <c r="P224" s="69">
        <f t="shared" si="53"/>
        <v>1065.0633333333333</v>
      </c>
      <c r="Q224" s="69">
        <f t="shared" si="53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</row>
    <row r="225" spans="1:32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60">ROUND(SUM(H222:H224),5)</f>
        <v>5911.22</v>
      </c>
      <c r="I225" s="75">
        <f t="shared" si="60"/>
        <v>5833.45</v>
      </c>
      <c r="J225" s="76">
        <f t="shared" si="60"/>
        <v>5605.52</v>
      </c>
      <c r="K225" s="76">
        <f t="shared" si="60"/>
        <v>5849.17</v>
      </c>
      <c r="L225" s="77">
        <f t="shared" si="60"/>
        <v>6324.16</v>
      </c>
      <c r="M225" s="77">
        <f t="shared" si="60"/>
        <v>11399.8</v>
      </c>
      <c r="N225" s="78">
        <f t="shared" si="59"/>
        <v>17840.900000000001</v>
      </c>
      <c r="O225" s="78">
        <f t="shared" si="59"/>
        <v>23082.42</v>
      </c>
      <c r="P225" s="79">
        <f t="shared" si="53"/>
        <v>5946.9666666666672</v>
      </c>
      <c r="Q225" s="79">
        <f t="shared" si="53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>ROUND(SUM(AB222:AB224),5)</f>
        <v>9040</v>
      </c>
      <c r="AC225" s="80">
        <f>ROUND(SUM(AC222:AC224),5)</f>
        <v>9040</v>
      </c>
      <c r="AD225" s="80">
        <f>ROUND(SUM(AD222:AD224),5)</f>
        <v>9040</v>
      </c>
      <c r="AE225" s="80">
        <f>ROUND(SUM(AE222:AE224),5)</f>
        <v>9040</v>
      </c>
      <c r="AF225" s="80">
        <f>ROUND(SUM(AF222:AF224),5)</f>
        <v>9040</v>
      </c>
    </row>
    <row r="226" spans="1:32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  <c r="AF226" s="66"/>
    </row>
    <row r="227" spans="1:32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>AE9*0.2</f>
        <v>205210.84</v>
      </c>
      <c r="AF227" s="66">
        <f>AF9*0.2</f>
        <v>205210.84</v>
      </c>
    </row>
    <row r="228" spans="1:32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53"/>
        <v>621.57000000000005</v>
      </c>
      <c r="Q228" s="69">
        <f t="shared" si="53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  <c r="AF228" s="66"/>
    </row>
    <row r="229" spans="1:32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53"/>
        <v>0</v>
      </c>
      <c r="Q229" s="69">
        <f t="shared" si="53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  <c r="AF229" s="66"/>
    </row>
    <row r="230" spans="1:32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61">ROUND(H230+J230+L230,5)</f>
        <v>160678.19</v>
      </c>
      <c r="O230" s="66">
        <f t="shared" si="61"/>
        <v>76847.710000000006</v>
      </c>
      <c r="P230" s="69">
        <f t="shared" si="53"/>
        <v>53559.396666666667</v>
      </c>
      <c r="Q230" s="69">
        <f t="shared" si="53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  <c r="AF230" s="66"/>
    </row>
    <row r="231" spans="1:32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61"/>
        <v>4393.6000000000004</v>
      </c>
      <c r="O231" s="66">
        <f t="shared" si="61"/>
        <v>3748.32</v>
      </c>
      <c r="P231" s="69">
        <f t="shared" si="53"/>
        <v>1464.5333333333335</v>
      </c>
      <c r="Q231" s="69">
        <f t="shared" si="53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  <c r="AF231" s="66"/>
    </row>
    <row r="232" spans="1:32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61"/>
        <v>3931.71</v>
      </c>
      <c r="O232" s="66">
        <f t="shared" si="61"/>
        <v>1056.04</v>
      </c>
      <c r="P232" s="69">
        <f t="shared" si="53"/>
        <v>1310.57</v>
      </c>
      <c r="Q232" s="69">
        <f t="shared" si="53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  <c r="AF232" s="66"/>
    </row>
    <row r="233" spans="1:32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61"/>
        <v>1953.44</v>
      </c>
      <c r="O233" s="73">
        <f t="shared" si="61"/>
        <v>100</v>
      </c>
      <c r="P233" s="74">
        <f t="shared" si="53"/>
        <v>651.14666666666665</v>
      </c>
      <c r="Q233" s="74">
        <f t="shared" si="53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  <c r="AF233" s="73"/>
    </row>
    <row r="234" spans="1:32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62">ROUND(SUM(H229:H233),5)</f>
        <v>66004.350000000006</v>
      </c>
      <c r="I234" s="63">
        <f t="shared" si="62"/>
        <v>0</v>
      </c>
      <c r="J234" s="64">
        <f t="shared" si="62"/>
        <v>53975.49</v>
      </c>
      <c r="K234" s="64">
        <f t="shared" si="62"/>
        <v>13281.84</v>
      </c>
      <c r="L234" s="65">
        <f t="shared" si="62"/>
        <v>50977.1</v>
      </c>
      <c r="M234" s="65">
        <f t="shared" si="62"/>
        <v>68470.23</v>
      </c>
      <c r="N234" s="66">
        <f t="shared" si="61"/>
        <v>170956.94</v>
      </c>
      <c r="O234" s="66">
        <f t="shared" si="61"/>
        <v>81752.070000000007</v>
      </c>
      <c r="P234" s="69">
        <f t="shared" si="53"/>
        <v>56985.646666666667</v>
      </c>
      <c r="Q234" s="69">
        <f t="shared" si="53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>ROUND(SUM(AB229:AB233),5)</f>
        <v>0</v>
      </c>
      <c r="AC234" s="66">
        <f>ROUND(SUM(AC229:AC233),5)</f>
        <v>0</v>
      </c>
      <c r="AD234" s="66">
        <f>ROUND(SUM(AD229:AD233),5)</f>
        <v>0</v>
      </c>
      <c r="AE234" s="66">
        <f>ROUND(SUM(AE229:AE233),5)</f>
        <v>0</v>
      </c>
      <c r="AF234" s="66">
        <f>ROUND(SUM(AF229:AF233),5)</f>
        <v>0</v>
      </c>
    </row>
    <row r="235" spans="1:32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  <c r="AF235" s="66"/>
    </row>
    <row r="236" spans="1:32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63">ROUND(H236+J236+L236,5)</f>
        <v>10300.370000000001</v>
      </c>
      <c r="O236" s="66">
        <f t="shared" si="63"/>
        <v>7978.18</v>
      </c>
      <c r="P236" s="69">
        <f t="shared" si="53"/>
        <v>3433.4566666666669</v>
      </c>
      <c r="Q236" s="69">
        <f t="shared" si="53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  <c r="AF236" s="66"/>
    </row>
    <row r="237" spans="1:32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63"/>
        <v>265.04000000000002</v>
      </c>
      <c r="O237" s="66">
        <f t="shared" si="63"/>
        <v>2079.58</v>
      </c>
      <c r="P237" s="69">
        <f t="shared" si="53"/>
        <v>88.346666666666678</v>
      </c>
      <c r="Q237" s="69">
        <f t="shared" si="53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  <c r="AF237" s="66"/>
    </row>
    <row r="238" spans="1:32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63"/>
        <v>291.58999999999997</v>
      </c>
      <c r="O238" s="66">
        <f t="shared" si="63"/>
        <v>6330.08</v>
      </c>
      <c r="P238" s="69">
        <f t="shared" si="53"/>
        <v>97.196666666666658</v>
      </c>
      <c r="Q238" s="69">
        <f t="shared" si="53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  <c r="AF238" s="66"/>
    </row>
    <row r="239" spans="1:32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63"/>
        <v>1002.62</v>
      </c>
      <c r="O239" s="66">
        <f t="shared" si="63"/>
        <v>3299.3</v>
      </c>
      <c r="P239" s="69">
        <f t="shared" si="53"/>
        <v>334.20666666666665</v>
      </c>
      <c r="Q239" s="69">
        <f t="shared" si="53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  <c r="AF239" s="66"/>
    </row>
    <row r="240" spans="1:32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63"/>
        <v>384.28</v>
      </c>
      <c r="O240" s="66">
        <f t="shared" si="63"/>
        <v>0</v>
      </c>
      <c r="P240" s="69">
        <f t="shared" si="53"/>
        <v>128.09333333333333</v>
      </c>
      <c r="Q240" s="69">
        <f t="shared" si="53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  <c r="AF240" s="66"/>
    </row>
    <row r="241" spans="1:32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63"/>
        <v>1703.01</v>
      </c>
      <c r="O241" s="66">
        <f t="shared" si="63"/>
        <v>6458.46</v>
      </c>
      <c r="P241" s="69">
        <f t="shared" si="53"/>
        <v>567.66999999999996</v>
      </c>
      <c r="Q241" s="69">
        <f t="shared" si="53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  <c r="AF241" s="66"/>
    </row>
    <row r="242" spans="1:32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63"/>
        <v>844.98</v>
      </c>
      <c r="O242" s="66">
        <f t="shared" si="63"/>
        <v>4878.88</v>
      </c>
      <c r="P242" s="69">
        <f t="shared" si="53"/>
        <v>281.66000000000003</v>
      </c>
      <c r="Q242" s="69">
        <f t="shared" si="53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  <c r="AF242" s="66"/>
    </row>
    <row r="243" spans="1:32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63"/>
        <v>952.7</v>
      </c>
      <c r="O243" s="66">
        <f t="shared" si="63"/>
        <v>759.86</v>
      </c>
      <c r="P243" s="69">
        <f t="shared" si="53"/>
        <v>317.56666666666666</v>
      </c>
      <c r="Q243" s="69">
        <f t="shared" si="53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  <c r="AF243" s="66"/>
    </row>
    <row r="244" spans="1:32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63"/>
        <v>-279.7</v>
      </c>
      <c r="O244" s="66">
        <v>0</v>
      </c>
      <c r="P244" s="69">
        <f t="shared" si="53"/>
        <v>-93.233333333333334</v>
      </c>
      <c r="Q244" s="69">
        <f t="shared" si="53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  <c r="AF244" s="66"/>
    </row>
    <row r="245" spans="1:32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63"/>
        <v>2068.73</v>
      </c>
      <c r="O245" s="66">
        <f>ROUND(I245+K245+M245,5)</f>
        <v>600</v>
      </c>
      <c r="P245" s="69">
        <f t="shared" si="53"/>
        <v>689.57666666666671</v>
      </c>
      <c r="Q245" s="69">
        <f t="shared" si="53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  <c r="AF245" s="66"/>
    </row>
    <row r="246" spans="1:32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63"/>
        <v>126.77</v>
      </c>
      <c r="O246" s="66">
        <f>ROUND(I246+K246+M246,5)</f>
        <v>100</v>
      </c>
      <c r="P246" s="69">
        <f t="shared" si="53"/>
        <v>42.256666666666668</v>
      </c>
      <c r="Q246" s="69">
        <f t="shared" si="53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  <c r="AF246" s="66"/>
    </row>
    <row r="247" spans="1:32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63"/>
        <v>4683.93</v>
      </c>
      <c r="O247" s="66">
        <f>ROUND(I247+K247+M247,5)</f>
        <v>7118.32</v>
      </c>
      <c r="P247" s="69">
        <f t="shared" si="53"/>
        <v>1561.3100000000002</v>
      </c>
      <c r="Q247" s="69">
        <f t="shared" si="53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  <c r="AF247" s="66"/>
    </row>
    <row r="248" spans="1:32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63"/>
        <v>2913.09</v>
      </c>
      <c r="O248" s="66">
        <f>ROUND(I248+K248+M248,5)</f>
        <v>4719.0200000000004</v>
      </c>
      <c r="P248" s="69">
        <f t="shared" si="53"/>
        <v>971.03000000000009</v>
      </c>
      <c r="Q248" s="69">
        <f t="shared" si="53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  <c r="AF248" s="66"/>
    </row>
    <row r="249" spans="1:32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63"/>
        <v>4608.63</v>
      </c>
      <c r="O249" s="66">
        <f>ROUND(I249+K249+M249,5)</f>
        <v>1619.72</v>
      </c>
      <c r="P249" s="69">
        <f t="shared" si="53"/>
        <v>1536.21</v>
      </c>
      <c r="Q249" s="69">
        <f t="shared" si="53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  <c r="AF249" s="66"/>
    </row>
    <row r="250" spans="1:32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63"/>
        <v>78.989999999999995</v>
      </c>
      <c r="O250" s="66">
        <v>0</v>
      </c>
      <c r="P250" s="69">
        <f t="shared" si="53"/>
        <v>26.33</v>
      </c>
      <c r="Q250" s="69">
        <f t="shared" si="53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  <c r="AF250" s="66"/>
    </row>
    <row r="251" spans="1:32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63"/>
        <v>0</v>
      </c>
      <c r="O251" s="66">
        <f>ROUND(I251+K251+M251,5)</f>
        <v>1219.72</v>
      </c>
      <c r="P251" s="69">
        <f t="shared" si="53"/>
        <v>0</v>
      </c>
      <c r="Q251" s="69">
        <f t="shared" si="53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  <c r="AF251" s="66"/>
    </row>
    <row r="252" spans="1:32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64">ROUND(H252+J252+L252,5)</f>
        <v>469.32</v>
      </c>
      <c r="O252" s="66">
        <f>ROUND(I252+K252+M252,5)</f>
        <v>356.04</v>
      </c>
      <c r="P252" s="69">
        <f t="shared" si="53"/>
        <v>156.44</v>
      </c>
      <c r="Q252" s="69">
        <f t="shared" si="53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  <c r="AF252" s="66"/>
    </row>
    <row r="253" spans="1:32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64"/>
        <v>0</v>
      </c>
      <c r="O253" s="66">
        <f>ROUND(I253+K253+M253,5)</f>
        <v>1524.16</v>
      </c>
      <c r="P253" s="69">
        <f t="shared" si="53"/>
        <v>0</v>
      </c>
      <c r="Q253" s="69">
        <f t="shared" si="53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  <c r="AF253" s="66"/>
    </row>
    <row r="254" spans="1:32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64"/>
        <v>295.95</v>
      </c>
      <c r="O254" s="66">
        <v>0</v>
      </c>
      <c r="P254" s="69">
        <f t="shared" si="53"/>
        <v>98.649999999999991</v>
      </c>
      <c r="Q254" s="69">
        <f t="shared" si="53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  <c r="AF254" s="66"/>
    </row>
    <row r="255" spans="1:32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64"/>
        <v>0</v>
      </c>
      <c r="O255" s="66">
        <f>ROUND(I255+K255+M255,5)</f>
        <v>0</v>
      </c>
      <c r="P255" s="69">
        <f t="shared" si="53"/>
        <v>0</v>
      </c>
      <c r="Q255" s="69">
        <f t="shared" si="53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  <c r="AF255" s="66"/>
    </row>
    <row r="256" spans="1:32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64"/>
        <v>0</v>
      </c>
      <c r="O256" s="73">
        <f>ROUND(I256+K256+M256,5)</f>
        <v>0</v>
      </c>
      <c r="P256" s="74">
        <f t="shared" si="53"/>
        <v>0</v>
      </c>
      <c r="Q256" s="74">
        <f t="shared" si="53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  <c r="AF256" s="73"/>
    </row>
    <row r="257" spans="1:32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65">ROUND(SUM(H235:H256),5)</f>
        <v>9952.77</v>
      </c>
      <c r="I257" s="63">
        <f t="shared" si="65"/>
        <v>0</v>
      </c>
      <c r="J257" s="64">
        <f t="shared" si="65"/>
        <v>12257.65</v>
      </c>
      <c r="K257" s="64">
        <f t="shared" si="65"/>
        <v>43741.32</v>
      </c>
      <c r="L257" s="65">
        <f t="shared" si="65"/>
        <v>8499.8799999999992</v>
      </c>
      <c r="M257" s="65">
        <f t="shared" si="65"/>
        <v>5300</v>
      </c>
      <c r="N257" s="66">
        <f t="shared" si="64"/>
        <v>30710.3</v>
      </c>
      <c r="O257" s="66">
        <f>ROUND(I257+K257+M257,5)</f>
        <v>49041.32</v>
      </c>
      <c r="P257" s="69">
        <f t="shared" si="53"/>
        <v>10236.766666666666</v>
      </c>
      <c r="Q257" s="69">
        <f t="shared" si="53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>ROUND(SUM(AB235:AB256),5)</f>
        <v>0</v>
      </c>
      <c r="AC257" s="66">
        <f>ROUND(SUM(AC235:AC256),5)</f>
        <v>0</v>
      </c>
      <c r="AD257" s="66">
        <f>ROUND(SUM(AD235:AD256),5)</f>
        <v>0</v>
      </c>
      <c r="AE257" s="66">
        <f>ROUND(SUM(AE235:AE256),5)</f>
        <v>0</v>
      </c>
      <c r="AF257" s="66">
        <f>ROUND(SUM(AF235:AF256),5)</f>
        <v>0</v>
      </c>
    </row>
    <row r="258" spans="1:32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53"/>
        <v>0</v>
      </c>
      <c r="Q258" s="69">
        <f t="shared" si="53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  <c r="AF258" s="66"/>
    </row>
    <row r="259" spans="1:32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66">ROUND(H259+J259+L259,5)</f>
        <v>292.07</v>
      </c>
      <c r="O259" s="66">
        <f t="shared" si="66"/>
        <v>3559.16</v>
      </c>
      <c r="P259" s="69">
        <f t="shared" si="53"/>
        <v>97.356666666666669</v>
      </c>
      <c r="Q259" s="69">
        <f t="shared" si="53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  <c r="AF259" s="66"/>
    </row>
    <row r="260" spans="1:32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66"/>
        <v>0</v>
      </c>
      <c r="O260" s="66">
        <f t="shared" si="66"/>
        <v>0</v>
      </c>
      <c r="P260" s="69">
        <f t="shared" ref="P260:Q323" si="67">N260/3</f>
        <v>0</v>
      </c>
      <c r="Q260" s="69">
        <f t="shared" si="67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  <c r="AF260" s="66"/>
    </row>
    <row r="261" spans="1:32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66"/>
        <v>414.94</v>
      </c>
      <c r="O261" s="66">
        <f t="shared" si="66"/>
        <v>1624.16</v>
      </c>
      <c r="P261" s="69">
        <f t="shared" si="67"/>
        <v>138.31333333333333</v>
      </c>
      <c r="Q261" s="69">
        <f t="shared" si="67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  <c r="AF261" s="66"/>
    </row>
    <row r="262" spans="1:32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66"/>
        <v>0</v>
      </c>
      <c r="O262" s="73">
        <f t="shared" si="66"/>
        <v>0</v>
      </c>
      <c r="P262" s="74">
        <f t="shared" si="67"/>
        <v>0</v>
      </c>
      <c r="Q262" s="74">
        <f t="shared" si="67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  <c r="AF262" s="73"/>
    </row>
    <row r="263" spans="1:32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68">ROUND(SUM(H258:H262),5)</f>
        <v>414.94</v>
      </c>
      <c r="I263" s="63">
        <f t="shared" si="68"/>
        <v>0</v>
      </c>
      <c r="J263" s="64">
        <f t="shared" si="68"/>
        <v>73.44</v>
      </c>
      <c r="K263" s="64">
        <f t="shared" si="68"/>
        <v>4783.32</v>
      </c>
      <c r="L263" s="65">
        <f t="shared" si="68"/>
        <v>218.63</v>
      </c>
      <c r="M263" s="65">
        <f t="shared" si="68"/>
        <v>400</v>
      </c>
      <c r="N263" s="66">
        <f t="shared" si="66"/>
        <v>707.01</v>
      </c>
      <c r="O263" s="66">
        <f t="shared" si="66"/>
        <v>5183.32</v>
      </c>
      <c r="P263" s="69">
        <f t="shared" si="67"/>
        <v>235.67</v>
      </c>
      <c r="Q263" s="69">
        <f t="shared" si="67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>ROUND(SUM(AB258:AB262),5)</f>
        <v>0</v>
      </c>
      <c r="AC263" s="66">
        <f>ROUND(SUM(AC258:AC262),5)</f>
        <v>0</v>
      </c>
      <c r="AD263" s="66">
        <f>ROUND(SUM(AD258:AD262),5)</f>
        <v>0</v>
      </c>
      <c r="AE263" s="66">
        <f>ROUND(SUM(AE258:AE262),5)</f>
        <v>0</v>
      </c>
      <c r="AF263" s="66">
        <f>ROUND(SUM(AF258:AF262),5)</f>
        <v>0</v>
      </c>
    </row>
    <row r="264" spans="1:32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  <c r="AF264" s="66"/>
    </row>
    <row r="265" spans="1:32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69">ROUND(H265+J265+L265,5)</f>
        <v>9233.0499999999993</v>
      </c>
      <c r="O265" s="66">
        <f t="shared" si="69"/>
        <v>5438.74</v>
      </c>
      <c r="P265" s="69">
        <f t="shared" si="67"/>
        <v>3077.6833333333329</v>
      </c>
      <c r="Q265" s="69">
        <f t="shared" si="67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  <c r="AF265" s="66"/>
    </row>
    <row r="266" spans="1:32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69"/>
        <v>173.59</v>
      </c>
      <c r="O266" s="66">
        <f t="shared" si="69"/>
        <v>2539.44</v>
      </c>
      <c r="P266" s="69">
        <f t="shared" si="67"/>
        <v>57.863333333333337</v>
      </c>
      <c r="Q266" s="69">
        <f t="shared" si="67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  <c r="AF266" s="66"/>
    </row>
    <row r="267" spans="1:32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69"/>
        <v>99.76</v>
      </c>
      <c r="O267" s="66">
        <f t="shared" si="69"/>
        <v>1980.2</v>
      </c>
      <c r="P267" s="69">
        <f t="shared" si="67"/>
        <v>33.253333333333337</v>
      </c>
      <c r="Q267" s="69">
        <f t="shared" si="67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  <c r="AF267" s="66"/>
    </row>
    <row r="268" spans="1:32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69"/>
        <v>2756.34</v>
      </c>
      <c r="O268" s="66">
        <f t="shared" si="69"/>
        <v>956.04</v>
      </c>
      <c r="P268" s="69">
        <f t="shared" si="67"/>
        <v>918.78000000000009</v>
      </c>
      <c r="Q268" s="69">
        <f t="shared" si="67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  <c r="AF268" s="66"/>
    </row>
    <row r="269" spans="1:32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69"/>
        <v>62</v>
      </c>
      <c r="O269" s="66">
        <f t="shared" si="69"/>
        <v>718</v>
      </c>
      <c r="P269" s="69">
        <f t="shared" si="67"/>
        <v>20.666666666666668</v>
      </c>
      <c r="Q269" s="69">
        <f t="shared" si="67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  <c r="AF269" s="66"/>
    </row>
    <row r="270" spans="1:32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69"/>
        <v>5017.79</v>
      </c>
      <c r="O270" s="66">
        <f t="shared" si="69"/>
        <v>1535.1</v>
      </c>
      <c r="P270" s="69">
        <f t="shared" si="67"/>
        <v>1672.5966666666666</v>
      </c>
      <c r="Q270" s="69">
        <f t="shared" si="67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  <c r="AF270" s="66"/>
    </row>
    <row r="271" spans="1:32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69"/>
        <v>0</v>
      </c>
      <c r="O271" s="66">
        <f t="shared" si="69"/>
        <v>1880.2</v>
      </c>
      <c r="P271" s="69">
        <f t="shared" si="67"/>
        <v>0</v>
      </c>
      <c r="Q271" s="69">
        <f t="shared" si="67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  <c r="AF271" s="66"/>
    </row>
    <row r="272" spans="1:32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69"/>
        <v>1851.6</v>
      </c>
      <c r="O272" s="66">
        <f t="shared" si="69"/>
        <v>1624.16</v>
      </c>
      <c r="P272" s="69">
        <f t="shared" si="67"/>
        <v>617.19999999999993</v>
      </c>
      <c r="Q272" s="69">
        <f t="shared" si="67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  <c r="AF272" s="66"/>
    </row>
    <row r="273" spans="1:32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69"/>
        <v>0</v>
      </c>
      <c r="O273" s="66">
        <f t="shared" si="69"/>
        <v>6709.32</v>
      </c>
      <c r="P273" s="69">
        <f t="shared" si="67"/>
        <v>0</v>
      </c>
      <c r="Q273" s="69">
        <f t="shared" si="67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  <c r="AF273" s="66"/>
    </row>
    <row r="274" spans="1:32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69"/>
        <v>0</v>
      </c>
      <c r="O274" s="66">
        <f t="shared" si="69"/>
        <v>1983.36</v>
      </c>
      <c r="P274" s="69">
        <f t="shared" si="67"/>
        <v>0</v>
      </c>
      <c r="Q274" s="69">
        <f t="shared" si="67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  <c r="AF274" s="66"/>
    </row>
    <row r="275" spans="1:32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69"/>
        <v>0</v>
      </c>
      <c r="O275" s="66">
        <f t="shared" si="69"/>
        <v>4759.01</v>
      </c>
      <c r="P275" s="69">
        <f t="shared" si="67"/>
        <v>0</v>
      </c>
      <c r="Q275" s="69">
        <f t="shared" si="67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  <c r="AF275" s="66"/>
    </row>
    <row r="276" spans="1:32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69"/>
        <v>8987.11</v>
      </c>
      <c r="O276" s="66">
        <f t="shared" si="69"/>
        <v>17088.16</v>
      </c>
      <c r="P276" s="69">
        <f t="shared" si="67"/>
        <v>2995.7033333333334</v>
      </c>
      <c r="Q276" s="69">
        <f t="shared" si="67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  <c r="AF276" s="66"/>
    </row>
    <row r="277" spans="1:32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69"/>
        <v>170.91</v>
      </c>
      <c r="O277" s="66">
        <f t="shared" si="69"/>
        <v>4097.04</v>
      </c>
      <c r="P277" s="69">
        <f t="shared" si="67"/>
        <v>56.97</v>
      </c>
      <c r="Q277" s="69">
        <f t="shared" si="67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  <c r="AF277" s="66"/>
    </row>
    <row r="278" spans="1:32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69"/>
        <v>1914.86</v>
      </c>
      <c r="O278" s="66">
        <f t="shared" si="69"/>
        <v>1668.12</v>
      </c>
      <c r="P278" s="69">
        <f t="shared" si="67"/>
        <v>638.28666666666663</v>
      </c>
      <c r="Q278" s="69">
        <f t="shared" si="67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  <c r="AF278" s="66"/>
    </row>
    <row r="279" spans="1:32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69"/>
        <v>581.79999999999995</v>
      </c>
      <c r="O279" s="73">
        <f t="shared" si="69"/>
        <v>0</v>
      </c>
      <c r="P279" s="74">
        <f t="shared" si="67"/>
        <v>193.93333333333331</v>
      </c>
      <c r="Q279" s="74">
        <f t="shared" si="67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  <c r="AF279" s="73"/>
    </row>
    <row r="280" spans="1:32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70">ROUND(SUM(H264:H279),5)</f>
        <v>11247.41</v>
      </c>
      <c r="I280" s="63">
        <f t="shared" si="70"/>
        <v>0</v>
      </c>
      <c r="J280" s="64">
        <f t="shared" si="70"/>
        <v>13538.34</v>
      </c>
      <c r="K280" s="64">
        <f t="shared" si="70"/>
        <v>43816.14</v>
      </c>
      <c r="L280" s="65">
        <f t="shared" si="70"/>
        <v>6063.06</v>
      </c>
      <c r="M280" s="65">
        <f t="shared" si="70"/>
        <v>9160.75</v>
      </c>
      <c r="N280" s="66">
        <f t="shared" si="69"/>
        <v>30848.81</v>
      </c>
      <c r="O280" s="66">
        <f t="shared" si="69"/>
        <v>52976.89</v>
      </c>
      <c r="P280" s="69">
        <f t="shared" si="67"/>
        <v>10282.936666666666</v>
      </c>
      <c r="Q280" s="69">
        <f t="shared" si="67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>ROUND(SUM(AB264:AB279),5)</f>
        <v>0</v>
      </c>
      <c r="AC280" s="66">
        <f>ROUND(SUM(AC264:AC279),5)</f>
        <v>0</v>
      </c>
      <c r="AD280" s="66">
        <f>ROUND(SUM(AD264:AD279),5)</f>
        <v>0</v>
      </c>
      <c r="AE280" s="66">
        <f>ROUND(SUM(AE264:AE279),5)</f>
        <v>0</v>
      </c>
      <c r="AF280" s="66">
        <f>ROUND(SUM(AF264:AF279),5)</f>
        <v>0</v>
      </c>
    </row>
    <row r="281" spans="1:32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67"/>
        <v>0</v>
      </c>
      <c r="Q281" s="69">
        <f t="shared" si="67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  <c r="AF281" s="66"/>
    </row>
    <row r="282" spans="1:32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71">ROUND(H282+J282+L282,5)</f>
        <v>9840.1</v>
      </c>
      <c r="O282" s="66">
        <f t="shared" si="71"/>
        <v>6658.46</v>
      </c>
      <c r="P282" s="69">
        <f t="shared" si="67"/>
        <v>3280.0333333333333</v>
      </c>
      <c r="Q282" s="69">
        <f t="shared" si="67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  <c r="AF282" s="66"/>
    </row>
    <row r="283" spans="1:32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71"/>
        <v>9035.52</v>
      </c>
      <c r="O283" s="66">
        <f t="shared" si="71"/>
        <v>7418.32</v>
      </c>
      <c r="P283" s="69">
        <f t="shared" si="67"/>
        <v>3011.84</v>
      </c>
      <c r="Q283" s="69">
        <f t="shared" si="67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  <c r="AF283" s="66"/>
    </row>
    <row r="284" spans="1:32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71"/>
        <v>0</v>
      </c>
      <c r="O284" s="66">
        <f t="shared" si="71"/>
        <v>656.04</v>
      </c>
      <c r="P284" s="69">
        <f t="shared" si="67"/>
        <v>0</v>
      </c>
      <c r="Q284" s="69">
        <f t="shared" si="67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  <c r="AF284" s="66"/>
    </row>
    <row r="285" spans="1:32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71"/>
        <v>2620.06</v>
      </c>
      <c r="O285" s="66">
        <f t="shared" si="71"/>
        <v>7118.32</v>
      </c>
      <c r="P285" s="69">
        <f t="shared" si="67"/>
        <v>873.35333333333335</v>
      </c>
      <c r="Q285" s="69">
        <f t="shared" si="67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  <c r="AF285" s="66"/>
    </row>
    <row r="286" spans="1:32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71"/>
        <v>2099.5700000000002</v>
      </c>
      <c r="O286" s="66">
        <f t="shared" si="71"/>
        <v>1012.08</v>
      </c>
      <c r="P286" s="69">
        <f t="shared" si="67"/>
        <v>699.85666666666668</v>
      </c>
      <c r="Q286" s="69">
        <f t="shared" si="67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  <c r="AF286" s="66"/>
    </row>
    <row r="287" spans="1:32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71"/>
        <v>1066.75</v>
      </c>
      <c r="O287" s="73">
        <f t="shared" si="71"/>
        <v>6918.32</v>
      </c>
      <c r="P287" s="74">
        <f t="shared" si="67"/>
        <v>355.58333333333331</v>
      </c>
      <c r="Q287" s="74">
        <f t="shared" si="67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  <c r="AF287" s="73"/>
    </row>
    <row r="288" spans="1:32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72">ROUND(SUM(H281:H287),5)</f>
        <v>5366.39</v>
      </c>
      <c r="I288" s="63">
        <f t="shared" si="72"/>
        <v>0</v>
      </c>
      <c r="J288" s="64">
        <f t="shared" si="72"/>
        <v>9447.02</v>
      </c>
      <c r="K288" s="64">
        <f t="shared" si="72"/>
        <v>27381.54</v>
      </c>
      <c r="L288" s="65">
        <f t="shared" si="72"/>
        <v>9848.59</v>
      </c>
      <c r="M288" s="65">
        <f t="shared" si="72"/>
        <v>2400</v>
      </c>
      <c r="N288" s="66">
        <f t="shared" si="71"/>
        <v>24662</v>
      </c>
      <c r="O288" s="66">
        <f t="shared" si="71"/>
        <v>29781.54</v>
      </c>
      <c r="P288" s="69">
        <f t="shared" si="67"/>
        <v>8220.6666666666661</v>
      </c>
      <c r="Q288" s="69">
        <f t="shared" si="67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>ROUND(SUM(AB281:AB287),5)</f>
        <v>0</v>
      </c>
      <c r="AC288" s="66">
        <f>ROUND(SUM(AC281:AC287),5)</f>
        <v>0</v>
      </c>
      <c r="AD288" s="66">
        <f>ROUND(SUM(AD281:AD287),5)</f>
        <v>0</v>
      </c>
      <c r="AE288" s="66">
        <f>ROUND(SUM(AE281:AE287),5)</f>
        <v>0</v>
      </c>
      <c r="AF288" s="66">
        <f>ROUND(SUM(AF281:AF287),5)</f>
        <v>0</v>
      </c>
    </row>
    <row r="289" spans="1:32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  <c r="AF289" s="66"/>
    </row>
    <row r="290" spans="1:32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73">ROUND(H290+J290+L290,5)</f>
        <v>513.95000000000005</v>
      </c>
      <c r="O290" s="66">
        <f t="shared" si="73"/>
        <v>300</v>
      </c>
      <c r="P290" s="69">
        <f t="shared" si="67"/>
        <v>171.31666666666669</v>
      </c>
      <c r="Q290" s="69">
        <f t="shared" si="67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  <c r="AF290" s="66"/>
    </row>
    <row r="291" spans="1:32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73"/>
        <v>5543.87</v>
      </c>
      <c r="O291" s="66">
        <f t="shared" si="73"/>
        <v>800</v>
      </c>
      <c r="P291" s="69">
        <f t="shared" si="67"/>
        <v>1847.9566666666667</v>
      </c>
      <c r="Q291" s="69">
        <f t="shared" si="67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  <c r="AF291" s="66"/>
    </row>
    <row r="292" spans="1:32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73"/>
        <v>0</v>
      </c>
      <c r="O292" s="66">
        <f t="shared" si="73"/>
        <v>6718.32</v>
      </c>
      <c r="P292" s="69">
        <f t="shared" si="67"/>
        <v>0</v>
      </c>
      <c r="Q292" s="69">
        <f t="shared" si="67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  <c r="AF292" s="66"/>
    </row>
    <row r="293" spans="1:32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73"/>
        <v>1829.97</v>
      </c>
      <c r="O293" s="66">
        <f t="shared" si="73"/>
        <v>400</v>
      </c>
      <c r="P293" s="69">
        <f t="shared" si="67"/>
        <v>609.99</v>
      </c>
      <c r="Q293" s="69">
        <f t="shared" si="67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  <c r="AF293" s="66"/>
    </row>
    <row r="294" spans="1:32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73"/>
        <v>574.11</v>
      </c>
      <c r="O294" s="66">
        <f t="shared" si="73"/>
        <v>200</v>
      </c>
      <c r="P294" s="69">
        <f t="shared" si="67"/>
        <v>191.37</v>
      </c>
      <c r="Q294" s="69">
        <f t="shared" si="67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  <c r="AF294" s="66"/>
    </row>
    <row r="295" spans="1:32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73"/>
        <v>2094.56</v>
      </c>
      <c r="O295" s="66">
        <f t="shared" si="73"/>
        <v>700</v>
      </c>
      <c r="P295" s="69">
        <f t="shared" si="67"/>
        <v>698.18666666666661</v>
      </c>
      <c r="Q295" s="69">
        <f t="shared" si="67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  <c r="AF295" s="66"/>
    </row>
    <row r="296" spans="1:32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73"/>
        <v>143.52000000000001</v>
      </c>
      <c r="O296" s="66">
        <f t="shared" si="73"/>
        <v>0</v>
      </c>
      <c r="P296" s="69">
        <f t="shared" si="67"/>
        <v>47.84</v>
      </c>
      <c r="Q296" s="69">
        <f t="shared" si="67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  <c r="AF296" s="66"/>
    </row>
    <row r="297" spans="1:32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73"/>
        <v>0</v>
      </c>
      <c r="O297" s="66">
        <f t="shared" si="73"/>
        <v>100</v>
      </c>
      <c r="P297" s="69">
        <f t="shared" si="67"/>
        <v>0</v>
      </c>
      <c r="Q297" s="69">
        <f t="shared" si="67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  <c r="AF297" s="66"/>
    </row>
    <row r="298" spans="1:32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73"/>
        <v>1205.7</v>
      </c>
      <c r="O298" s="66">
        <f t="shared" si="73"/>
        <v>0</v>
      </c>
      <c r="P298" s="69">
        <f t="shared" si="67"/>
        <v>401.90000000000003</v>
      </c>
      <c r="Q298" s="69">
        <f t="shared" si="67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  <c r="AF298" s="66"/>
    </row>
    <row r="299" spans="1:32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73"/>
        <v>0</v>
      </c>
      <c r="O299" s="66">
        <f t="shared" si="73"/>
        <v>0</v>
      </c>
      <c r="P299" s="69">
        <f t="shared" si="67"/>
        <v>0</v>
      </c>
      <c r="Q299" s="69">
        <f t="shared" si="67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  <c r="AF299" s="66"/>
    </row>
    <row r="300" spans="1:32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73"/>
        <v>0</v>
      </c>
      <c r="O300" s="73">
        <f t="shared" si="73"/>
        <v>0</v>
      </c>
      <c r="P300" s="74">
        <f t="shared" si="67"/>
        <v>0</v>
      </c>
      <c r="Q300" s="74">
        <f t="shared" si="67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  <c r="AF300" s="73"/>
    </row>
    <row r="301" spans="1:32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74">ROUND(SUM(H289:H300),5)</f>
        <v>3691.61</v>
      </c>
      <c r="I301" s="63">
        <f t="shared" si="74"/>
        <v>0</v>
      </c>
      <c r="J301" s="64">
        <f t="shared" si="74"/>
        <v>4249.07</v>
      </c>
      <c r="K301" s="64">
        <f t="shared" si="74"/>
        <v>6718.32</v>
      </c>
      <c r="L301" s="65">
        <f t="shared" si="74"/>
        <v>3965</v>
      </c>
      <c r="M301" s="65">
        <f t="shared" si="74"/>
        <v>2500</v>
      </c>
      <c r="N301" s="66">
        <f t="shared" si="73"/>
        <v>11905.68</v>
      </c>
      <c r="O301" s="66">
        <f t="shared" si="73"/>
        <v>9218.32</v>
      </c>
      <c r="P301" s="69">
        <f t="shared" si="67"/>
        <v>3968.56</v>
      </c>
      <c r="Q301" s="69">
        <f t="shared" si="67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>ROUND(SUM(AB289:AB300),5)</f>
        <v>0</v>
      </c>
      <c r="AC301" s="66">
        <f>ROUND(SUM(AC289:AC300),5)</f>
        <v>0</v>
      </c>
      <c r="AD301" s="66">
        <f>ROUND(SUM(AD289:AD300),5)</f>
        <v>0</v>
      </c>
      <c r="AE301" s="66">
        <f>ROUND(SUM(AE289:AE300),5)</f>
        <v>0</v>
      </c>
      <c r="AF301" s="66">
        <f>ROUND(SUM(AF289:AF300),5)</f>
        <v>0</v>
      </c>
    </row>
    <row r="302" spans="1:32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  <c r="AF302" s="66"/>
    </row>
    <row r="303" spans="1:32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75">ROUND(H303+J303+L303,5)</f>
        <v>4407.63</v>
      </c>
      <c r="O303" s="66">
        <f t="shared" si="75"/>
        <v>7218.32</v>
      </c>
      <c r="P303" s="69">
        <f t="shared" si="67"/>
        <v>1469.21</v>
      </c>
      <c r="Q303" s="69">
        <f t="shared" si="67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  <c r="AF303" s="66"/>
    </row>
    <row r="304" spans="1:32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75"/>
        <v>62.18</v>
      </c>
      <c r="O304" s="66">
        <f t="shared" si="75"/>
        <v>659.86</v>
      </c>
      <c r="P304" s="69">
        <f t="shared" si="67"/>
        <v>20.726666666666667</v>
      </c>
      <c r="Q304" s="69">
        <f t="shared" si="67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  <c r="AF304" s="66"/>
    </row>
    <row r="305" spans="1:32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75"/>
        <v>1422.94</v>
      </c>
      <c r="O305" s="66">
        <f t="shared" si="75"/>
        <v>5438.74</v>
      </c>
      <c r="P305" s="69">
        <f t="shared" si="67"/>
        <v>474.31333333333333</v>
      </c>
      <c r="Q305" s="69">
        <f t="shared" si="67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  <c r="AF305" s="66"/>
    </row>
    <row r="306" spans="1:32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75"/>
        <v>602.46</v>
      </c>
      <c r="O306" s="73">
        <f t="shared" si="75"/>
        <v>756.04</v>
      </c>
      <c r="P306" s="74">
        <f t="shared" si="67"/>
        <v>200.82000000000002</v>
      </c>
      <c r="Q306" s="74">
        <f t="shared" si="67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  <c r="AF306" s="73"/>
    </row>
    <row r="307" spans="1:32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76">ROUND(SUM(H302:H306),5)</f>
        <v>358.49</v>
      </c>
      <c r="I307" s="63">
        <f t="shared" si="76"/>
        <v>0</v>
      </c>
      <c r="J307" s="64">
        <f t="shared" si="76"/>
        <v>1711.98</v>
      </c>
      <c r="K307" s="64">
        <f t="shared" si="76"/>
        <v>12672.96</v>
      </c>
      <c r="L307" s="65">
        <f t="shared" si="76"/>
        <v>4424.74</v>
      </c>
      <c r="M307" s="65">
        <f t="shared" si="76"/>
        <v>1400</v>
      </c>
      <c r="N307" s="66">
        <f t="shared" si="75"/>
        <v>6495.21</v>
      </c>
      <c r="O307" s="66">
        <f t="shared" si="75"/>
        <v>14072.96</v>
      </c>
      <c r="P307" s="69">
        <f t="shared" si="67"/>
        <v>2165.0700000000002</v>
      </c>
      <c r="Q307" s="69">
        <f t="shared" si="67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>ROUND(SUM(AB302:AB306),5)</f>
        <v>0</v>
      </c>
      <c r="AC307" s="66">
        <f>ROUND(SUM(AC302:AC306),5)</f>
        <v>0</v>
      </c>
      <c r="AD307" s="66">
        <f>ROUND(SUM(AD302:AD306),5)</f>
        <v>0</v>
      </c>
      <c r="AE307" s="66">
        <f>ROUND(SUM(AE302:AE306),5)</f>
        <v>0</v>
      </c>
      <c r="AF307" s="66">
        <f>ROUND(SUM(AF302:AF306),5)</f>
        <v>0</v>
      </c>
    </row>
    <row r="308" spans="1:32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  <c r="AF308" s="66"/>
    </row>
    <row r="309" spans="1:32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77">ROUND(H309+J309+L309,5)</f>
        <v>9703.68</v>
      </c>
      <c r="O309" s="66">
        <f t="shared" si="77"/>
        <v>5278.88</v>
      </c>
      <c r="P309" s="69">
        <f t="shared" si="67"/>
        <v>3234.56</v>
      </c>
      <c r="Q309" s="69">
        <f t="shared" si="67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  <c r="AF309" s="66"/>
    </row>
    <row r="310" spans="1:32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77"/>
        <v>884.39</v>
      </c>
      <c r="O310" s="66">
        <f t="shared" si="77"/>
        <v>2439.44</v>
      </c>
      <c r="P310" s="69">
        <f t="shared" si="67"/>
        <v>294.79666666666668</v>
      </c>
      <c r="Q310" s="69">
        <f t="shared" si="67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  <c r="AF310" s="66"/>
    </row>
    <row r="311" spans="1:32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77"/>
        <v>979.97</v>
      </c>
      <c r="O311" s="66">
        <f t="shared" si="77"/>
        <v>6758.46</v>
      </c>
      <c r="P311" s="69">
        <f t="shared" si="67"/>
        <v>326.65666666666669</v>
      </c>
      <c r="Q311" s="69">
        <f t="shared" si="67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  <c r="AF311" s="66"/>
    </row>
    <row r="312" spans="1:32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77"/>
        <v>404.46</v>
      </c>
      <c r="O312" s="66">
        <f t="shared" si="77"/>
        <v>1679.58</v>
      </c>
      <c r="P312" s="69">
        <f t="shared" si="67"/>
        <v>134.82</v>
      </c>
      <c r="Q312" s="69">
        <f t="shared" si="67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  <c r="AF312" s="66"/>
    </row>
    <row r="313" spans="1:32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77"/>
        <v>4314.07</v>
      </c>
      <c r="O313" s="66">
        <f t="shared" si="77"/>
        <v>2480.1999999999998</v>
      </c>
      <c r="P313" s="69">
        <f t="shared" si="67"/>
        <v>1438.0233333333333</v>
      </c>
      <c r="Q313" s="69">
        <f t="shared" si="67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  <c r="AF313" s="66"/>
    </row>
    <row r="314" spans="1:32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77"/>
        <v>487.74</v>
      </c>
      <c r="O314" s="66">
        <f t="shared" si="77"/>
        <v>912.08</v>
      </c>
      <c r="P314" s="69">
        <f t="shared" si="67"/>
        <v>162.58000000000001</v>
      </c>
      <c r="Q314" s="69">
        <f t="shared" si="67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  <c r="AF314" s="66"/>
    </row>
    <row r="315" spans="1:32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77"/>
        <v>2326.19</v>
      </c>
      <c r="O315" s="66">
        <f t="shared" si="77"/>
        <v>6398.6</v>
      </c>
      <c r="P315" s="69">
        <f t="shared" si="67"/>
        <v>775.39666666666665</v>
      </c>
      <c r="Q315" s="69">
        <f t="shared" si="67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  <c r="AF315" s="66"/>
    </row>
    <row r="316" spans="1:32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77"/>
        <v>229.23</v>
      </c>
      <c r="O316" s="66">
        <f t="shared" si="77"/>
        <v>2239.44</v>
      </c>
      <c r="P316" s="69">
        <f t="shared" si="67"/>
        <v>76.41</v>
      </c>
      <c r="Q316" s="69">
        <f t="shared" si="67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  <c r="AF316" s="66"/>
    </row>
    <row r="317" spans="1:32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77"/>
        <v>759.74</v>
      </c>
      <c r="O317" s="66">
        <f t="shared" si="77"/>
        <v>1524.12</v>
      </c>
      <c r="P317" s="69">
        <f t="shared" si="67"/>
        <v>253.24666666666667</v>
      </c>
      <c r="Q317" s="69">
        <f t="shared" si="67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  <c r="AF317" s="66"/>
    </row>
    <row r="318" spans="1:32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77"/>
        <v>84.4</v>
      </c>
      <c r="O318" s="73">
        <f t="shared" si="77"/>
        <v>0</v>
      </c>
      <c r="P318" s="74">
        <f t="shared" si="67"/>
        <v>28.133333333333336</v>
      </c>
      <c r="Q318" s="74">
        <f t="shared" si="67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  <c r="AF318" s="73"/>
    </row>
    <row r="319" spans="1:32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78">ROUND(SUM(H308:H318),5)</f>
        <v>5951.81</v>
      </c>
      <c r="I319" s="63">
        <f t="shared" si="78"/>
        <v>0</v>
      </c>
      <c r="J319" s="64">
        <f t="shared" si="78"/>
        <v>9394.2800000000007</v>
      </c>
      <c r="K319" s="64">
        <f t="shared" si="78"/>
        <v>26310.799999999999</v>
      </c>
      <c r="L319" s="65">
        <f t="shared" si="78"/>
        <v>4827.78</v>
      </c>
      <c r="M319" s="65">
        <f t="shared" si="78"/>
        <v>3400</v>
      </c>
      <c r="N319" s="66">
        <f t="shared" si="77"/>
        <v>20173.87</v>
      </c>
      <c r="O319" s="66">
        <f t="shared" si="77"/>
        <v>29710.799999999999</v>
      </c>
      <c r="P319" s="69">
        <f t="shared" si="67"/>
        <v>6724.623333333333</v>
      </c>
      <c r="Q319" s="69">
        <f t="shared" si="67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>ROUND(SUM(AB308:AB318),5)</f>
        <v>0</v>
      </c>
      <c r="AC319" s="66">
        <f>ROUND(SUM(AC308:AC318),5)</f>
        <v>0</v>
      </c>
      <c r="AD319" s="66">
        <f>ROUND(SUM(AD308:AD318),5)</f>
        <v>0</v>
      </c>
      <c r="AE319" s="66">
        <f>ROUND(SUM(AE308:AE318),5)</f>
        <v>0</v>
      </c>
      <c r="AF319" s="66">
        <f>ROUND(SUM(AF308:AF318),5)</f>
        <v>0</v>
      </c>
    </row>
    <row r="320" spans="1:32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  <c r="AF320" s="66"/>
    </row>
    <row r="321" spans="1:34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79">ROUND(H321+J321+L321,5)</f>
        <v>17798.97</v>
      </c>
      <c r="O321" s="66">
        <f t="shared" si="79"/>
        <v>26035.49</v>
      </c>
      <c r="P321" s="69">
        <f t="shared" si="67"/>
        <v>5932.9900000000007</v>
      </c>
      <c r="Q321" s="69">
        <f t="shared" si="67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  <c r="AF321" s="66"/>
    </row>
    <row r="322" spans="1:34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79"/>
        <v>3570.09</v>
      </c>
      <c r="O322" s="66">
        <f t="shared" si="79"/>
        <v>10078.280000000001</v>
      </c>
      <c r="P322" s="69">
        <f t="shared" si="67"/>
        <v>1190.03</v>
      </c>
      <c r="Q322" s="69">
        <f t="shared" si="67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  <c r="AF322" s="66"/>
    </row>
    <row r="323" spans="1:34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79"/>
        <v>7211.43</v>
      </c>
      <c r="O323" s="66">
        <f t="shared" si="79"/>
        <v>7893.22</v>
      </c>
      <c r="P323" s="69">
        <f t="shared" si="67"/>
        <v>2403.81</v>
      </c>
      <c r="Q323" s="69">
        <f t="shared" si="67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  <c r="AF323" s="66"/>
    </row>
    <row r="324" spans="1:34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79"/>
        <v>1219.69</v>
      </c>
      <c r="O324" s="66">
        <f t="shared" si="79"/>
        <v>1271.28</v>
      </c>
      <c r="P324" s="69">
        <f t="shared" ref="P324:Q387" si="80">N324/3</f>
        <v>406.56333333333333</v>
      </c>
      <c r="Q324" s="69">
        <f t="shared" si="80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  <c r="AF324" s="66"/>
    </row>
    <row r="325" spans="1:34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79"/>
        <v>20508.62</v>
      </c>
      <c r="O325" s="66">
        <f t="shared" si="79"/>
        <v>19153.73</v>
      </c>
      <c r="P325" s="69">
        <f t="shared" si="80"/>
        <v>6836.206666666666</v>
      </c>
      <c r="Q325" s="69">
        <f t="shared" si="80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  <c r="AF325" s="66"/>
    </row>
    <row r="326" spans="1:34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79"/>
        <v>2276.86</v>
      </c>
      <c r="O326" s="66">
        <f t="shared" si="79"/>
        <v>0</v>
      </c>
      <c r="P326" s="69">
        <f t="shared" si="80"/>
        <v>758.95333333333338</v>
      </c>
      <c r="Q326" s="69">
        <f t="shared" si="80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  <c r="AF326" s="66"/>
    </row>
    <row r="327" spans="1:34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  <c r="AF327" s="73"/>
    </row>
    <row r="328" spans="1:34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81">ROUND(SUM(H320:H326),5)</f>
        <v>14703.25</v>
      </c>
      <c r="I328" s="63">
        <f t="shared" si="81"/>
        <v>0</v>
      </c>
      <c r="J328" s="64">
        <f t="shared" si="81"/>
        <v>19844.400000000001</v>
      </c>
      <c r="K328" s="64">
        <f t="shared" si="81"/>
        <v>9669.84</v>
      </c>
      <c r="L328" s="65">
        <f t="shared" si="81"/>
        <v>18038.009999999998</v>
      </c>
      <c r="M328" s="65">
        <f t="shared" si="81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80"/>
        <v>17528.553333333333</v>
      </c>
      <c r="Q328" s="69">
        <f t="shared" si="80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>ROUND(SUM(AB320:AB327),5)</f>
        <v>0</v>
      </c>
      <c r="AC328" s="66">
        <f>ROUND(SUM(AC320:AC327),5)</f>
        <v>0</v>
      </c>
      <c r="AD328" s="66">
        <f>ROUND(SUM(AD320:AD327),5)</f>
        <v>0</v>
      </c>
      <c r="AE328" s="66">
        <f>ROUND(SUM(AE320:AE327),5)</f>
        <v>0</v>
      </c>
      <c r="AF328" s="66">
        <f>ROUND(SUM(AF320:AF327),5)</f>
        <v>0</v>
      </c>
    </row>
    <row r="329" spans="1:34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  <c r="AF329" s="66"/>
    </row>
    <row r="330" spans="1:34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82">ROUND(H330+J330+L330,5)</f>
        <v>291196.26</v>
      </c>
      <c r="O330" s="73">
        <f t="shared" si="82"/>
        <v>74045.47</v>
      </c>
      <c r="P330" s="74">
        <f t="shared" si="80"/>
        <v>97065.42</v>
      </c>
      <c r="Q330" s="74">
        <f t="shared" si="80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  <c r="AF330" s="73"/>
    </row>
    <row r="331" spans="1:34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83">ROUND(SUM(H329:H330),5)</f>
        <v>70479.55</v>
      </c>
      <c r="I331" s="63">
        <f t="shared" si="83"/>
        <v>74045.47</v>
      </c>
      <c r="J331" s="64">
        <f t="shared" si="83"/>
        <v>78550</v>
      </c>
      <c r="K331" s="64">
        <f t="shared" si="83"/>
        <v>0</v>
      </c>
      <c r="L331" s="65">
        <f t="shared" si="83"/>
        <v>142166.71</v>
      </c>
      <c r="M331" s="65">
        <f t="shared" si="83"/>
        <v>0</v>
      </c>
      <c r="N331" s="66">
        <f t="shared" si="82"/>
        <v>291196.26</v>
      </c>
      <c r="O331" s="66">
        <f t="shared" si="82"/>
        <v>74045.47</v>
      </c>
      <c r="P331" s="69">
        <f t="shared" si="80"/>
        <v>97065.42</v>
      </c>
      <c r="Q331" s="69">
        <f t="shared" si="80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E331" si="84">ROUND(SUM(Z329:Z330),5)</f>
        <v>0</v>
      </c>
      <c r="AA331" s="140"/>
      <c r="AB331" s="66">
        <f t="shared" si="84"/>
        <v>0</v>
      </c>
      <c r="AC331" s="66">
        <f t="shared" si="84"/>
        <v>0</v>
      </c>
      <c r="AD331" s="66">
        <f t="shared" si="84"/>
        <v>0</v>
      </c>
      <c r="AE331" s="66">
        <f t="shared" si="84"/>
        <v>0</v>
      </c>
      <c r="AF331" s="66">
        <f t="shared" ref="AF331" si="85">ROUND(SUM(AF329:AF330),5)</f>
        <v>0</v>
      </c>
    </row>
    <row r="332" spans="1:34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82"/>
        <v>0</v>
      </c>
      <c r="O332" s="73">
        <f t="shared" si="82"/>
        <v>61404.95</v>
      </c>
      <c r="P332" s="74">
        <f t="shared" si="80"/>
        <v>0</v>
      </c>
      <c r="Q332" s="74">
        <f t="shared" si="80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</row>
    <row r="333" spans="1:34" ht="26" x14ac:dyDescent="0.6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86">ROUND(SUM(H227:H228)+H234+H257+H263+H280+H288+H301+H307+H319+H328+SUM(H331:H332),5)</f>
        <v>188585.61</v>
      </c>
      <c r="I333" s="63">
        <f t="shared" si="86"/>
        <v>138009</v>
      </c>
      <c r="J333" s="64">
        <f t="shared" si="86"/>
        <v>203924.74</v>
      </c>
      <c r="K333" s="64">
        <f t="shared" si="86"/>
        <v>194923.04</v>
      </c>
      <c r="L333" s="65">
        <f t="shared" si="86"/>
        <v>249596.1</v>
      </c>
      <c r="M333" s="65">
        <f t="shared" si="86"/>
        <v>148293.14000000001</v>
      </c>
      <c r="N333" s="66">
        <f t="shared" si="82"/>
        <v>642106.44999999995</v>
      </c>
      <c r="O333" s="66">
        <f t="shared" si="82"/>
        <v>481225.18</v>
      </c>
      <c r="P333" s="69">
        <f t="shared" si="80"/>
        <v>214035.48333333331</v>
      </c>
      <c r="Q333" s="69">
        <f t="shared" si="80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>ROUND(SUM(AB227:AB228)+AB234+AB257+AB263+AB280+AB288+AB301+AB307+AB319+AB328+SUM(AB331:AB332),5)</f>
        <v>227894.31142000001</v>
      </c>
      <c r="AC333" s="80">
        <f>ROUND(SUM(AC227:AC228)+AC234+AC257+AC263+AC280+AC288+AC301+AC307+AC319+AC328+SUM(AC331:AC332),5)</f>
        <v>227894.31142000001</v>
      </c>
      <c r="AD333" s="80">
        <f>ROUND(SUM(AD227:AD228)+AD234+AD257+AD263+AD280+AD288+AD301+AD307+AD319+AD328+SUM(AD331:AD332),5)</f>
        <v>243375.95202</v>
      </c>
      <c r="AE333" s="80">
        <f>ROUND(SUM(AE227:AE228)+AE234+AE257+AE263+AE280+AE288+AE301+AE307+AE319+AE328+SUM(AE331:AE332),5)</f>
        <v>205210.84</v>
      </c>
      <c r="AF333" s="80">
        <f>ROUND(SUM(AF227:AF228)+AF234+AF257+AF263+AF280+AF288+AF301+AF307+AF319+AF328+SUM(AF331:AF332),5)</f>
        <v>205210.84</v>
      </c>
      <c r="AG333" s="148">
        <v>0.2</v>
      </c>
      <c r="AH333" s="46" t="s">
        <v>846</v>
      </c>
    </row>
    <row r="334" spans="1:34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66"/>
      <c r="AG334" s="146" t="s">
        <v>902</v>
      </c>
      <c r="AH334" s="145">
        <f>L333/L116</f>
        <v>0.2408667028918092</v>
      </c>
    </row>
    <row r="335" spans="1:34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66"/>
      <c r="AG335" s="146" t="s">
        <v>903</v>
      </c>
      <c r="AH335" s="145">
        <f>52529.23/295911.24</f>
        <v>0.17751684592988087</v>
      </c>
    </row>
    <row r="336" spans="1:34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87">ROUND(H336+J336+L336,5)</f>
        <v>21365</v>
      </c>
      <c r="O336" s="66">
        <v>0</v>
      </c>
      <c r="P336" s="69">
        <f t="shared" si="80"/>
        <v>7121.666666666667</v>
      </c>
      <c r="Q336" s="69">
        <f t="shared" si="80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</row>
    <row r="337" spans="1:34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87"/>
        <v>97979.59</v>
      </c>
      <c r="O337" s="66">
        <f>ROUND(I337+K337+M337,5)</f>
        <v>40000</v>
      </c>
      <c r="P337" s="69">
        <f t="shared" si="80"/>
        <v>32659.863333333331</v>
      </c>
      <c r="Q337" s="69">
        <f t="shared" si="80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</row>
    <row r="338" spans="1:34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87"/>
        <v>22480.97</v>
      </c>
      <c r="O338" s="66">
        <v>0</v>
      </c>
      <c r="P338" s="69">
        <f t="shared" si="80"/>
        <v>7493.6566666666668</v>
      </c>
      <c r="Q338" s="69">
        <f t="shared" si="80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</row>
    <row r="339" spans="1:34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87"/>
        <v>680</v>
      </c>
      <c r="O339" s="66">
        <f>ROUND(I339+K339+M339,5)</f>
        <v>0</v>
      </c>
      <c r="P339" s="69">
        <f t="shared" si="80"/>
        <v>226.66666666666666</v>
      </c>
      <c r="Q339" s="69">
        <f t="shared" si="80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</row>
    <row r="340" spans="1:34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</row>
    <row r="341" spans="1:34" ht="16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87"/>
        <v>6830</v>
      </c>
      <c r="O341" s="73">
        <f>ROUND(I341+K341+M341,5)</f>
        <v>26000</v>
      </c>
      <c r="P341" s="74">
        <f t="shared" si="80"/>
        <v>2276.6666666666665</v>
      </c>
      <c r="Q341" s="74">
        <f t="shared" si="80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  <c r="AF341" s="73"/>
    </row>
    <row r="342" spans="1:34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88">ROUND(SUM(H335:H341),5)</f>
        <v>19670</v>
      </c>
      <c r="I342" s="63">
        <f t="shared" si="88"/>
        <v>0</v>
      </c>
      <c r="J342" s="64">
        <f t="shared" si="88"/>
        <v>94715.56</v>
      </c>
      <c r="K342" s="64">
        <f t="shared" si="88"/>
        <v>26000</v>
      </c>
      <c r="L342" s="65">
        <f t="shared" si="88"/>
        <v>34950</v>
      </c>
      <c r="M342" s="65">
        <f t="shared" si="88"/>
        <v>40000</v>
      </c>
      <c r="N342" s="66">
        <f t="shared" si="87"/>
        <v>149335.56</v>
      </c>
      <c r="O342" s="66">
        <f>ROUND(I342+K342+M342,5)</f>
        <v>66000</v>
      </c>
      <c r="P342" s="69">
        <f t="shared" si="80"/>
        <v>49778.52</v>
      </c>
      <c r="Q342" s="69">
        <f t="shared" si="80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>ROUND(SUM(AB335:AB341),5)</f>
        <v>100000</v>
      </c>
      <c r="AC342" s="80">
        <f>ROUND(SUM(AC335:AC341),5)</f>
        <v>100000</v>
      </c>
      <c r="AD342" s="80">
        <f>ROUND(SUM(AD335:AD341),5)</f>
        <v>100000</v>
      </c>
      <c r="AE342" s="80">
        <f>ROUND(SUM(AE335:AE341),5)</f>
        <v>100000</v>
      </c>
      <c r="AF342" s="80">
        <f>ROUND(SUM(AF335:AF341),5)</f>
        <v>100000</v>
      </c>
    </row>
    <row r="343" spans="1:34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87"/>
        <v>110000</v>
      </c>
      <c r="O343" s="66">
        <f>ROUND(I343+K343+M343,5)</f>
        <v>135000</v>
      </c>
      <c r="P343" s="69">
        <f t="shared" si="80"/>
        <v>36666.666666666664</v>
      </c>
      <c r="Q343" s="69">
        <f t="shared" si="80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</row>
    <row r="344" spans="1:34" ht="26" x14ac:dyDescent="0.35">
      <c r="A344" s="66"/>
      <c r="B344" s="66"/>
      <c r="C344" s="49"/>
      <c r="D344" s="49"/>
      <c r="E344" s="49"/>
      <c r="F344" s="49" t="s">
        <v>341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87"/>
        <v>2807</v>
      </c>
      <c r="O344" s="66">
        <f>ROUND(I344+K344+M344,5)</f>
        <v>71745</v>
      </c>
      <c r="P344" s="69">
        <f t="shared" si="80"/>
        <v>935.66666666666663</v>
      </c>
      <c r="Q344" s="69">
        <f t="shared" si="80"/>
        <v>23915</v>
      </c>
      <c r="R344" s="54"/>
      <c r="S344" s="49"/>
      <c r="T344" s="49"/>
      <c r="U344" s="49"/>
      <c r="V344" s="49"/>
      <c r="W344" s="49"/>
      <c r="X344" s="49" t="s">
        <v>341</v>
      </c>
      <c r="Y344" s="49"/>
      <c r="Z344" s="66">
        <v>0</v>
      </c>
      <c r="AA344" s="140"/>
      <c r="AB344" s="168">
        <v>0</v>
      </c>
      <c r="AC344" s="168">
        <v>0</v>
      </c>
      <c r="AD344" s="168">
        <v>0</v>
      </c>
      <c r="AE344" s="168">
        <v>0</v>
      </c>
      <c r="AF344" s="167">
        <v>10000</v>
      </c>
      <c r="AG344" s="62" t="s">
        <v>956</v>
      </c>
      <c r="AH344" s="165" t="s">
        <v>955</v>
      </c>
    </row>
    <row r="345" spans="1:34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87"/>
        <v>600</v>
      </c>
      <c r="O345" s="66">
        <v>0</v>
      </c>
      <c r="P345" s="69">
        <f t="shared" si="80"/>
        <v>200</v>
      </c>
      <c r="Q345" s="69">
        <f t="shared" si="80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</row>
    <row r="346" spans="1:34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87"/>
        <v>4601.16</v>
      </c>
      <c r="O346" s="66">
        <f t="shared" si="87"/>
        <v>5000</v>
      </c>
      <c r="P346" s="69">
        <f t="shared" si="80"/>
        <v>1533.72</v>
      </c>
      <c r="Q346" s="69">
        <f t="shared" si="80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</row>
    <row r="347" spans="1:34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87"/>
        <v>0</v>
      </c>
      <c r="O347" s="66">
        <f t="shared" si="87"/>
        <v>0</v>
      </c>
      <c r="P347" s="69">
        <f t="shared" si="80"/>
        <v>0</v>
      </c>
      <c r="Q347" s="69">
        <f t="shared" si="80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</row>
    <row r="348" spans="1:34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87"/>
        <v>55866.65</v>
      </c>
      <c r="O348" s="66">
        <f t="shared" si="87"/>
        <v>39369.230000000003</v>
      </c>
      <c r="P348" s="69">
        <f t="shared" si="80"/>
        <v>18622.216666666667</v>
      </c>
      <c r="Q348" s="69">
        <f t="shared" si="80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</row>
    <row r="349" spans="1:34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87"/>
        <v>12578.7</v>
      </c>
      <c r="O349" s="66">
        <f t="shared" si="87"/>
        <v>11353.85</v>
      </c>
      <c r="P349" s="69">
        <f t="shared" si="80"/>
        <v>4192.9000000000005</v>
      </c>
      <c r="Q349" s="69">
        <f t="shared" si="80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</row>
    <row r="350" spans="1:34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87"/>
        <v>43549.17</v>
      </c>
      <c r="O350" s="66">
        <f t="shared" si="87"/>
        <v>35000</v>
      </c>
      <c r="P350" s="69">
        <f t="shared" si="80"/>
        <v>14516.39</v>
      </c>
      <c r="Q350" s="69">
        <f t="shared" si="80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H350" s="46" t="s">
        <v>895</v>
      </c>
    </row>
    <row r="351" spans="1:34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87"/>
        <v>7760.69</v>
      </c>
      <c r="O351" s="66">
        <f t="shared" si="87"/>
        <v>20000</v>
      </c>
      <c r="P351" s="69">
        <f t="shared" si="80"/>
        <v>2586.8966666666665</v>
      </c>
      <c r="Q351" s="69">
        <f t="shared" si="80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</row>
    <row r="352" spans="1:34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87"/>
        <v>44149.02</v>
      </c>
      <c r="O352" s="66">
        <f t="shared" si="87"/>
        <v>34250.04</v>
      </c>
      <c r="P352" s="69">
        <f t="shared" si="80"/>
        <v>14716.339999999998</v>
      </c>
      <c r="Q352" s="69">
        <f t="shared" si="80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</row>
    <row r="353" spans="1:34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87"/>
        <v>1956.11</v>
      </c>
      <c r="O353" s="66">
        <f t="shared" si="87"/>
        <v>22500</v>
      </c>
      <c r="P353" s="69">
        <f t="shared" si="80"/>
        <v>652.03666666666663</v>
      </c>
      <c r="Q353" s="69">
        <f t="shared" si="80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</row>
    <row r="354" spans="1:34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87"/>
        <v>34446</v>
      </c>
      <c r="O354" s="66">
        <f t="shared" si="87"/>
        <v>20748</v>
      </c>
      <c r="P354" s="69">
        <f t="shared" si="80"/>
        <v>11482</v>
      </c>
      <c r="Q354" s="69">
        <f t="shared" si="80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</row>
    <row r="355" spans="1:34" ht="26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87"/>
        <v>2154.44</v>
      </c>
      <c r="O355" s="66">
        <f t="shared" si="87"/>
        <v>3605</v>
      </c>
      <c r="P355" s="69">
        <f t="shared" si="80"/>
        <v>718.14666666666665</v>
      </c>
      <c r="Q355" s="69">
        <f t="shared" si="80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H355" s="165" t="s">
        <v>953</v>
      </c>
    </row>
    <row r="356" spans="1:34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87"/>
        <v>20339.71</v>
      </c>
      <c r="O356" s="66">
        <f t="shared" si="87"/>
        <v>13000</v>
      </c>
      <c r="P356" s="69">
        <f t="shared" si="80"/>
        <v>6779.9033333333327</v>
      </c>
      <c r="Q356" s="69">
        <f t="shared" si="80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</row>
    <row r="357" spans="1:34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87"/>
        <v>500</v>
      </c>
      <c r="O357" s="66">
        <f t="shared" si="87"/>
        <v>0</v>
      </c>
      <c r="P357" s="69">
        <f t="shared" si="80"/>
        <v>166.66666666666666</v>
      </c>
      <c r="Q357" s="69">
        <f t="shared" si="80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</row>
    <row r="358" spans="1:34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  <c r="AF358" s="66"/>
    </row>
    <row r="359" spans="1:34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89">ROUND(H359+J359+L359,5)</f>
        <v>84190</v>
      </c>
      <c r="O359" s="66">
        <f t="shared" si="89"/>
        <v>49784.88</v>
      </c>
      <c r="P359" s="69">
        <f t="shared" si="80"/>
        <v>28063.333333333332</v>
      </c>
      <c r="Q359" s="69">
        <f t="shared" si="80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</row>
    <row r="360" spans="1:34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89"/>
        <v>0</v>
      </c>
      <c r="O360" s="73">
        <f t="shared" si="89"/>
        <v>15000</v>
      </c>
      <c r="P360" s="74">
        <f t="shared" si="80"/>
        <v>0</v>
      </c>
      <c r="Q360" s="74">
        <f t="shared" si="80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</row>
    <row r="361" spans="1:34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90">ROUND(SUM(H358:H360),5)</f>
        <v>31425</v>
      </c>
      <c r="I361" s="63">
        <f t="shared" si="90"/>
        <v>15000</v>
      </c>
      <c r="J361" s="64">
        <f t="shared" si="90"/>
        <v>27367.5</v>
      </c>
      <c r="K361" s="64">
        <f t="shared" si="90"/>
        <v>28917.38</v>
      </c>
      <c r="L361" s="65">
        <f t="shared" si="90"/>
        <v>25397.5</v>
      </c>
      <c r="M361" s="65">
        <f t="shared" si="90"/>
        <v>20867.5</v>
      </c>
      <c r="N361" s="66">
        <f t="shared" si="89"/>
        <v>84190</v>
      </c>
      <c r="O361" s="66">
        <f t="shared" si="89"/>
        <v>64784.88</v>
      </c>
      <c r="P361" s="69">
        <f t="shared" si="80"/>
        <v>28063.333333333332</v>
      </c>
      <c r="Q361" s="69">
        <f t="shared" si="80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>ROUND(SUM(AB358:AB360),5)</f>
        <v>0</v>
      </c>
      <c r="AC361" s="80">
        <f>ROUND(SUM(AC358:AC360),5)</f>
        <v>0</v>
      </c>
      <c r="AD361" s="80">
        <f>ROUND(SUM(AD358:AD360),5)</f>
        <v>0</v>
      </c>
      <c r="AE361" s="80">
        <f>ROUND(SUM(AE358:AE360),5)</f>
        <v>0</v>
      </c>
      <c r="AF361" s="80">
        <f>ROUND(SUM(AF358:AF360),5)</f>
        <v>0</v>
      </c>
    </row>
    <row r="362" spans="1:34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89"/>
        <v>0</v>
      </c>
      <c r="O362" s="66">
        <f t="shared" si="89"/>
        <v>0</v>
      </c>
      <c r="P362" s="69">
        <f t="shared" si="80"/>
        <v>0</v>
      </c>
      <c r="Q362" s="69">
        <f t="shared" si="80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  <c r="AF362" s="66"/>
    </row>
    <row r="363" spans="1:34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91">ROUND(H334+SUM(H342:H357)+SUM(H361:H362),5)</f>
        <v>166149.76999999999</v>
      </c>
      <c r="I363" s="83">
        <f t="shared" si="91"/>
        <v>161924.6</v>
      </c>
      <c r="J363" s="84">
        <f t="shared" si="91"/>
        <v>213318.06</v>
      </c>
      <c r="K363" s="84">
        <f t="shared" si="91"/>
        <v>155784.65</v>
      </c>
      <c r="L363" s="85">
        <f t="shared" si="91"/>
        <v>195366.38</v>
      </c>
      <c r="M363" s="85">
        <f t="shared" si="91"/>
        <v>224646.75</v>
      </c>
      <c r="N363" s="86">
        <f t="shared" si="89"/>
        <v>574834.21</v>
      </c>
      <c r="O363" s="86">
        <f t="shared" si="89"/>
        <v>542356</v>
      </c>
      <c r="P363" s="87">
        <f t="shared" si="80"/>
        <v>191611.40333333332</v>
      </c>
      <c r="Q363" s="87">
        <f t="shared" si="80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>ROUND(AB334+SUM(AB342:AB357)+SUM(AB361:AB362),5)</f>
        <v>199017.1</v>
      </c>
      <c r="AC363" s="88">
        <f>ROUND(AC334+SUM(AC342:AC357)+SUM(AC361:AC362),5)</f>
        <v>199017.1</v>
      </c>
      <c r="AD363" s="88">
        <f>ROUND(AD334+SUM(AD342:AD357)+SUM(AD361:AD362),5)</f>
        <v>202281.4</v>
      </c>
      <c r="AE363" s="88">
        <f>ROUND(AE334+SUM(AE342:AE357)+SUM(AE361:AE362),5)</f>
        <v>200781.4</v>
      </c>
      <c r="AF363" s="88">
        <f>ROUND(AF334+SUM(AF342:AF357)+SUM(AF361:AF362),5)</f>
        <v>210781.4</v>
      </c>
    </row>
    <row r="364" spans="1:34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92">ROUND(H226+H333+H363,5)</f>
        <v>354735.38</v>
      </c>
      <c r="I364" s="63">
        <f t="shared" si="92"/>
        <v>299933.59999999998</v>
      </c>
      <c r="J364" s="64">
        <f t="shared" si="92"/>
        <v>417242.8</v>
      </c>
      <c r="K364" s="64">
        <f t="shared" si="92"/>
        <v>350707.69</v>
      </c>
      <c r="L364" s="65">
        <f t="shared" si="92"/>
        <v>444962.48</v>
      </c>
      <c r="M364" s="65">
        <f t="shared" si="92"/>
        <v>372939.89</v>
      </c>
      <c r="N364" s="66">
        <f t="shared" si="89"/>
        <v>1216940.6599999999</v>
      </c>
      <c r="O364" s="66">
        <f t="shared" si="89"/>
        <v>1023581.18</v>
      </c>
      <c r="P364" s="69">
        <f t="shared" si="80"/>
        <v>405646.88666666666</v>
      </c>
      <c r="Q364" s="69">
        <f t="shared" si="80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>ROUND(AB226+AB333+AB363,5)</f>
        <v>426911.41142000002</v>
      </c>
      <c r="AC364" s="66">
        <f>ROUND(AC226+AC333+AC363,5)</f>
        <v>426911.41142000002</v>
      </c>
      <c r="AD364" s="66">
        <f>ROUND(AD226+AD333+AD363,5)</f>
        <v>445657.35201999999</v>
      </c>
      <c r="AE364" s="66">
        <f>ROUND(AE226+AE333+AE363,5)</f>
        <v>405992.24</v>
      </c>
      <c r="AF364" s="66">
        <f>ROUND(AF226+AF333+AF363,5)</f>
        <v>415992.24</v>
      </c>
    </row>
    <row r="365" spans="1:34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  <c r="AF365" s="66"/>
    </row>
    <row r="366" spans="1:34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93">ROUND(H366+J366+L366,5)</f>
        <v>65072</v>
      </c>
      <c r="O366" s="66">
        <f t="shared" si="93"/>
        <v>51375.6</v>
      </c>
      <c r="P366" s="69">
        <f t="shared" si="80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</row>
    <row r="367" spans="1:34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93"/>
        <v>111140.02</v>
      </c>
      <c r="O367" s="66">
        <f t="shared" si="93"/>
        <v>112544.8</v>
      </c>
      <c r="P367" s="69">
        <f t="shared" si="80"/>
        <v>37046.673333333332</v>
      </c>
      <c r="Q367" s="69">
        <f t="shared" si="80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>ROUND(37896.24, 0)</f>
        <v>37896</v>
      </c>
      <c r="AC367" s="66">
        <f>ROUND(37896.24, 0)</f>
        <v>37896</v>
      </c>
      <c r="AD367" s="66">
        <f>ROUND(37896.24, 0)</f>
        <v>37896</v>
      </c>
      <c r="AE367" s="66">
        <f>ROUND(37896.24, 0)</f>
        <v>37896</v>
      </c>
      <c r="AF367" s="66">
        <f>ROUND(37896.24, 0)</f>
        <v>37896</v>
      </c>
    </row>
    <row r="368" spans="1:34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93"/>
        <v>73064.12</v>
      </c>
      <c r="O368" s="66">
        <f t="shared" si="93"/>
        <v>69064.929999999993</v>
      </c>
      <c r="P368" s="69">
        <f t="shared" si="80"/>
        <v>24354.706666666665</v>
      </c>
      <c r="Q368" s="69">
        <f t="shared" si="80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</row>
    <row r="369" spans="1:34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93"/>
        <v>83751.37</v>
      </c>
      <c r="O369" s="66">
        <f t="shared" si="93"/>
        <v>83288.960000000006</v>
      </c>
      <c r="P369" s="69">
        <f t="shared" si="80"/>
        <v>27917.123333333333</v>
      </c>
      <c r="Q369" s="69">
        <f t="shared" si="80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</row>
    <row r="370" spans="1:34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93"/>
        <v>28135.19</v>
      </c>
      <c r="O370" s="66">
        <f t="shared" si="93"/>
        <v>34600</v>
      </c>
      <c r="P370" s="69">
        <f t="shared" si="80"/>
        <v>9378.3966666666656</v>
      </c>
      <c r="Q370" s="69">
        <f t="shared" si="80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</row>
    <row r="371" spans="1:34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94">ROUND(SUM(H365:H370),5)</f>
        <v>114632.84</v>
      </c>
      <c r="I371" s="75">
        <f t="shared" si="94"/>
        <v>107960.9</v>
      </c>
      <c r="J371" s="76">
        <f t="shared" si="94"/>
        <v>123159.01</v>
      </c>
      <c r="K371" s="76">
        <f t="shared" si="94"/>
        <v>112474.39</v>
      </c>
      <c r="L371" s="77">
        <f t="shared" si="94"/>
        <v>123370.85</v>
      </c>
      <c r="M371" s="77">
        <f t="shared" si="94"/>
        <v>130439</v>
      </c>
      <c r="N371" s="78">
        <f t="shared" si="93"/>
        <v>361162.7</v>
      </c>
      <c r="O371" s="78">
        <f t="shared" si="93"/>
        <v>350874.29</v>
      </c>
      <c r="P371" s="79">
        <f t="shared" si="80"/>
        <v>120387.56666666667</v>
      </c>
      <c r="Q371" s="79">
        <f t="shared" si="80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>ROUND(SUM(AB365:AB370),5)</f>
        <v>129087</v>
      </c>
      <c r="AC371" s="80">
        <f>ROUND(SUM(AC365:AC370),5)</f>
        <v>129087</v>
      </c>
      <c r="AD371" s="80">
        <f>ROUND(SUM(AD365:AD370),5)</f>
        <v>129087</v>
      </c>
      <c r="AE371" s="80">
        <f>ROUND(SUM(AE365:AE370),5)</f>
        <v>138803</v>
      </c>
      <c r="AF371" s="80">
        <f>ROUND(SUM(AF365:AF370),5)</f>
        <v>138803</v>
      </c>
    </row>
    <row r="372" spans="1:34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80"/>
        <v>0</v>
      </c>
      <c r="Q372" s="69">
        <f t="shared" si="80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  <c r="AF372" s="66"/>
    </row>
    <row r="373" spans="1:34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95">ROUND(H373+J373+L373,5)</f>
        <v>4736691.54</v>
      </c>
      <c r="O373" s="66">
        <f t="shared" si="95"/>
        <v>4809206.6399999997</v>
      </c>
      <c r="P373" s="69">
        <f t="shared" si="80"/>
        <v>1578897.18</v>
      </c>
      <c r="Q373" s="69">
        <f t="shared" si="80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>ROUND(1728649.91, 0)</f>
        <v>1728650</v>
      </c>
      <c r="AH373" s="46" t="s">
        <v>889</v>
      </c>
    </row>
    <row r="374" spans="1:34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95"/>
        <v>186600.3</v>
      </c>
      <c r="O374" s="66">
        <f t="shared" si="95"/>
        <v>192368.27</v>
      </c>
      <c r="P374" s="69">
        <f t="shared" si="80"/>
        <v>62200.1</v>
      </c>
      <c r="Q374" s="69">
        <f t="shared" si="80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>ROUND(69146, 0)</f>
        <v>69146</v>
      </c>
      <c r="AH374" s="46" t="s">
        <v>891</v>
      </c>
    </row>
    <row r="375" spans="1:34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95"/>
        <v>1242428.6000000001</v>
      </c>
      <c r="O375" s="66">
        <f t="shared" si="95"/>
        <v>1421274.67</v>
      </c>
      <c r="P375" s="69">
        <f t="shared" si="80"/>
        <v>414142.8666666667</v>
      </c>
      <c r="Q375" s="69">
        <f t="shared" si="80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>ROUND(485404.9, 0)</f>
        <v>485405</v>
      </c>
      <c r="AH375" s="46" t="s">
        <v>890</v>
      </c>
    </row>
    <row r="376" spans="1:34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96">ROUND(SUM(H372:H375),5)</f>
        <v>1912297.24</v>
      </c>
      <c r="I376" s="75">
        <f t="shared" si="96"/>
        <v>2105179.7200000002</v>
      </c>
      <c r="J376" s="76">
        <f t="shared" si="96"/>
        <v>2104075.4500000002</v>
      </c>
      <c r="K376" s="76">
        <f t="shared" si="96"/>
        <v>2112580.67</v>
      </c>
      <c r="L376" s="77">
        <f t="shared" si="96"/>
        <v>2149347.75</v>
      </c>
      <c r="M376" s="77">
        <f t="shared" si="96"/>
        <v>2205089.19</v>
      </c>
      <c r="N376" s="78">
        <f t="shared" si="95"/>
        <v>6165720.4400000004</v>
      </c>
      <c r="O376" s="78">
        <f t="shared" si="95"/>
        <v>6422849.5800000001</v>
      </c>
      <c r="P376" s="79">
        <f t="shared" si="80"/>
        <v>2055240.1466666667</v>
      </c>
      <c r="Q376" s="79">
        <f t="shared" si="80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>ROUND(SUM(AB372:AB375),5)</f>
        <v>2291617</v>
      </c>
      <c r="AC376" s="80">
        <f>ROUND(SUM(AC372:AC375),5)</f>
        <v>2252385</v>
      </c>
      <c r="AD376" s="80">
        <f>ROUND(SUM(AD372:AD375),5)</f>
        <v>2252385</v>
      </c>
      <c r="AE376" s="80">
        <f>ROUND(SUM(AE372:AE375),5)</f>
        <v>2252385</v>
      </c>
      <c r="AF376" s="80">
        <f>ROUND(SUM(AF372:AF375),5)</f>
        <v>2283201</v>
      </c>
      <c r="AH376" s="131">
        <f>AF376/AF220</f>
        <v>0.41436410545648977</v>
      </c>
    </row>
    <row r="377" spans="1:34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F377" s="66"/>
      <c r="AH377" s="155"/>
    </row>
    <row r="378" spans="1:34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  <c r="AF378" s="66"/>
    </row>
    <row r="379" spans="1:34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97">ROUND(H379+J379+L379,5)</f>
        <v>4046.28</v>
      </c>
      <c r="O379" s="66">
        <f t="shared" si="97"/>
        <v>3800</v>
      </c>
      <c r="P379" s="69">
        <f t="shared" si="80"/>
        <v>1348.76</v>
      </c>
      <c r="Q379" s="69">
        <f t="shared" si="80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H379" s="81"/>
    </row>
    <row r="380" spans="1:34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97"/>
        <v>614951.03</v>
      </c>
      <c r="O380" s="66">
        <f t="shared" si="97"/>
        <v>486000</v>
      </c>
      <c r="P380" s="69">
        <f t="shared" si="80"/>
        <v>204983.67666666667</v>
      </c>
      <c r="Q380" s="69">
        <f t="shared" si="80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H380" s="81"/>
    </row>
    <row r="381" spans="1:34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97"/>
        <v>8559.83</v>
      </c>
      <c r="O381" s="66">
        <f t="shared" si="97"/>
        <v>12510</v>
      </c>
      <c r="P381" s="69">
        <f t="shared" si="80"/>
        <v>2853.2766666666666</v>
      </c>
      <c r="Q381" s="69">
        <f t="shared" si="80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H381" s="81"/>
    </row>
    <row r="382" spans="1:34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97"/>
        <v>309582.38</v>
      </c>
      <c r="O382" s="66">
        <f t="shared" si="97"/>
        <v>255250</v>
      </c>
      <c r="P382" s="69">
        <f t="shared" si="80"/>
        <v>103194.12666666666</v>
      </c>
      <c r="Q382" s="69">
        <f t="shared" si="80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H382" s="81"/>
    </row>
    <row r="383" spans="1:34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97"/>
        <v>0</v>
      </c>
      <c r="O383" s="66">
        <v>0</v>
      </c>
      <c r="P383" s="69">
        <f t="shared" si="80"/>
        <v>0</v>
      </c>
      <c r="Q383" s="69">
        <f t="shared" si="80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H383" s="81"/>
    </row>
    <row r="384" spans="1:34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97"/>
        <v>563757.04</v>
      </c>
      <c r="O384" s="66">
        <f t="shared" si="97"/>
        <v>385395</v>
      </c>
      <c r="P384" s="69">
        <f t="shared" si="80"/>
        <v>187919.01333333334</v>
      </c>
      <c r="Q384" s="69">
        <f t="shared" si="80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H384" s="81"/>
    </row>
    <row r="385" spans="1:34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97"/>
        <v>1218</v>
      </c>
      <c r="O385" s="66">
        <f t="shared" si="97"/>
        <v>18000</v>
      </c>
      <c r="P385" s="69">
        <f t="shared" si="80"/>
        <v>406</v>
      </c>
      <c r="Q385" s="69">
        <f t="shared" si="80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H385" s="81"/>
    </row>
    <row r="386" spans="1:34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140"/>
      <c r="AB386" s="82"/>
      <c r="AC386" s="82"/>
      <c r="AD386" s="82"/>
      <c r="AE386" s="82"/>
      <c r="AF386" s="82"/>
      <c r="AH386" s="81"/>
    </row>
    <row r="387" spans="1:34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97"/>
        <v>3483</v>
      </c>
      <c r="O387" s="66">
        <f t="shared" si="97"/>
        <v>13000</v>
      </c>
      <c r="P387" s="69">
        <f t="shared" si="80"/>
        <v>1161</v>
      </c>
      <c r="Q387" s="69">
        <f t="shared" si="80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H387" s="81"/>
    </row>
    <row r="388" spans="1:34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97"/>
        <v>2892.1</v>
      </c>
      <c r="O388" s="66">
        <f t="shared" si="97"/>
        <v>18250</v>
      </c>
      <c r="P388" s="69">
        <f t="shared" ref="P388:Q450" si="98">N388/3</f>
        <v>964.0333333333333</v>
      </c>
      <c r="Q388" s="69">
        <f t="shared" si="98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H388" s="81"/>
    </row>
    <row r="389" spans="1:34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97"/>
        <v>59350</v>
      </c>
      <c r="O389" s="66">
        <f t="shared" si="97"/>
        <v>38500</v>
      </c>
      <c r="P389" s="69">
        <f t="shared" si="98"/>
        <v>19783.333333333332</v>
      </c>
      <c r="Q389" s="69">
        <f t="shared" si="98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H389"/>
    </row>
    <row r="390" spans="1:34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97"/>
        <v>123607.99</v>
      </c>
      <c r="O390" s="66">
        <f t="shared" si="97"/>
        <v>94000</v>
      </c>
      <c r="P390" s="69">
        <f t="shared" si="98"/>
        <v>41202.663333333338</v>
      </c>
      <c r="Q390" s="69">
        <f t="shared" si="98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H390" s="81"/>
    </row>
    <row r="391" spans="1:34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97"/>
        <v>1886.2</v>
      </c>
      <c r="O391" s="66">
        <f t="shared" si="97"/>
        <v>3000</v>
      </c>
      <c r="P391" s="69">
        <f t="shared" si="98"/>
        <v>628.73333333333335</v>
      </c>
      <c r="Q391" s="69">
        <f t="shared" si="98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H391" s="81"/>
    </row>
    <row r="392" spans="1:34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97"/>
        <v>103295.59</v>
      </c>
      <c r="O392" s="66">
        <f t="shared" si="97"/>
        <v>55000</v>
      </c>
      <c r="P392" s="69">
        <f t="shared" si="98"/>
        <v>34431.863333333335</v>
      </c>
      <c r="Q392" s="69">
        <f t="shared" si="98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H392" s="81"/>
    </row>
    <row r="393" spans="1:34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97"/>
        <v>35000</v>
      </c>
      <c r="O393" s="66">
        <f t="shared" si="97"/>
        <v>35000</v>
      </c>
      <c r="P393" s="69">
        <f t="shared" si="98"/>
        <v>11666.666666666666</v>
      </c>
      <c r="Q393" s="69">
        <f t="shared" si="98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H393" s="81"/>
    </row>
    <row r="394" spans="1:34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97"/>
        <v>37071.82</v>
      </c>
      <c r="O394" s="66">
        <f t="shared" si="97"/>
        <v>21012</v>
      </c>
      <c r="P394" s="69">
        <f t="shared" si="98"/>
        <v>12357.273333333333</v>
      </c>
      <c r="Q394" s="69">
        <f t="shared" si="98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H394" s="81"/>
    </row>
    <row r="395" spans="1:34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99">ROUND(H395+J395+L395,5)</f>
        <v>8975</v>
      </c>
      <c r="O395" s="66">
        <f t="shared" si="99"/>
        <v>9000</v>
      </c>
      <c r="P395" s="69">
        <f t="shared" si="98"/>
        <v>2991.6666666666665</v>
      </c>
      <c r="Q395" s="69">
        <f t="shared" si="98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H395" s="81"/>
    </row>
    <row r="396" spans="1:34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99"/>
        <v>52589.599999999999</v>
      </c>
      <c r="O396" s="66">
        <f t="shared" si="99"/>
        <v>30000</v>
      </c>
      <c r="P396" s="69">
        <f t="shared" si="98"/>
        <v>17529.866666666665</v>
      </c>
      <c r="Q396" s="69">
        <f t="shared" si="98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H396" s="81"/>
    </row>
    <row r="397" spans="1:34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99"/>
        <v>7521.01</v>
      </c>
      <c r="O397" s="66">
        <f t="shared" si="99"/>
        <v>33000</v>
      </c>
      <c r="P397" s="69">
        <f t="shared" si="98"/>
        <v>2507.0033333333336</v>
      </c>
      <c r="Q397" s="69">
        <f t="shared" si="98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H397" s="81"/>
    </row>
    <row r="398" spans="1:34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99"/>
        <v>0</v>
      </c>
      <c r="O398" s="66">
        <f t="shared" si="99"/>
        <v>600</v>
      </c>
      <c r="P398" s="69">
        <f t="shared" si="98"/>
        <v>0</v>
      </c>
      <c r="Q398" s="69">
        <f t="shared" si="98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H398" s="81"/>
    </row>
    <row r="399" spans="1:34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99"/>
        <v>0</v>
      </c>
      <c r="O399" s="66">
        <f t="shared" si="99"/>
        <v>2000</v>
      </c>
      <c r="P399" s="69">
        <f t="shared" si="98"/>
        <v>0</v>
      </c>
      <c r="Q399" s="69">
        <f t="shared" si="98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H399" s="81"/>
    </row>
    <row r="400" spans="1:34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99"/>
        <v>17586.919999999998</v>
      </c>
      <c r="O400" s="66">
        <f t="shared" si="99"/>
        <v>14000</v>
      </c>
      <c r="P400" s="69">
        <f t="shared" si="98"/>
        <v>5862.3066666666664</v>
      </c>
      <c r="Q400" s="69">
        <f t="shared" si="98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H400" s="81"/>
    </row>
    <row r="401" spans="1:34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99"/>
        <v>263874.56</v>
      </c>
      <c r="O401" s="66">
        <f t="shared" si="99"/>
        <v>238680</v>
      </c>
      <c r="P401" s="69">
        <f t="shared" si="98"/>
        <v>87958.186666666661</v>
      </c>
      <c r="Q401" s="69">
        <f t="shared" si="98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H401" s="81"/>
    </row>
    <row r="402" spans="1:34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99"/>
        <v>40633.14</v>
      </c>
      <c r="O402" s="66">
        <f t="shared" si="99"/>
        <v>30000</v>
      </c>
      <c r="P402" s="69">
        <f t="shared" si="98"/>
        <v>13544.38</v>
      </c>
      <c r="Q402" s="69">
        <f t="shared" si="98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H402" s="81"/>
    </row>
    <row r="403" spans="1:34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H403" s="81"/>
    </row>
    <row r="404" spans="1:34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98"/>
        <v>6954.9000000000005</v>
      </c>
      <c r="Q404" s="74">
        <f t="shared" si="98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H404" s="81"/>
    </row>
    <row r="405" spans="1:34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100">ROUND(SUM(H403:H404),5)</f>
        <v>4300</v>
      </c>
      <c r="I405" s="63">
        <f t="shared" si="100"/>
        <v>5000</v>
      </c>
      <c r="J405" s="64">
        <f t="shared" si="100"/>
        <v>13564.7</v>
      </c>
      <c r="K405" s="64">
        <f t="shared" si="100"/>
        <v>5000</v>
      </c>
      <c r="L405" s="65">
        <f t="shared" si="100"/>
        <v>3000</v>
      </c>
      <c r="M405" s="65">
        <f t="shared" si="100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98"/>
        <v>6954.9000000000005</v>
      </c>
      <c r="Q405" s="69">
        <f t="shared" si="98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F405" s="66"/>
      <c r="AH405" s="81"/>
    </row>
    <row r="406" spans="1:34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101">ROUND(H406+J406+L406,5)</f>
        <v>105788.02</v>
      </c>
      <c r="O406" s="66"/>
      <c r="P406" s="69">
        <f t="shared" si="98"/>
        <v>35262.673333333332</v>
      </c>
      <c r="Q406" s="69">
        <f t="shared" si="98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F406" s="66"/>
      <c r="AH406" s="81"/>
    </row>
    <row r="407" spans="1:34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101"/>
        <v>27888.79</v>
      </c>
      <c r="O407" s="66">
        <f t="shared" si="101"/>
        <v>14500</v>
      </c>
      <c r="P407" s="69">
        <f t="shared" si="98"/>
        <v>9296.2633333333342</v>
      </c>
      <c r="Q407" s="69">
        <f t="shared" si="98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H407" s="81"/>
    </row>
    <row r="408" spans="1:34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101"/>
        <v>1953.33</v>
      </c>
      <c r="O408" s="66">
        <f t="shared" si="101"/>
        <v>6000</v>
      </c>
      <c r="P408" s="69">
        <f t="shared" si="98"/>
        <v>651.11</v>
      </c>
      <c r="Q408" s="69">
        <f t="shared" si="98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H408" s="81"/>
    </row>
    <row r="409" spans="1:34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101"/>
        <v>30325</v>
      </c>
      <c r="O409" s="66">
        <f t="shared" si="101"/>
        <v>48125</v>
      </c>
      <c r="P409" s="69">
        <f t="shared" si="98"/>
        <v>10108.333333333334</v>
      </c>
      <c r="Q409" s="69">
        <f t="shared" si="98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H409"/>
    </row>
    <row r="410" spans="1:34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101"/>
        <v>27786.38</v>
      </c>
      <c r="O410" s="66">
        <f t="shared" si="101"/>
        <v>28000</v>
      </c>
      <c r="P410" s="69">
        <f t="shared" si="98"/>
        <v>9262.126666666667</v>
      </c>
      <c r="Q410" s="69">
        <f t="shared" si="98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H410" s="81"/>
    </row>
    <row r="411" spans="1:34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101"/>
        <v>26434.84</v>
      </c>
      <c r="O411" s="66">
        <f t="shared" si="101"/>
        <v>22000</v>
      </c>
      <c r="P411" s="69">
        <f t="shared" si="98"/>
        <v>8811.6133333333328</v>
      </c>
      <c r="Q411" s="69">
        <f t="shared" si="98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H411" s="81"/>
    </row>
    <row r="412" spans="1:34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101"/>
        <v>345.05</v>
      </c>
      <c r="O412" s="66">
        <f t="shared" si="101"/>
        <v>5000</v>
      </c>
      <c r="P412" s="69">
        <f t="shared" si="98"/>
        <v>115.01666666666667</v>
      </c>
      <c r="Q412" s="69">
        <f t="shared" si="98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H412" s="81"/>
    </row>
    <row r="413" spans="1:34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101"/>
        <v>3188.14</v>
      </c>
      <c r="O413" s="66">
        <v>0</v>
      </c>
      <c r="P413" s="69">
        <f t="shared" si="98"/>
        <v>1062.7133333333334</v>
      </c>
      <c r="Q413" s="69">
        <f t="shared" si="98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H413" s="81"/>
    </row>
    <row r="414" spans="1:34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101"/>
        <v>15583.87</v>
      </c>
      <c r="O414" s="66">
        <f t="shared" si="101"/>
        <v>20000</v>
      </c>
      <c r="P414" s="69">
        <f t="shared" si="98"/>
        <v>5194.6233333333339</v>
      </c>
      <c r="Q414" s="69">
        <f t="shared" si="98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H414" s="81"/>
    </row>
    <row r="415" spans="1:34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101"/>
        <v>4107.4799999999996</v>
      </c>
      <c r="O415" s="66">
        <f t="shared" si="101"/>
        <v>8000</v>
      </c>
      <c r="P415" s="69">
        <f t="shared" si="98"/>
        <v>1369.1599999999999</v>
      </c>
      <c r="Q415" s="69">
        <f t="shared" si="98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H415" s="81"/>
    </row>
    <row r="416" spans="1:34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101"/>
        <v>10387.33</v>
      </c>
      <c r="O416" s="66">
        <f t="shared" si="101"/>
        <v>11000</v>
      </c>
      <c r="P416" s="69">
        <f t="shared" si="98"/>
        <v>3462.4433333333332</v>
      </c>
      <c r="Q416" s="69">
        <f t="shared" si="98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H416" s="81"/>
    </row>
    <row r="417" spans="1:39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101"/>
        <v>123299.08</v>
      </c>
      <c r="O417" s="66">
        <f t="shared" si="101"/>
        <v>180000</v>
      </c>
      <c r="P417" s="69">
        <f t="shared" si="98"/>
        <v>41099.693333333336</v>
      </c>
      <c r="Q417" s="69">
        <f t="shared" si="98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H417" s="81"/>
    </row>
    <row r="418" spans="1:39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101"/>
        <v>53539.32</v>
      </c>
      <c r="O418" s="66">
        <f t="shared" si="101"/>
        <v>120000</v>
      </c>
      <c r="P418" s="69">
        <f t="shared" si="98"/>
        <v>17846.439999999999</v>
      </c>
      <c r="Q418" s="69">
        <f t="shared" si="98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H418" s="81"/>
    </row>
    <row r="419" spans="1:39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101"/>
        <v>81778</v>
      </c>
      <c r="O419" s="66">
        <f t="shared" si="101"/>
        <v>99652</v>
      </c>
      <c r="P419" s="69">
        <f t="shared" si="98"/>
        <v>27259.333333333332</v>
      </c>
      <c r="Q419" s="69">
        <f t="shared" si="98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H419" s="81"/>
    </row>
    <row r="420" spans="1:39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101"/>
        <v>148630.20000000001</v>
      </c>
      <c r="O420" s="66">
        <f t="shared" si="101"/>
        <v>100000</v>
      </c>
      <c r="P420" s="69">
        <f t="shared" si="98"/>
        <v>49543.4</v>
      </c>
      <c r="Q420" s="69">
        <f t="shared" si="98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H420" s="81"/>
    </row>
    <row r="421" spans="1:39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101"/>
        <v>1435.5</v>
      </c>
      <c r="O421" s="66">
        <f t="shared" si="101"/>
        <v>10500</v>
      </c>
      <c r="P421" s="69">
        <f t="shared" si="98"/>
        <v>478.5</v>
      </c>
      <c r="Q421" s="69">
        <f t="shared" si="98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H421" s="81"/>
    </row>
    <row r="422" spans="1:39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101"/>
        <v>32871.629999999997</v>
      </c>
      <c r="O422" s="66">
        <f t="shared" si="101"/>
        <v>58400</v>
      </c>
      <c r="P422" s="69">
        <f t="shared" si="98"/>
        <v>10957.21</v>
      </c>
      <c r="Q422" s="69">
        <f t="shared" si="98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H422" s="81"/>
    </row>
    <row r="423" spans="1:39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102">ROUND(SUM(H378:H402)+SUM(H405:H422),5)</f>
        <v>971394.67</v>
      </c>
      <c r="I423" s="75">
        <f t="shared" si="102"/>
        <v>759280</v>
      </c>
      <c r="J423" s="76">
        <f t="shared" si="102"/>
        <v>1081537.1200000001</v>
      </c>
      <c r="K423" s="76">
        <f t="shared" si="102"/>
        <v>896198</v>
      </c>
      <c r="L423" s="77">
        <f t="shared" si="102"/>
        <v>923156.36</v>
      </c>
      <c r="M423" s="77">
        <f t="shared" si="102"/>
        <v>887696</v>
      </c>
      <c r="N423" s="78">
        <f t="shared" si="101"/>
        <v>2976088.15</v>
      </c>
      <c r="O423" s="78">
        <f t="shared" si="101"/>
        <v>2543174</v>
      </c>
      <c r="P423" s="79">
        <f t="shared" si="98"/>
        <v>992029.3833333333</v>
      </c>
      <c r="Q423" s="79">
        <f t="shared" si="98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>ROUND(SUM(AB378:AB422),5)</f>
        <v>904046</v>
      </c>
      <c r="AC423" s="80">
        <f>ROUND(SUM(AC378:AC422),5)</f>
        <v>904046</v>
      </c>
      <c r="AD423" s="80">
        <f>ROUND(SUM(AD378:AD422),5)</f>
        <v>904046</v>
      </c>
      <c r="AE423" s="80">
        <f>ROUND(SUM(AE378:AE422),5)</f>
        <v>904046</v>
      </c>
      <c r="AF423" s="80">
        <f>ROUND(SUM(AF378:AF422),5)</f>
        <v>862453.9</v>
      </c>
      <c r="AH423" s="127">
        <f>AF215-AF423</f>
        <v>13546.099999999977</v>
      </c>
    </row>
    <row r="424" spans="1:39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F424" s="66"/>
      <c r="AH424" s="128" t="s">
        <v>952</v>
      </c>
    </row>
    <row r="425" spans="1:39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98"/>
        <v>3054.66</v>
      </c>
      <c r="Q425" s="69">
        <f t="shared" si="98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</row>
    <row r="426" spans="1:39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98"/>
        <v>1456.0866666666668</v>
      </c>
      <c r="Q426" s="69">
        <f t="shared" si="98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</row>
    <row r="427" spans="1:39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98"/>
        <v>4510.7466666666669</v>
      </c>
      <c r="Q427" s="87">
        <f t="shared" si="98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>ROUND(SUM(AB424:AB426),5)</f>
        <v>0</v>
      </c>
      <c r="AC427" s="88">
        <f>ROUND(SUM(AC424:AC426),5)</f>
        <v>0</v>
      </c>
      <c r="AD427" s="88">
        <f>ROUND(SUM(AD424:AD426),5)</f>
        <v>0</v>
      </c>
      <c r="AE427" s="88">
        <f>ROUND(SUM(AE424:AE426),5)</f>
        <v>0</v>
      </c>
      <c r="AF427" s="88">
        <f>ROUND(SUM(AF424:AF426),5)</f>
        <v>0</v>
      </c>
    </row>
    <row r="428" spans="1:39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103">ROUND(H377+H423+H427,5)</f>
        <v>971394.67</v>
      </c>
      <c r="I428" s="63">
        <f t="shared" si="103"/>
        <v>759280</v>
      </c>
      <c r="J428" s="64">
        <f t="shared" si="103"/>
        <v>1094481.01</v>
      </c>
      <c r="K428" s="64">
        <f t="shared" si="103"/>
        <v>896198</v>
      </c>
      <c r="L428" s="65">
        <f t="shared" si="103"/>
        <v>923744.71</v>
      </c>
      <c r="M428" s="65">
        <f t="shared" si="103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98"/>
        <v>996540.13</v>
      </c>
      <c r="Q428" s="69">
        <f t="shared" si="98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>ROUND(AB377+AB423+AB427,5)</f>
        <v>904046</v>
      </c>
      <c r="AC428" s="66">
        <f>ROUND(AC377+AC423+AC427,5)</f>
        <v>904046</v>
      </c>
      <c r="AD428" s="66">
        <f>ROUND(AD377+AD423+AD427,5)</f>
        <v>904046</v>
      </c>
      <c r="AE428" s="66">
        <f>ROUND(AE377+AE423+AE427,5)</f>
        <v>904046</v>
      </c>
      <c r="AF428" s="66">
        <f>ROUND(AF377+AF423+AF427,5)</f>
        <v>862453.9</v>
      </c>
    </row>
    <row r="429" spans="1:39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98"/>
        <v>0</v>
      </c>
      <c r="Q429" s="69">
        <f t="shared" si="98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  <c r="AF429" s="66"/>
    </row>
    <row r="430" spans="1:39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98"/>
        <v>0</v>
      </c>
      <c r="Q430" s="69">
        <f t="shared" si="98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F430" s="66"/>
      <c r="AH430" s="111">
        <v>20000</v>
      </c>
    </row>
    <row r="431" spans="1:39" ht="16" x14ac:dyDescent="0.4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104">ROUND(H431+J431+L431,5)</f>
        <v>22454.45</v>
      </c>
      <c r="O431" s="66">
        <f t="shared" si="104"/>
        <v>22500</v>
      </c>
      <c r="P431" s="69">
        <f t="shared" si="98"/>
        <v>7484.8166666666666</v>
      </c>
      <c r="Q431" s="69">
        <f t="shared" si="98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f t="shared" ref="AC431:AC440" si="105">AH431</f>
        <v>8862.5</v>
      </c>
      <c r="AD431" s="66">
        <f t="shared" ref="AD431:AD440" si="106">AH431</f>
        <v>8862.5</v>
      </c>
      <c r="AE431" s="66">
        <v>9000</v>
      </c>
      <c r="AF431" s="66">
        <v>9000</v>
      </c>
      <c r="AG431" s="166" t="s">
        <v>954</v>
      </c>
      <c r="AH431" s="112">
        <f>4800+AM431</f>
        <v>8862.5</v>
      </c>
      <c r="AI431" s="81">
        <f>AB431-Z431</f>
        <v>0</v>
      </c>
      <c r="AJ431" s="81">
        <f t="shared" ref="AJ431:AJ441" si="107">AC431-AB431</f>
        <v>-137.5</v>
      </c>
      <c r="AK431" s="46">
        <v>13</v>
      </c>
      <c r="AL431" s="131">
        <f>AK431/$AK$441</f>
        <v>0.203125</v>
      </c>
      <c r="AM431" s="111">
        <f>$AH$430*AL431</f>
        <v>4062.5</v>
      </c>
    </row>
    <row r="432" spans="1:39" ht="16" x14ac:dyDescent="0.4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104"/>
        <v>13414.87</v>
      </c>
      <c r="O432" s="66">
        <f t="shared" si="104"/>
        <v>22500</v>
      </c>
      <c r="P432" s="69">
        <f t="shared" si="98"/>
        <v>4471.6233333333339</v>
      </c>
      <c r="Q432" s="69">
        <f t="shared" si="98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f t="shared" si="105"/>
        <v>6987.5</v>
      </c>
      <c r="AD432" s="66">
        <f t="shared" si="106"/>
        <v>6987.5</v>
      </c>
      <c r="AE432" s="66">
        <v>9000</v>
      </c>
      <c r="AF432" s="66">
        <v>9000</v>
      </c>
      <c r="AG432" s="166" t="s">
        <v>954</v>
      </c>
      <c r="AH432" s="112">
        <f t="shared" ref="AH432:AH440" si="108">4800+AM432</f>
        <v>6987.5</v>
      </c>
      <c r="AI432" s="81">
        <f t="shared" ref="AI432:AI489" si="109">AB432-Z432</f>
        <v>0</v>
      </c>
      <c r="AJ432" s="81">
        <f t="shared" si="107"/>
        <v>-2012.5</v>
      </c>
      <c r="AK432" s="46">
        <v>7</v>
      </c>
      <c r="AL432" s="131">
        <f t="shared" ref="AL432:AL440" si="110">AK432/$AK$441</f>
        <v>0.109375</v>
      </c>
      <c r="AM432" s="111">
        <f t="shared" ref="AM432:AM440" si="111">$AH$430*AL432</f>
        <v>2187.5</v>
      </c>
    </row>
    <row r="433" spans="1:39" ht="16" x14ac:dyDescent="0.4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104"/>
        <v>14590.26</v>
      </c>
      <c r="O433" s="66">
        <f t="shared" si="104"/>
        <v>22500</v>
      </c>
      <c r="P433" s="69">
        <f t="shared" si="98"/>
        <v>4863.42</v>
      </c>
      <c r="Q433" s="69">
        <f t="shared" si="98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f t="shared" si="105"/>
        <v>6675</v>
      </c>
      <c r="AD433" s="66">
        <f t="shared" si="106"/>
        <v>6675</v>
      </c>
      <c r="AE433" s="66">
        <v>9000</v>
      </c>
      <c r="AF433" s="66">
        <v>9000</v>
      </c>
      <c r="AG433" s="166" t="s">
        <v>954</v>
      </c>
      <c r="AH433" s="112">
        <f t="shared" si="108"/>
        <v>6675</v>
      </c>
      <c r="AI433" s="81">
        <f t="shared" si="109"/>
        <v>0</v>
      </c>
      <c r="AJ433" s="81">
        <f t="shared" si="107"/>
        <v>-2325</v>
      </c>
      <c r="AK433" s="46">
        <v>6</v>
      </c>
      <c r="AL433" s="131">
        <f t="shared" si="110"/>
        <v>9.375E-2</v>
      </c>
      <c r="AM433" s="111">
        <f t="shared" si="111"/>
        <v>1875</v>
      </c>
    </row>
    <row r="434" spans="1:39" ht="16" x14ac:dyDescent="0.4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104"/>
        <v>11509.98</v>
      </c>
      <c r="O434" s="66">
        <f t="shared" si="104"/>
        <v>22500</v>
      </c>
      <c r="P434" s="69">
        <f t="shared" si="98"/>
        <v>3836.66</v>
      </c>
      <c r="Q434" s="69">
        <f t="shared" si="98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f t="shared" si="105"/>
        <v>6987.5</v>
      </c>
      <c r="AD434" s="66">
        <f t="shared" si="106"/>
        <v>6987.5</v>
      </c>
      <c r="AE434" s="66">
        <v>9000</v>
      </c>
      <c r="AF434" s="66">
        <v>9000</v>
      </c>
      <c r="AG434" s="166" t="s">
        <v>954</v>
      </c>
      <c r="AH434" s="112">
        <f t="shared" si="108"/>
        <v>6987.5</v>
      </c>
      <c r="AI434" s="81">
        <f t="shared" si="109"/>
        <v>0</v>
      </c>
      <c r="AJ434" s="81">
        <f t="shared" si="107"/>
        <v>-2012.5</v>
      </c>
      <c r="AK434" s="46">
        <v>7</v>
      </c>
      <c r="AL434" s="131">
        <f t="shared" si="110"/>
        <v>0.109375</v>
      </c>
      <c r="AM434" s="111">
        <f t="shared" si="111"/>
        <v>2187.5</v>
      </c>
    </row>
    <row r="435" spans="1:39" ht="16" x14ac:dyDescent="0.4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104"/>
        <v>19031.37</v>
      </c>
      <c r="O435" s="66">
        <f t="shared" si="104"/>
        <v>22500</v>
      </c>
      <c r="P435" s="69">
        <f t="shared" si="98"/>
        <v>6343.79</v>
      </c>
      <c r="Q435" s="69">
        <f t="shared" si="98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f t="shared" si="105"/>
        <v>7300</v>
      </c>
      <c r="AD435" s="66">
        <f t="shared" si="106"/>
        <v>7300</v>
      </c>
      <c r="AE435" s="66">
        <v>9000</v>
      </c>
      <c r="AF435" s="66">
        <v>9000</v>
      </c>
      <c r="AG435" s="166" t="s">
        <v>954</v>
      </c>
      <c r="AH435" s="112">
        <f t="shared" si="108"/>
        <v>7300</v>
      </c>
      <c r="AI435" s="81">
        <f t="shared" si="109"/>
        <v>0</v>
      </c>
      <c r="AJ435" s="81">
        <f t="shared" si="107"/>
        <v>-1700</v>
      </c>
      <c r="AK435" s="46">
        <v>8</v>
      </c>
      <c r="AL435" s="131">
        <f t="shared" si="110"/>
        <v>0.125</v>
      </c>
      <c r="AM435" s="111">
        <f t="shared" si="111"/>
        <v>2500</v>
      </c>
    </row>
    <row r="436" spans="1:39" ht="16" x14ac:dyDescent="0.4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104"/>
        <v>19829.439999999999</v>
      </c>
      <c r="O436" s="66">
        <f t="shared" si="104"/>
        <v>22500</v>
      </c>
      <c r="P436" s="69">
        <f t="shared" si="98"/>
        <v>6609.8133333333326</v>
      </c>
      <c r="Q436" s="69">
        <f t="shared" si="98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f t="shared" si="105"/>
        <v>6987.5</v>
      </c>
      <c r="AD436" s="66">
        <f t="shared" si="106"/>
        <v>6987.5</v>
      </c>
      <c r="AE436" s="66">
        <v>9000</v>
      </c>
      <c r="AF436" s="66">
        <v>9000</v>
      </c>
      <c r="AG436" s="166" t="s">
        <v>954</v>
      </c>
      <c r="AH436" s="112">
        <f t="shared" si="108"/>
        <v>6987.5</v>
      </c>
      <c r="AI436" s="81">
        <f t="shared" si="109"/>
        <v>0</v>
      </c>
      <c r="AJ436" s="81">
        <f t="shared" si="107"/>
        <v>-2012.5</v>
      </c>
      <c r="AK436" s="46">
        <v>7</v>
      </c>
      <c r="AL436" s="131">
        <f t="shared" si="110"/>
        <v>0.109375</v>
      </c>
      <c r="AM436" s="111">
        <f t="shared" si="111"/>
        <v>2187.5</v>
      </c>
    </row>
    <row r="437" spans="1:39" ht="16" x14ac:dyDescent="0.4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104"/>
        <v>6373.1</v>
      </c>
      <c r="O437" s="66">
        <f t="shared" si="104"/>
        <v>22500</v>
      </c>
      <c r="P437" s="69">
        <f t="shared" si="98"/>
        <v>2124.3666666666668</v>
      </c>
      <c r="Q437" s="69">
        <f t="shared" si="98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f t="shared" si="105"/>
        <v>6675</v>
      </c>
      <c r="AD437" s="66">
        <f t="shared" si="106"/>
        <v>6675</v>
      </c>
      <c r="AE437" s="66">
        <v>9000</v>
      </c>
      <c r="AF437" s="66">
        <v>9000</v>
      </c>
      <c r="AG437" s="166" t="s">
        <v>954</v>
      </c>
      <c r="AH437" s="112">
        <f t="shared" si="108"/>
        <v>6675</v>
      </c>
      <c r="AI437" s="81">
        <f t="shared" si="109"/>
        <v>0</v>
      </c>
      <c r="AJ437" s="81">
        <f t="shared" si="107"/>
        <v>-2325</v>
      </c>
      <c r="AK437" s="46">
        <v>6</v>
      </c>
      <c r="AL437" s="131">
        <f t="shared" si="110"/>
        <v>9.375E-2</v>
      </c>
      <c r="AM437" s="111">
        <f t="shared" si="111"/>
        <v>1875</v>
      </c>
    </row>
    <row r="438" spans="1:39" ht="16" x14ac:dyDescent="0.4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104"/>
        <v>18080.3</v>
      </c>
      <c r="O438" s="66">
        <f t="shared" si="104"/>
        <v>22500</v>
      </c>
      <c r="P438" s="69">
        <f t="shared" si="98"/>
        <v>6026.7666666666664</v>
      </c>
      <c r="Q438" s="69">
        <f t="shared" si="98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f t="shared" si="105"/>
        <v>5737.5</v>
      </c>
      <c r="AD438" s="66">
        <f t="shared" si="106"/>
        <v>5737.5</v>
      </c>
      <c r="AE438" s="66">
        <v>9000</v>
      </c>
      <c r="AF438" s="66">
        <v>9000</v>
      </c>
      <c r="AG438" s="166" t="s">
        <v>954</v>
      </c>
      <c r="AH438" s="112">
        <f t="shared" si="108"/>
        <v>5737.5</v>
      </c>
      <c r="AI438" s="81">
        <f t="shared" si="109"/>
        <v>0</v>
      </c>
      <c r="AJ438" s="81">
        <f t="shared" si="107"/>
        <v>-3262.5</v>
      </c>
      <c r="AK438" s="46">
        <v>3</v>
      </c>
      <c r="AL438" s="131">
        <f t="shared" si="110"/>
        <v>4.6875E-2</v>
      </c>
      <c r="AM438" s="111">
        <f t="shared" si="111"/>
        <v>937.5</v>
      </c>
    </row>
    <row r="439" spans="1:39" ht="16" x14ac:dyDescent="0.4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104"/>
        <v>7603.5</v>
      </c>
      <c r="O439" s="66">
        <f t="shared" si="104"/>
        <v>22500</v>
      </c>
      <c r="P439" s="69">
        <f t="shared" si="98"/>
        <v>2534.5</v>
      </c>
      <c r="Q439" s="69">
        <f t="shared" si="98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f t="shared" si="105"/>
        <v>5737.5</v>
      </c>
      <c r="AD439" s="66">
        <f t="shared" si="106"/>
        <v>5737.5</v>
      </c>
      <c r="AE439" s="66">
        <v>9000</v>
      </c>
      <c r="AF439" s="66">
        <v>9000</v>
      </c>
      <c r="AG439" s="166" t="s">
        <v>954</v>
      </c>
      <c r="AH439" s="112">
        <f t="shared" si="108"/>
        <v>5737.5</v>
      </c>
      <c r="AI439" s="81">
        <f t="shared" si="109"/>
        <v>0</v>
      </c>
      <c r="AJ439" s="81">
        <f t="shared" si="107"/>
        <v>-3262.5</v>
      </c>
      <c r="AK439" s="46">
        <v>3</v>
      </c>
      <c r="AL439" s="131">
        <f t="shared" si="110"/>
        <v>4.6875E-2</v>
      </c>
      <c r="AM439" s="111">
        <f t="shared" si="111"/>
        <v>937.5</v>
      </c>
    </row>
    <row r="440" spans="1:39" ht="16.5" thickBot="1" x14ac:dyDescent="0.45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104"/>
        <v>10711.38</v>
      </c>
      <c r="O440" s="73">
        <f t="shared" si="104"/>
        <v>22500</v>
      </c>
      <c r="P440" s="74">
        <f t="shared" si="98"/>
        <v>3570.4599999999996</v>
      </c>
      <c r="Q440" s="74">
        <f t="shared" si="98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f t="shared" si="105"/>
        <v>6050</v>
      </c>
      <c r="AD440" s="66">
        <f t="shared" si="106"/>
        <v>6050</v>
      </c>
      <c r="AE440" s="66">
        <v>9000</v>
      </c>
      <c r="AF440" s="66">
        <v>9000</v>
      </c>
      <c r="AG440" s="166" t="s">
        <v>954</v>
      </c>
      <c r="AH440" s="112">
        <f t="shared" si="108"/>
        <v>6050</v>
      </c>
      <c r="AI440" s="81">
        <f t="shared" si="109"/>
        <v>0</v>
      </c>
      <c r="AJ440" s="81">
        <f t="shared" si="107"/>
        <v>-2950</v>
      </c>
      <c r="AK440" s="46">
        <v>4</v>
      </c>
      <c r="AL440" s="131">
        <f t="shared" si="110"/>
        <v>6.25E-2</v>
      </c>
      <c r="AM440" s="111">
        <f t="shared" si="111"/>
        <v>1250</v>
      </c>
    </row>
    <row r="441" spans="1:39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112">ROUND(SUM(H430:H440),5)</f>
        <v>39609.57</v>
      </c>
      <c r="I441" s="63">
        <f t="shared" si="112"/>
        <v>75000</v>
      </c>
      <c r="J441" s="64">
        <f t="shared" si="112"/>
        <v>50436.92</v>
      </c>
      <c r="K441" s="64">
        <f t="shared" si="112"/>
        <v>75000</v>
      </c>
      <c r="L441" s="65">
        <f t="shared" si="112"/>
        <v>53552.160000000003</v>
      </c>
      <c r="M441" s="65">
        <f t="shared" si="112"/>
        <v>75000</v>
      </c>
      <c r="N441" s="66">
        <f t="shared" si="104"/>
        <v>143598.65</v>
      </c>
      <c r="O441" s="66">
        <f t="shared" si="104"/>
        <v>225000</v>
      </c>
      <c r="P441" s="69">
        <f t="shared" si="98"/>
        <v>47866.216666666667</v>
      </c>
      <c r="Q441" s="69">
        <f t="shared" si="98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>ROUND(SUM(AB430:AB440),5)</f>
        <v>90000</v>
      </c>
      <c r="AC441" s="80">
        <f>ROUND(SUM(AC430:AC440),5)</f>
        <v>68000</v>
      </c>
      <c r="AD441" s="80">
        <f>ROUND(SUM(AD430:AD440),5)</f>
        <v>88000</v>
      </c>
      <c r="AE441" s="80">
        <f>ROUND(SUM(AE430:AE440),5)</f>
        <v>90000</v>
      </c>
      <c r="AF441" s="80">
        <f>ROUND(SUM(AF430:AF440),5)</f>
        <v>90000</v>
      </c>
      <c r="AH441" s="112">
        <f>SUM(AH431:AH440)</f>
        <v>68000</v>
      </c>
      <c r="AI441" s="81">
        <f t="shared" si="109"/>
        <v>0</v>
      </c>
      <c r="AJ441" s="81">
        <f t="shared" si="107"/>
        <v>-22000</v>
      </c>
      <c r="AK441" s="46">
        <f>SUM(AK431:AK440)</f>
        <v>64</v>
      </c>
      <c r="AM441" s="111">
        <f>SUM(AM431:AM440)</f>
        <v>20000</v>
      </c>
    </row>
    <row r="442" spans="1:39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F442" s="66"/>
      <c r="AI442" s="81"/>
      <c r="AJ442" s="81"/>
    </row>
    <row r="443" spans="1:39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F443" s="66"/>
      <c r="AI443" s="81"/>
      <c r="AJ443" s="81"/>
    </row>
    <row r="444" spans="1:39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113">ROUND(H444+J444+L444,5)</f>
        <v>3082.32</v>
      </c>
      <c r="O444" s="66">
        <f t="shared" si="113"/>
        <v>6500</v>
      </c>
      <c r="P444" s="69">
        <f t="shared" si="98"/>
        <v>1027.44</v>
      </c>
      <c r="Q444" s="69">
        <f t="shared" si="98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f>Travel!$T$139</f>
        <v>3700</v>
      </c>
      <c r="AI444" s="81">
        <f t="shared" si="109"/>
        <v>200</v>
      </c>
      <c r="AJ444" s="81">
        <f t="shared" ref="AJ444:AK475" si="114">AC444-AB444</f>
        <v>0</v>
      </c>
      <c r="AK444" s="81">
        <f t="shared" si="114"/>
        <v>0</v>
      </c>
      <c r="AM444" s="81">
        <f>AF444-AE444</f>
        <v>0</v>
      </c>
    </row>
    <row r="445" spans="1:39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113"/>
        <v>4346.18</v>
      </c>
      <c r="O445" s="66">
        <f t="shared" si="113"/>
        <v>6500</v>
      </c>
      <c r="P445" s="69">
        <f t="shared" si="98"/>
        <v>1448.7266666666667</v>
      </c>
      <c r="Q445" s="69">
        <f t="shared" si="98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f>Travel!$T$141</f>
        <v>3700</v>
      </c>
      <c r="AI445" s="81">
        <f t="shared" si="109"/>
        <v>200</v>
      </c>
      <c r="AJ445" s="81">
        <f t="shared" si="114"/>
        <v>0</v>
      </c>
      <c r="AK445" s="81">
        <f t="shared" si="114"/>
        <v>0</v>
      </c>
      <c r="AM445" s="81">
        <f t="shared" ref="AM445:AM508" si="115">AF445-AE445</f>
        <v>0</v>
      </c>
    </row>
    <row r="446" spans="1:39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113"/>
        <v>1181.1600000000001</v>
      </c>
      <c r="O446" s="66">
        <f t="shared" si="113"/>
        <v>6500</v>
      </c>
      <c r="P446" s="69">
        <f t="shared" si="98"/>
        <v>393.72</v>
      </c>
      <c r="Q446" s="69">
        <f t="shared" si="98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f>Travel!$T$145</f>
        <v>3700</v>
      </c>
      <c r="AH446" s="89"/>
      <c r="AI446" s="81">
        <f t="shared" si="109"/>
        <v>200</v>
      </c>
      <c r="AJ446" s="81">
        <f t="shared" si="114"/>
        <v>0</v>
      </c>
      <c r="AK446" s="81">
        <f t="shared" si="114"/>
        <v>0</v>
      </c>
      <c r="AM446" s="81">
        <f t="shared" si="115"/>
        <v>0</v>
      </c>
    </row>
    <row r="447" spans="1:39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113"/>
        <v>1117.28</v>
      </c>
      <c r="O447" s="66">
        <f t="shared" si="113"/>
        <v>3500</v>
      </c>
      <c r="P447" s="69">
        <f t="shared" si="98"/>
        <v>372.42666666666668</v>
      </c>
      <c r="Q447" s="69">
        <f t="shared" si="98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f>Travel!$T$149</f>
        <v>3700</v>
      </c>
      <c r="AH447" s="89"/>
      <c r="AI447" s="81">
        <f t="shared" si="109"/>
        <v>200</v>
      </c>
      <c r="AJ447" s="81">
        <f t="shared" si="114"/>
        <v>0</v>
      </c>
      <c r="AK447" s="81">
        <f t="shared" si="114"/>
        <v>0</v>
      </c>
      <c r="AM447" s="81">
        <f t="shared" si="115"/>
        <v>0</v>
      </c>
    </row>
    <row r="448" spans="1:39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113"/>
        <v>5060.6499999999996</v>
      </c>
      <c r="O448" s="66">
        <f t="shared" si="113"/>
        <v>6500</v>
      </c>
      <c r="P448" s="69">
        <f t="shared" si="98"/>
        <v>1686.8833333333332</v>
      </c>
      <c r="Q448" s="69">
        <f t="shared" si="98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f>Travel!$T$151</f>
        <v>3700</v>
      </c>
      <c r="AH448" s="89"/>
      <c r="AI448" s="81">
        <f t="shared" si="109"/>
        <v>200</v>
      </c>
      <c r="AJ448" s="81">
        <f t="shared" si="114"/>
        <v>0</v>
      </c>
      <c r="AK448" s="81">
        <f t="shared" si="114"/>
        <v>0</v>
      </c>
      <c r="AM448" s="81">
        <f t="shared" si="115"/>
        <v>0</v>
      </c>
    </row>
    <row r="449" spans="1:39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113"/>
        <v>2560.85</v>
      </c>
      <c r="O449" s="66">
        <f t="shared" si="113"/>
        <v>3500</v>
      </c>
      <c r="P449" s="69">
        <f t="shared" si="98"/>
        <v>853.61666666666667</v>
      </c>
      <c r="Q449" s="69">
        <f t="shared" si="98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5">
        <f>Travel!$T$153</f>
        <v>3700</v>
      </c>
      <c r="AC449" s="65">
        <f>Travel!$T$153</f>
        <v>3700</v>
      </c>
      <c r="AD449" s="65">
        <f>Travel!$T$153</f>
        <v>3700</v>
      </c>
      <c r="AE449" s="65">
        <f>Travel!$T$153</f>
        <v>3700</v>
      </c>
      <c r="AF449" s="65">
        <f>Travel!$T$153</f>
        <v>3700</v>
      </c>
      <c r="AH449" s="116" t="s">
        <v>862</v>
      </c>
      <c r="AI449" s="81">
        <f t="shared" si="109"/>
        <v>200</v>
      </c>
      <c r="AJ449" s="81">
        <f t="shared" si="114"/>
        <v>0</v>
      </c>
      <c r="AK449" s="81">
        <f t="shared" si="114"/>
        <v>0</v>
      </c>
      <c r="AM449" s="81">
        <f t="shared" si="115"/>
        <v>0</v>
      </c>
    </row>
    <row r="450" spans="1:39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113"/>
        <v>4712.95</v>
      </c>
      <c r="O450" s="66">
        <f t="shared" si="113"/>
        <v>6500</v>
      </c>
      <c r="P450" s="69">
        <f t="shared" si="98"/>
        <v>1570.9833333333333</v>
      </c>
      <c r="Q450" s="69">
        <f t="shared" si="98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f>Travel!$T$155</f>
        <v>3700</v>
      </c>
      <c r="AH450" s="89"/>
      <c r="AI450" s="81">
        <f t="shared" si="109"/>
        <v>200</v>
      </c>
      <c r="AJ450" s="81">
        <f t="shared" si="114"/>
        <v>0</v>
      </c>
      <c r="AK450" s="81">
        <f t="shared" si="114"/>
        <v>0</v>
      </c>
      <c r="AM450" s="81">
        <f t="shared" si="115"/>
        <v>0</v>
      </c>
    </row>
    <row r="451" spans="1:39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113"/>
        <v>10623.42</v>
      </c>
      <c r="O451" s="66">
        <f t="shared" si="113"/>
        <v>6500</v>
      </c>
      <c r="P451" s="69">
        <f t="shared" ref="P451:Q508" si="116">N451/3</f>
        <v>3541.14</v>
      </c>
      <c r="Q451" s="69">
        <f t="shared" si="116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5">
        <f>Travel!$T$157</f>
        <v>3700</v>
      </c>
      <c r="AC451" s="65">
        <f>Travel!$T$157</f>
        <v>3700</v>
      </c>
      <c r="AD451" s="65">
        <f>Travel!$T$157</f>
        <v>3700</v>
      </c>
      <c r="AE451" s="65">
        <f>Travel!$T$157</f>
        <v>3700</v>
      </c>
      <c r="AF451" s="65">
        <f>Travel!$T$157</f>
        <v>3700</v>
      </c>
      <c r="AH451" s="116" t="s">
        <v>863</v>
      </c>
      <c r="AI451" s="81">
        <f t="shared" si="109"/>
        <v>200</v>
      </c>
      <c r="AJ451" s="81">
        <f t="shared" si="114"/>
        <v>0</v>
      </c>
      <c r="AK451" s="81">
        <f t="shared" si="114"/>
        <v>0</v>
      </c>
      <c r="AM451" s="81">
        <f t="shared" si="115"/>
        <v>0</v>
      </c>
    </row>
    <row r="452" spans="1:39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113"/>
        <v>4606.37</v>
      </c>
      <c r="O452" s="66">
        <f t="shared" si="113"/>
        <v>6500</v>
      </c>
      <c r="P452" s="69">
        <f t="shared" si="116"/>
        <v>1535.4566666666667</v>
      </c>
      <c r="Q452" s="69">
        <f t="shared" si="116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f>Travel!$T$159</f>
        <v>3700</v>
      </c>
      <c r="AH452" s="89"/>
      <c r="AI452" s="81">
        <f t="shared" si="109"/>
        <v>200</v>
      </c>
      <c r="AJ452" s="81">
        <f t="shared" si="114"/>
        <v>0</v>
      </c>
      <c r="AK452" s="81">
        <f t="shared" si="114"/>
        <v>0</v>
      </c>
      <c r="AM452" s="81">
        <f t="shared" si="115"/>
        <v>0</v>
      </c>
    </row>
    <row r="453" spans="1:39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113"/>
        <v>0</v>
      </c>
      <c r="O453" s="66">
        <f t="shared" si="113"/>
        <v>79500</v>
      </c>
      <c r="P453" s="69">
        <f t="shared" si="116"/>
        <v>0</v>
      </c>
      <c r="Q453" s="69">
        <f t="shared" si="116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5">
        <f>Travel!$R$160</f>
        <v>10000</v>
      </c>
      <c r="AC453" s="65">
        <v>10000</v>
      </c>
      <c r="AD453" s="65">
        <v>10000</v>
      </c>
      <c r="AE453" s="65">
        <v>15000</v>
      </c>
      <c r="AF453" s="65">
        <v>17500</v>
      </c>
      <c r="AH453" s="116" t="s">
        <v>865</v>
      </c>
      <c r="AI453" s="81">
        <f t="shared" si="109"/>
        <v>-12000</v>
      </c>
      <c r="AJ453" s="81">
        <f t="shared" si="114"/>
        <v>0</v>
      </c>
      <c r="AK453" s="81">
        <f t="shared" si="114"/>
        <v>0</v>
      </c>
      <c r="AM453" s="81">
        <f t="shared" si="115"/>
        <v>2500</v>
      </c>
    </row>
    <row r="454" spans="1:39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117">ROUND(SUM(H443:H453),5)</f>
        <v>8532.3799999999992</v>
      </c>
      <c r="I454" s="75">
        <f t="shared" si="117"/>
        <v>49500</v>
      </c>
      <c r="J454" s="76">
        <f t="shared" si="117"/>
        <v>10517.83</v>
      </c>
      <c r="K454" s="76">
        <f t="shared" si="117"/>
        <v>31000</v>
      </c>
      <c r="L454" s="77">
        <f t="shared" si="117"/>
        <v>18240.97</v>
      </c>
      <c r="M454" s="77">
        <f t="shared" si="117"/>
        <v>51500</v>
      </c>
      <c r="N454" s="78">
        <f t="shared" si="113"/>
        <v>37291.18</v>
      </c>
      <c r="O454" s="78">
        <f t="shared" si="113"/>
        <v>132000</v>
      </c>
      <c r="P454" s="79">
        <f t="shared" si="116"/>
        <v>12430.393333333333</v>
      </c>
      <c r="Q454" s="79">
        <f t="shared" si="116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>ROUND(SUM(AB443:AB453),5)</f>
        <v>43300</v>
      </c>
      <c r="AC454" s="88">
        <f>ROUND(SUM(AC443:AC453),5)</f>
        <v>43300</v>
      </c>
      <c r="AD454" s="88">
        <f>ROUND(SUM(AD443:AD453),5)</f>
        <v>43300</v>
      </c>
      <c r="AE454" s="88">
        <f>ROUND(SUM(AE443:AE453),5)</f>
        <v>48300</v>
      </c>
      <c r="AF454" s="88">
        <f>ROUND(SUM(AF443:AF453),5)</f>
        <v>50800</v>
      </c>
      <c r="AH454" s="89"/>
      <c r="AI454" s="81">
        <f t="shared" si="109"/>
        <v>-10200</v>
      </c>
      <c r="AJ454" s="81">
        <f t="shared" si="114"/>
        <v>0</v>
      </c>
      <c r="AK454" s="81">
        <f t="shared" si="114"/>
        <v>0</v>
      </c>
      <c r="AM454" s="81">
        <f t="shared" si="115"/>
        <v>2500</v>
      </c>
    </row>
    <row r="455" spans="1:39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118">ROUND(H442+SUM(H454:H454),5)</f>
        <v>8532.3799999999992</v>
      </c>
      <c r="I455" s="75">
        <f t="shared" si="118"/>
        <v>49500</v>
      </c>
      <c r="J455" s="76">
        <f t="shared" si="118"/>
        <v>10517.83</v>
      </c>
      <c r="K455" s="76">
        <f t="shared" si="118"/>
        <v>31000</v>
      </c>
      <c r="L455" s="77">
        <f t="shared" si="118"/>
        <v>18240.97</v>
      </c>
      <c r="M455" s="77">
        <f t="shared" si="118"/>
        <v>51500</v>
      </c>
      <c r="N455" s="78">
        <f t="shared" si="113"/>
        <v>37291.18</v>
      </c>
      <c r="O455" s="78">
        <f t="shared" si="113"/>
        <v>132000</v>
      </c>
      <c r="P455" s="79">
        <f t="shared" si="116"/>
        <v>12430.393333333333</v>
      </c>
      <c r="Q455" s="79">
        <f t="shared" si="116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>ROUND(AB442+SUM(AB454:AB454),5)</f>
        <v>43300</v>
      </c>
      <c r="AC455" s="78">
        <f>ROUND(AC442+SUM(AC454:AC454),5)</f>
        <v>43300</v>
      </c>
      <c r="AD455" s="78">
        <f>ROUND(AD442+SUM(AD454:AD454),5)</f>
        <v>43300</v>
      </c>
      <c r="AE455" s="78">
        <f>ROUND(AE442+SUM(AE454:AE454),5)</f>
        <v>48300</v>
      </c>
      <c r="AF455" s="78">
        <f>ROUND(AF442+SUM(AF454:AF454),5)</f>
        <v>50800</v>
      </c>
      <c r="AH455" s="89"/>
      <c r="AI455" s="81">
        <f t="shared" si="109"/>
        <v>-10200</v>
      </c>
      <c r="AJ455" s="81">
        <f t="shared" si="114"/>
        <v>0</v>
      </c>
      <c r="AK455" s="81">
        <f t="shared" si="114"/>
        <v>0</v>
      </c>
      <c r="AM455" s="81">
        <f t="shared" si="115"/>
        <v>2500</v>
      </c>
    </row>
    <row r="456" spans="1:39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F456" s="66"/>
      <c r="AH456" s="89"/>
      <c r="AI456" s="81"/>
      <c r="AJ456" s="81">
        <f t="shared" si="114"/>
        <v>0</v>
      </c>
      <c r="AK456" s="81">
        <f t="shared" si="114"/>
        <v>0</v>
      </c>
      <c r="AM456" s="81">
        <f t="shared" si="115"/>
        <v>0</v>
      </c>
    </row>
    <row r="457" spans="1:39" ht="16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119">ROUND(H457+J457+L457,5)</f>
        <v>9342.6299999999992</v>
      </c>
      <c r="O457" s="66">
        <f t="shared" si="119"/>
        <v>11500</v>
      </c>
      <c r="P457" s="69">
        <f t="shared" si="116"/>
        <v>3114.2099999999996</v>
      </c>
      <c r="Q457" s="69">
        <f t="shared" si="116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5">
        <f>Travel!$T$170</f>
        <v>9250</v>
      </c>
      <c r="AC457" s="65">
        <v>5000</v>
      </c>
      <c r="AD457" s="65">
        <v>5000</v>
      </c>
      <c r="AE457" s="65">
        <v>6700</v>
      </c>
      <c r="AF457" s="65">
        <f>Travel!$T$170</f>
        <v>9250</v>
      </c>
      <c r="AH457" s="117" t="s">
        <v>852</v>
      </c>
      <c r="AI457" s="81">
        <f t="shared" si="109"/>
        <v>5750</v>
      </c>
      <c r="AJ457" s="81">
        <f t="shared" si="114"/>
        <v>-4250</v>
      </c>
      <c r="AK457" s="81">
        <f t="shared" si="114"/>
        <v>0</v>
      </c>
      <c r="AM457" s="81">
        <f t="shared" si="115"/>
        <v>2550</v>
      </c>
    </row>
    <row r="458" spans="1:39" ht="16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119"/>
        <v>17829.34</v>
      </c>
      <c r="O458" s="66">
        <f t="shared" si="119"/>
        <v>38500</v>
      </c>
      <c r="P458" s="69">
        <f t="shared" si="116"/>
        <v>5943.1133333333337</v>
      </c>
      <c r="Q458" s="69">
        <f t="shared" si="116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H458" s="89"/>
      <c r="AI458" s="81">
        <f t="shared" si="109"/>
        <v>-6000</v>
      </c>
      <c r="AJ458" s="81">
        <f t="shared" si="114"/>
        <v>500</v>
      </c>
      <c r="AK458" s="81">
        <f t="shared" si="114"/>
        <v>0</v>
      </c>
      <c r="AM458" s="81">
        <f t="shared" si="115"/>
        <v>0</v>
      </c>
    </row>
    <row r="459" spans="1:39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119"/>
        <v>27125.43</v>
      </c>
      <c r="O459" s="66">
        <f t="shared" si="119"/>
        <v>30000</v>
      </c>
      <c r="P459" s="69">
        <f t="shared" si="116"/>
        <v>9041.81</v>
      </c>
      <c r="Q459" s="69">
        <f t="shared" si="116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v>12000</v>
      </c>
      <c r="AH459" s="114"/>
      <c r="AI459" s="81">
        <f t="shared" si="109"/>
        <v>-3000</v>
      </c>
      <c r="AJ459" s="81">
        <f t="shared" si="114"/>
        <v>0</v>
      </c>
      <c r="AK459" s="81">
        <f t="shared" si="114"/>
        <v>0</v>
      </c>
      <c r="AM459" s="81">
        <f t="shared" si="115"/>
        <v>0</v>
      </c>
    </row>
    <row r="460" spans="1:39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119"/>
        <v>82292.61</v>
      </c>
      <c r="O460" s="66">
        <f t="shared" si="119"/>
        <v>96550</v>
      </c>
      <c r="P460" s="69">
        <f t="shared" si="116"/>
        <v>27430.87</v>
      </c>
      <c r="Q460" s="69">
        <f t="shared" si="116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v>38000</v>
      </c>
      <c r="AH460" s="89"/>
      <c r="AI460" s="81">
        <f t="shared" si="109"/>
        <v>0</v>
      </c>
      <c r="AJ460" s="81">
        <f t="shared" si="114"/>
        <v>-11550</v>
      </c>
      <c r="AK460" s="81">
        <f t="shared" si="114"/>
        <v>0</v>
      </c>
      <c r="AM460" s="81">
        <f t="shared" si="115"/>
        <v>0</v>
      </c>
    </row>
    <row r="461" spans="1:39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119"/>
        <v>77589.72</v>
      </c>
      <c r="O461" s="66">
        <f t="shared" si="119"/>
        <v>107235</v>
      </c>
      <c r="P461" s="69">
        <f t="shared" si="116"/>
        <v>25863.24</v>
      </c>
      <c r="Q461" s="69">
        <f t="shared" si="116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v>35000</v>
      </c>
      <c r="AH461" s="89"/>
      <c r="AI461" s="81">
        <f t="shared" si="109"/>
        <v>-10620</v>
      </c>
      <c r="AJ461" s="81">
        <f t="shared" si="114"/>
        <v>0</v>
      </c>
      <c r="AK461" s="81">
        <f t="shared" si="114"/>
        <v>0</v>
      </c>
      <c r="AM461" s="81">
        <f t="shared" si="115"/>
        <v>0</v>
      </c>
    </row>
    <row r="462" spans="1:39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119"/>
        <v>8410.5499999999993</v>
      </c>
      <c r="O462" s="66">
        <f t="shared" si="119"/>
        <v>9500</v>
      </c>
      <c r="P462" s="69">
        <f t="shared" si="116"/>
        <v>2803.5166666666664</v>
      </c>
      <c r="Q462" s="69">
        <f t="shared" si="116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H462" s="89"/>
      <c r="AI462" s="81">
        <f t="shared" si="109"/>
        <v>200</v>
      </c>
      <c r="AJ462" s="81">
        <f t="shared" si="114"/>
        <v>0</v>
      </c>
      <c r="AK462" s="81">
        <f t="shared" si="114"/>
        <v>0</v>
      </c>
      <c r="AM462" s="81">
        <f t="shared" si="115"/>
        <v>0</v>
      </c>
    </row>
    <row r="463" spans="1:39" ht="32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119"/>
        <v>1939.64</v>
      </c>
      <c r="O463" s="66">
        <f t="shared" si="119"/>
        <v>16500</v>
      </c>
      <c r="P463" s="69">
        <f t="shared" si="116"/>
        <v>646.54666666666674</v>
      </c>
      <c r="Q463" s="69">
        <f t="shared" si="116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5">
        <v>9000</v>
      </c>
      <c r="AC463" s="65">
        <v>5000</v>
      </c>
      <c r="AD463" s="65">
        <v>5000</v>
      </c>
      <c r="AE463" s="65">
        <v>5000</v>
      </c>
      <c r="AF463" s="65">
        <v>5000</v>
      </c>
      <c r="AH463" s="116" t="s">
        <v>864</v>
      </c>
      <c r="AI463" s="81">
        <f t="shared" si="109"/>
        <v>500</v>
      </c>
      <c r="AJ463" s="81">
        <f t="shared" si="114"/>
        <v>-4000</v>
      </c>
      <c r="AK463" s="81">
        <f t="shared" si="114"/>
        <v>0</v>
      </c>
      <c r="AM463" s="81">
        <f t="shared" si="115"/>
        <v>0</v>
      </c>
    </row>
    <row r="464" spans="1:39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120">ROUND(SUM(H456:H463),5)</f>
        <v>68157.66</v>
      </c>
      <c r="I464" s="75">
        <f t="shared" si="120"/>
        <v>97000</v>
      </c>
      <c r="J464" s="76">
        <f t="shared" si="120"/>
        <v>75651.53</v>
      </c>
      <c r="K464" s="76">
        <f t="shared" si="120"/>
        <v>88000</v>
      </c>
      <c r="L464" s="77">
        <f t="shared" si="120"/>
        <v>80720.73</v>
      </c>
      <c r="M464" s="77">
        <f t="shared" si="120"/>
        <v>124785</v>
      </c>
      <c r="N464" s="78">
        <f t="shared" si="119"/>
        <v>224529.92000000001</v>
      </c>
      <c r="O464" s="78">
        <f t="shared" si="119"/>
        <v>309785</v>
      </c>
      <c r="P464" s="79">
        <f t="shared" si="116"/>
        <v>74843.306666666671</v>
      </c>
      <c r="Q464" s="79">
        <f t="shared" si="116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>ROUND(SUM(AB456:AB463),5)</f>
        <v>125000</v>
      </c>
      <c r="AC464" s="91">
        <f>ROUND(SUM(AC456:AC463),5)</f>
        <v>105700</v>
      </c>
      <c r="AD464" s="91">
        <f>ROUND(SUM(AD456:AD463),5)</f>
        <v>105700</v>
      </c>
      <c r="AE464" s="91">
        <f>ROUND(SUM(AE456:AE463),5)</f>
        <v>114900</v>
      </c>
      <c r="AF464" s="91">
        <f>ROUND(SUM(AF456:AF463),5)</f>
        <v>117450</v>
      </c>
      <c r="AH464" s="89"/>
      <c r="AI464" s="81">
        <f t="shared" si="109"/>
        <v>-13170</v>
      </c>
      <c r="AJ464" s="81">
        <f t="shared" si="114"/>
        <v>-19300</v>
      </c>
      <c r="AK464" s="81">
        <f t="shared" si="114"/>
        <v>0</v>
      </c>
      <c r="AM464" s="81">
        <f t="shared" si="115"/>
        <v>2550</v>
      </c>
    </row>
    <row r="465" spans="1:39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116"/>
        <v>0</v>
      </c>
      <c r="Q465" s="69">
        <f t="shared" si="116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F465" s="66"/>
      <c r="AH465" s="89"/>
      <c r="AI465" s="81"/>
      <c r="AJ465" s="81">
        <f t="shared" si="114"/>
        <v>0</v>
      </c>
      <c r="AK465" s="81">
        <f t="shared" si="114"/>
        <v>0</v>
      </c>
      <c r="AM465" s="81">
        <f t="shared" si="115"/>
        <v>0</v>
      </c>
    </row>
    <row r="466" spans="1:39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121">ROUND(H466+J466+L466,5)</f>
        <v>0</v>
      </c>
      <c r="O466" s="66">
        <f t="shared" si="121"/>
        <v>4350</v>
      </c>
      <c r="P466" s="69">
        <f t="shared" si="116"/>
        <v>0</v>
      </c>
      <c r="Q466" s="69">
        <f t="shared" si="116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9">
        <f>Travel!$T$228</f>
        <v>1300</v>
      </c>
      <c r="AC466" s="69">
        <f>Travel!$T$228</f>
        <v>1300</v>
      </c>
      <c r="AD466" s="69">
        <f>Travel!$T$228</f>
        <v>1300</v>
      </c>
      <c r="AE466" s="69">
        <f>Travel!$T$228</f>
        <v>1300</v>
      </c>
      <c r="AF466" s="69">
        <f>Travel!$T$228</f>
        <v>1300</v>
      </c>
      <c r="AH466" s="90" t="s">
        <v>845</v>
      </c>
      <c r="AI466" s="81">
        <f t="shared" si="109"/>
        <v>0</v>
      </c>
      <c r="AJ466" s="81">
        <f t="shared" si="114"/>
        <v>0</v>
      </c>
      <c r="AK466" s="81">
        <f t="shared" si="114"/>
        <v>0</v>
      </c>
      <c r="AM466" s="81">
        <f t="shared" si="115"/>
        <v>0</v>
      </c>
    </row>
    <row r="467" spans="1:39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121"/>
        <v>6468.36</v>
      </c>
      <c r="O467" s="66">
        <f t="shared" si="121"/>
        <v>27000</v>
      </c>
      <c r="P467" s="69">
        <f t="shared" si="116"/>
        <v>2156.12</v>
      </c>
      <c r="Q467" s="69">
        <f t="shared" si="116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9">
        <f>Travel!$T$233</f>
        <v>18000</v>
      </c>
      <c r="AC467" s="69">
        <v>5000</v>
      </c>
      <c r="AD467" s="69">
        <v>5000</v>
      </c>
      <c r="AE467" s="69">
        <v>5000</v>
      </c>
      <c r="AF467" s="69">
        <f>Travel!$T$233</f>
        <v>18000</v>
      </c>
      <c r="AH467" s="90" t="s">
        <v>845</v>
      </c>
      <c r="AI467" s="81">
        <f t="shared" si="109"/>
        <v>11000</v>
      </c>
      <c r="AJ467" s="81">
        <f t="shared" si="114"/>
        <v>-13000</v>
      </c>
      <c r="AK467" s="81">
        <f t="shared" si="114"/>
        <v>0</v>
      </c>
      <c r="AM467" s="81">
        <f t="shared" si="115"/>
        <v>13000</v>
      </c>
    </row>
    <row r="468" spans="1:39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121"/>
        <v>1454.32</v>
      </c>
      <c r="O468" s="73">
        <f t="shared" si="121"/>
        <v>7100</v>
      </c>
      <c r="P468" s="74">
        <f t="shared" si="116"/>
        <v>484.77333333333331</v>
      </c>
      <c r="Q468" s="74">
        <f t="shared" si="116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9">
        <f>Travel!$T$237</f>
        <v>0</v>
      </c>
      <c r="AC468" s="69">
        <f>Travel!$T$237</f>
        <v>0</v>
      </c>
      <c r="AD468" s="69">
        <f>Travel!$T$237</f>
        <v>0</v>
      </c>
      <c r="AE468" s="69">
        <f>Travel!$T$237</f>
        <v>0</v>
      </c>
      <c r="AF468" s="69">
        <f>Travel!$T$237</f>
        <v>0</v>
      </c>
      <c r="AH468" s="90" t="s">
        <v>845</v>
      </c>
      <c r="AI468" s="81">
        <f t="shared" si="109"/>
        <v>-2600</v>
      </c>
      <c r="AJ468" s="81">
        <f t="shared" si="114"/>
        <v>0</v>
      </c>
      <c r="AK468" s="81">
        <f t="shared" si="114"/>
        <v>0</v>
      </c>
      <c r="AM468" s="81">
        <f t="shared" si="115"/>
        <v>0</v>
      </c>
    </row>
    <row r="469" spans="1:39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122">ROUND(SUM(H465:H468),5)</f>
        <v>2517.89</v>
      </c>
      <c r="I469" s="63">
        <f t="shared" si="122"/>
        <v>15000</v>
      </c>
      <c r="J469" s="64">
        <f t="shared" si="122"/>
        <v>3142.66</v>
      </c>
      <c r="K469" s="64">
        <f t="shared" si="122"/>
        <v>12550</v>
      </c>
      <c r="L469" s="65">
        <f t="shared" si="122"/>
        <v>2262.13</v>
      </c>
      <c r="M469" s="65">
        <f t="shared" si="122"/>
        <v>10900</v>
      </c>
      <c r="N469" s="66">
        <f t="shared" si="121"/>
        <v>7922.68</v>
      </c>
      <c r="O469" s="66">
        <f t="shared" si="121"/>
        <v>38450</v>
      </c>
      <c r="P469" s="69">
        <f t="shared" si="116"/>
        <v>2640.8933333333334</v>
      </c>
      <c r="Q469" s="69">
        <f t="shared" si="116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>ROUND(SUM(AB465:AB468),5)</f>
        <v>19300</v>
      </c>
      <c r="AC469" s="91">
        <f>ROUND(SUM(AC465:AC468),5)</f>
        <v>6300</v>
      </c>
      <c r="AD469" s="91">
        <f>ROUND(SUM(AD465:AD468),5)</f>
        <v>6300</v>
      </c>
      <c r="AE469" s="91">
        <f>ROUND(SUM(AE465:AE468),5)</f>
        <v>6300</v>
      </c>
      <c r="AF469" s="91">
        <f>ROUND(SUM(AF465:AF468),5)</f>
        <v>19300</v>
      </c>
      <c r="AH469" s="89"/>
      <c r="AI469" s="81">
        <f t="shared" si="109"/>
        <v>8400</v>
      </c>
      <c r="AJ469" s="81">
        <f t="shared" si="114"/>
        <v>-13000</v>
      </c>
      <c r="AK469" s="81">
        <f t="shared" si="114"/>
        <v>0</v>
      </c>
      <c r="AM469" s="81">
        <f t="shared" si="115"/>
        <v>13000</v>
      </c>
    </row>
    <row r="470" spans="1:39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F470" s="66"/>
      <c r="AH470" s="89"/>
      <c r="AI470" s="81"/>
      <c r="AJ470" s="81">
        <f t="shared" si="114"/>
        <v>0</v>
      </c>
      <c r="AK470" s="81">
        <f t="shared" si="114"/>
        <v>0</v>
      </c>
      <c r="AM470" s="81">
        <f t="shared" si="115"/>
        <v>0</v>
      </c>
    </row>
    <row r="471" spans="1:39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123">ROUND(H471+J471+L471,5)</f>
        <v>40121.949999999997</v>
      </c>
      <c r="O471" s="66">
        <f t="shared" si="123"/>
        <v>50000</v>
      </c>
      <c r="P471" s="69">
        <f t="shared" si="116"/>
        <v>13373.983333333332</v>
      </c>
      <c r="Q471" s="69">
        <f t="shared" si="116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9">
        <f>Travel!$T$248</f>
        <v>18000</v>
      </c>
      <c r="AC471" s="69">
        <v>20000</v>
      </c>
      <c r="AD471" s="69">
        <v>20000</v>
      </c>
      <c r="AE471" s="69">
        <v>20000</v>
      </c>
      <c r="AF471" s="69">
        <f>Travel!$T$248</f>
        <v>18000</v>
      </c>
      <c r="AH471" s="90" t="s">
        <v>845</v>
      </c>
      <c r="AI471" s="81">
        <f t="shared" si="109"/>
        <v>-3850</v>
      </c>
      <c r="AJ471" s="81">
        <f t="shared" si="114"/>
        <v>2000</v>
      </c>
      <c r="AK471" s="81">
        <f t="shared" si="114"/>
        <v>0</v>
      </c>
      <c r="AM471" s="81">
        <f t="shared" si="115"/>
        <v>-2000</v>
      </c>
    </row>
    <row r="472" spans="1:39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123"/>
        <v>298044.73</v>
      </c>
      <c r="O472" s="66">
        <f t="shared" si="123"/>
        <v>298300</v>
      </c>
      <c r="P472" s="69">
        <f t="shared" si="116"/>
        <v>99348.243333333332</v>
      </c>
      <c r="Q472" s="69">
        <f t="shared" si="116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9">
        <f>Travel!$T$262</f>
        <v>92000</v>
      </c>
      <c r="AC472" s="69">
        <v>85000</v>
      </c>
      <c r="AD472" s="69">
        <v>85000</v>
      </c>
      <c r="AE472" s="69">
        <v>85000</v>
      </c>
      <c r="AF472" s="69">
        <f>Travel!$T$262</f>
        <v>92000</v>
      </c>
      <c r="AH472" s="90" t="s">
        <v>845</v>
      </c>
      <c r="AI472" s="81">
        <f t="shared" si="109"/>
        <v>300</v>
      </c>
      <c r="AJ472" s="81">
        <f t="shared" si="114"/>
        <v>-7000</v>
      </c>
      <c r="AK472" s="81">
        <f t="shared" si="114"/>
        <v>0</v>
      </c>
      <c r="AM472" s="81">
        <f t="shared" si="115"/>
        <v>7000</v>
      </c>
    </row>
    <row r="473" spans="1:39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123"/>
        <v>91427.03</v>
      </c>
      <c r="O473" s="66">
        <f t="shared" si="123"/>
        <v>71500</v>
      </c>
      <c r="P473" s="69">
        <f t="shared" si="116"/>
        <v>30475.676666666666</v>
      </c>
      <c r="Q473" s="69">
        <f t="shared" si="116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9">
        <f>Travel!$T$289</f>
        <v>29500</v>
      </c>
      <c r="AC473" s="69">
        <v>27000</v>
      </c>
      <c r="AD473" s="69">
        <v>27000</v>
      </c>
      <c r="AE473" s="69">
        <v>30000</v>
      </c>
      <c r="AF473" s="69">
        <f>Travel!$T$289</f>
        <v>29500</v>
      </c>
      <c r="AH473" s="90" t="s">
        <v>845</v>
      </c>
      <c r="AI473" s="81">
        <f t="shared" si="109"/>
        <v>2000</v>
      </c>
      <c r="AJ473" s="81">
        <f t="shared" si="114"/>
        <v>-2500</v>
      </c>
      <c r="AK473" s="81">
        <f t="shared" si="114"/>
        <v>0</v>
      </c>
      <c r="AM473" s="81">
        <f t="shared" si="115"/>
        <v>-500</v>
      </c>
    </row>
    <row r="474" spans="1:39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123"/>
        <v>3636.89</v>
      </c>
      <c r="O474" s="66">
        <f t="shared" si="123"/>
        <v>16000</v>
      </c>
      <c r="P474" s="69">
        <f t="shared" si="116"/>
        <v>1212.2966666666666</v>
      </c>
      <c r="Q474" s="69">
        <f t="shared" si="116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9">
        <f>Travel!$T$290</f>
        <v>3000</v>
      </c>
      <c r="AC474" s="69">
        <f>Travel!$T$290</f>
        <v>3000</v>
      </c>
      <c r="AD474" s="69">
        <f>Travel!$T$290</f>
        <v>3000</v>
      </c>
      <c r="AE474" s="69">
        <f>Travel!$T$290</f>
        <v>3000</v>
      </c>
      <c r="AF474" s="69">
        <f>Travel!$T$290</f>
        <v>3000</v>
      </c>
      <c r="AH474" s="90" t="s">
        <v>845</v>
      </c>
      <c r="AI474" s="81">
        <f t="shared" si="109"/>
        <v>0</v>
      </c>
      <c r="AJ474" s="81">
        <f t="shared" si="114"/>
        <v>0</v>
      </c>
      <c r="AK474" s="81">
        <f t="shared" si="114"/>
        <v>0</v>
      </c>
      <c r="AM474" s="81">
        <f t="shared" si="115"/>
        <v>0</v>
      </c>
    </row>
    <row r="475" spans="1:39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123"/>
        <v>1704.48</v>
      </c>
      <c r="O475" s="66">
        <f t="shared" si="123"/>
        <v>13000</v>
      </c>
      <c r="P475" s="69">
        <f t="shared" si="116"/>
        <v>568.16</v>
      </c>
      <c r="Q475" s="69">
        <f t="shared" si="116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9">
        <f>Travel!$T$291</f>
        <v>9000</v>
      </c>
      <c r="AC475" s="69">
        <f>Travel!$T$291</f>
        <v>9000</v>
      </c>
      <c r="AD475" s="69">
        <f>Travel!$T$291</f>
        <v>9000</v>
      </c>
      <c r="AE475" s="69">
        <f>Travel!$T$291</f>
        <v>9000</v>
      </c>
      <c r="AF475" s="69">
        <f>Travel!$T$291</f>
        <v>9000</v>
      </c>
      <c r="AH475" s="90" t="s">
        <v>845</v>
      </c>
      <c r="AI475" s="81">
        <f t="shared" si="109"/>
        <v>6000</v>
      </c>
      <c r="AJ475" s="81">
        <f t="shared" si="114"/>
        <v>0</v>
      </c>
      <c r="AK475" s="81">
        <f t="shared" si="114"/>
        <v>0</v>
      </c>
      <c r="AM475" s="81">
        <f t="shared" si="115"/>
        <v>0</v>
      </c>
    </row>
    <row r="476" spans="1:39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123"/>
        <v>323010.53999999998</v>
      </c>
      <c r="O476" s="66">
        <f t="shared" si="123"/>
        <v>333639</v>
      </c>
      <c r="P476" s="69">
        <f t="shared" si="116"/>
        <v>107670.18</v>
      </c>
      <c r="Q476" s="69">
        <f t="shared" si="116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9">
        <f>Travel!$AE$34</f>
        <v>138650</v>
      </c>
      <c r="AC476" s="69">
        <v>110000</v>
      </c>
      <c r="AD476" s="69">
        <v>110000</v>
      </c>
      <c r="AE476" s="69">
        <v>110000</v>
      </c>
      <c r="AF476" s="69">
        <f>Travel!$AE$34</f>
        <v>138650</v>
      </c>
      <c r="AH476" s="90" t="s">
        <v>845</v>
      </c>
      <c r="AI476" s="81">
        <f t="shared" si="109"/>
        <v>29755</v>
      </c>
      <c r="AJ476" s="81">
        <f t="shared" ref="AJ476:AK495" si="124">AC476-AB476</f>
        <v>-28650</v>
      </c>
      <c r="AK476" s="81">
        <f t="shared" si="124"/>
        <v>0</v>
      </c>
      <c r="AM476" s="81">
        <f t="shared" si="115"/>
        <v>28650</v>
      </c>
    </row>
    <row r="477" spans="1:39" ht="16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123"/>
        <v>38757.58</v>
      </c>
      <c r="O477" s="66">
        <f t="shared" si="123"/>
        <v>20000</v>
      </c>
      <c r="P477" s="69">
        <f t="shared" si="116"/>
        <v>12919.193333333335</v>
      </c>
      <c r="Q477" s="69">
        <f t="shared" si="116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9">
        <f>Travel!$T$292</f>
        <v>17500</v>
      </c>
      <c r="AC477" s="69">
        <f>Travel!$T$292</f>
        <v>17500</v>
      </c>
      <c r="AD477" s="69">
        <f>Travel!$T$292</f>
        <v>17500</v>
      </c>
      <c r="AE477" s="69">
        <f>Travel!$T$292</f>
        <v>17500</v>
      </c>
      <c r="AF477" s="69">
        <f>Travel!$T$292</f>
        <v>17500</v>
      </c>
      <c r="AH477" s="90" t="s">
        <v>845</v>
      </c>
      <c r="AI477" s="81">
        <f t="shared" si="109"/>
        <v>7500</v>
      </c>
      <c r="AJ477" s="81">
        <f t="shared" si="124"/>
        <v>0</v>
      </c>
      <c r="AK477" s="81">
        <f t="shared" si="124"/>
        <v>0</v>
      </c>
      <c r="AM477" s="81">
        <f t="shared" si="115"/>
        <v>0</v>
      </c>
    </row>
    <row r="478" spans="1:39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123"/>
        <v>9458.01</v>
      </c>
      <c r="O478" s="66">
        <f t="shared" si="123"/>
        <v>15000</v>
      </c>
      <c r="P478" s="69">
        <f t="shared" si="116"/>
        <v>3152.67</v>
      </c>
      <c r="Q478" s="69">
        <f t="shared" si="116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9">
        <f>Travel!$T$293</f>
        <v>5000</v>
      </c>
      <c r="AC478" s="69">
        <f>Travel!$T$293</f>
        <v>5000</v>
      </c>
      <c r="AD478" s="69">
        <f>Travel!$T$293</f>
        <v>5000</v>
      </c>
      <c r="AE478" s="69">
        <f>Travel!$T$293</f>
        <v>5000</v>
      </c>
      <c r="AF478" s="69">
        <f>Travel!$T$293</f>
        <v>5000</v>
      </c>
      <c r="AH478" s="90" t="s">
        <v>845</v>
      </c>
      <c r="AI478" s="81">
        <f t="shared" si="109"/>
        <v>0</v>
      </c>
      <c r="AJ478" s="81">
        <f t="shared" si="124"/>
        <v>0</v>
      </c>
      <c r="AK478" s="81">
        <f t="shared" si="124"/>
        <v>0</v>
      </c>
      <c r="AM478" s="81">
        <f t="shared" si="115"/>
        <v>0</v>
      </c>
    </row>
    <row r="479" spans="1:39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125">ROUND(SUM(H470:H478),5)</f>
        <v>239537.82</v>
      </c>
      <c r="I479" s="75">
        <f t="shared" si="125"/>
        <v>266000</v>
      </c>
      <c r="J479" s="76">
        <f t="shared" si="125"/>
        <v>275471.45</v>
      </c>
      <c r="K479" s="76">
        <f t="shared" si="125"/>
        <v>278000</v>
      </c>
      <c r="L479" s="77">
        <f t="shared" si="125"/>
        <v>291151.94</v>
      </c>
      <c r="M479" s="77">
        <f t="shared" si="125"/>
        <v>273439</v>
      </c>
      <c r="N479" s="78">
        <f t="shared" si="123"/>
        <v>806161.21</v>
      </c>
      <c r="O479" s="78">
        <f t="shared" si="123"/>
        <v>817439</v>
      </c>
      <c r="P479" s="79">
        <f t="shared" si="116"/>
        <v>268720.40333333332</v>
      </c>
      <c r="Q479" s="79">
        <f t="shared" si="116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>ROUND(SUM(AB470:AB478),5)</f>
        <v>312650</v>
      </c>
      <c r="AC479" s="91">
        <f>ROUND(SUM(AC470:AC478),5)</f>
        <v>276500</v>
      </c>
      <c r="AD479" s="91">
        <f>ROUND(SUM(AD470:AD478),5)</f>
        <v>276500</v>
      </c>
      <c r="AE479" s="91">
        <f>ROUND(SUM(AE470:AE478),5)</f>
        <v>279500</v>
      </c>
      <c r="AF479" s="91">
        <f>ROUND(SUM(AF470:AF478),5)</f>
        <v>312650</v>
      </c>
      <c r="AH479" s="89"/>
      <c r="AI479" s="81">
        <f t="shared" si="109"/>
        <v>41705</v>
      </c>
      <c r="AJ479" s="81">
        <f t="shared" si="124"/>
        <v>-36150</v>
      </c>
      <c r="AK479" s="81">
        <f t="shared" si="124"/>
        <v>0</v>
      </c>
      <c r="AM479" s="81">
        <f t="shared" si="115"/>
        <v>33150</v>
      </c>
    </row>
    <row r="480" spans="1:39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F480" s="66"/>
      <c r="AH480" s="89"/>
      <c r="AI480" s="81"/>
      <c r="AJ480" s="81">
        <f t="shared" si="124"/>
        <v>0</v>
      </c>
      <c r="AK480" s="81">
        <f t="shared" si="124"/>
        <v>0</v>
      </c>
      <c r="AM480" s="81">
        <f t="shared" si="115"/>
        <v>0</v>
      </c>
    </row>
    <row r="481" spans="1:39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126">ROUND(H481+J481+L481,5)</f>
        <v>20687.05</v>
      </c>
      <c r="O481" s="66">
        <f t="shared" si="126"/>
        <v>17200</v>
      </c>
      <c r="P481" s="69">
        <f t="shared" si="116"/>
        <v>6895.6833333333334</v>
      </c>
      <c r="Q481" s="69">
        <f t="shared" si="116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9">
        <f>Travel!$T$300</f>
        <v>10500</v>
      </c>
      <c r="AC481" s="69">
        <f>Travel!$T$300</f>
        <v>10500</v>
      </c>
      <c r="AD481" s="69">
        <f>Travel!$T$300</f>
        <v>10500</v>
      </c>
      <c r="AE481" s="69">
        <f>Travel!$T$300</f>
        <v>10500</v>
      </c>
      <c r="AF481" s="69">
        <f>Travel!$T$300</f>
        <v>10500</v>
      </c>
      <c r="AH481" s="150" t="s">
        <v>905</v>
      </c>
      <c r="AI481" s="81">
        <f t="shared" si="109"/>
        <v>0</v>
      </c>
      <c r="AJ481" s="81">
        <f t="shared" si="124"/>
        <v>0</v>
      </c>
      <c r="AK481" s="81">
        <f t="shared" si="124"/>
        <v>0</v>
      </c>
      <c r="AM481" s="81">
        <f t="shared" si="115"/>
        <v>0</v>
      </c>
    </row>
    <row r="482" spans="1:39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126"/>
        <v>57727.78</v>
      </c>
      <c r="O482" s="66">
        <f t="shared" si="126"/>
        <v>41100</v>
      </c>
      <c r="P482" s="69">
        <f t="shared" si="116"/>
        <v>19242.593333333334</v>
      </c>
      <c r="Q482" s="69">
        <f t="shared" si="116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9">
        <f>Travel!$T$312</f>
        <v>18300</v>
      </c>
      <c r="AC482" s="69">
        <v>15000</v>
      </c>
      <c r="AD482" s="69">
        <v>15000</v>
      </c>
      <c r="AE482" s="69">
        <v>15000</v>
      </c>
      <c r="AF482" s="69">
        <f>Travel!$T$312</f>
        <v>18300</v>
      </c>
      <c r="AH482" s="90" t="s">
        <v>845</v>
      </c>
      <c r="AI482" s="81">
        <f t="shared" si="109"/>
        <v>0</v>
      </c>
      <c r="AJ482" s="81">
        <f t="shared" si="124"/>
        <v>-3300</v>
      </c>
      <c r="AK482" s="81">
        <f t="shared" si="124"/>
        <v>0</v>
      </c>
      <c r="AM482" s="81">
        <f t="shared" si="115"/>
        <v>3300</v>
      </c>
    </row>
    <row r="483" spans="1:39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126"/>
        <v>70814.95</v>
      </c>
      <c r="O483" s="66">
        <f t="shared" si="126"/>
        <v>78000</v>
      </c>
      <c r="P483" s="69">
        <f t="shared" si="116"/>
        <v>23604.983333333334</v>
      </c>
      <c r="Q483" s="69">
        <f t="shared" si="116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9">
        <f>Travel!$T$332</f>
        <v>30500</v>
      </c>
      <c r="AC483" s="69">
        <v>25000</v>
      </c>
      <c r="AD483" s="69">
        <v>25000</v>
      </c>
      <c r="AE483" s="69">
        <v>25000</v>
      </c>
      <c r="AF483" s="69">
        <f>Travel!$T$332</f>
        <v>30500</v>
      </c>
      <c r="AH483" s="90" t="s">
        <v>845</v>
      </c>
      <c r="AI483" s="81">
        <f t="shared" si="109"/>
        <v>2000</v>
      </c>
      <c r="AJ483" s="81">
        <f t="shared" si="124"/>
        <v>-5500</v>
      </c>
      <c r="AK483" s="81">
        <f t="shared" si="124"/>
        <v>0</v>
      </c>
      <c r="AM483" s="81">
        <f t="shared" si="115"/>
        <v>5500</v>
      </c>
    </row>
    <row r="484" spans="1:39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126"/>
        <v>4458.2</v>
      </c>
      <c r="O484" s="66">
        <f t="shared" si="126"/>
        <v>14615</v>
      </c>
      <c r="P484" s="69">
        <f t="shared" si="116"/>
        <v>1486.0666666666666</v>
      </c>
      <c r="Q484" s="69">
        <f t="shared" si="116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9">
        <f>Travel!$T$336</f>
        <v>5000</v>
      </c>
      <c r="AC484" s="69">
        <f>Travel!$T$336</f>
        <v>5000</v>
      </c>
      <c r="AD484" s="69">
        <f>Travel!$T$336</f>
        <v>5000</v>
      </c>
      <c r="AE484" s="69">
        <f>Travel!$T$336</f>
        <v>5000</v>
      </c>
      <c r="AF484" s="69">
        <f>Travel!$T$336</f>
        <v>5000</v>
      </c>
      <c r="AH484" s="90" t="s">
        <v>845</v>
      </c>
      <c r="AI484" s="81">
        <f t="shared" si="109"/>
        <v>385</v>
      </c>
      <c r="AJ484" s="81">
        <f t="shared" si="124"/>
        <v>0</v>
      </c>
      <c r="AK484" s="81">
        <f t="shared" si="124"/>
        <v>0</v>
      </c>
      <c r="AM484" s="81">
        <f t="shared" si="115"/>
        <v>0</v>
      </c>
    </row>
    <row r="485" spans="1:39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126"/>
        <v>10610.4</v>
      </c>
      <c r="O485" s="66">
        <f t="shared" si="126"/>
        <v>61200</v>
      </c>
      <c r="P485" s="69">
        <f t="shared" si="116"/>
        <v>3536.7999999999997</v>
      </c>
      <c r="Q485" s="69">
        <f t="shared" si="116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9">
        <f>Travel!$T$352</f>
        <v>21000</v>
      </c>
      <c r="AC485" s="69">
        <v>15000</v>
      </c>
      <c r="AD485" s="69">
        <v>15000</v>
      </c>
      <c r="AE485" s="69">
        <v>15000</v>
      </c>
      <c r="AF485" s="69">
        <f>Travel!$T$352</f>
        <v>21000</v>
      </c>
      <c r="AH485" s="90" t="s">
        <v>845</v>
      </c>
      <c r="AI485" s="81">
        <f t="shared" si="109"/>
        <v>1800</v>
      </c>
      <c r="AJ485" s="81">
        <f t="shared" si="124"/>
        <v>-6000</v>
      </c>
      <c r="AK485" s="81">
        <f t="shared" si="124"/>
        <v>0</v>
      </c>
      <c r="AM485" s="81">
        <f t="shared" si="115"/>
        <v>6000</v>
      </c>
    </row>
    <row r="486" spans="1:39" ht="16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126"/>
        <v>81544.240000000005</v>
      </c>
      <c r="O486" s="66">
        <f t="shared" si="126"/>
        <v>84000</v>
      </c>
      <c r="P486" s="69">
        <f t="shared" si="116"/>
        <v>27181.413333333334</v>
      </c>
      <c r="Q486" s="69">
        <f t="shared" si="116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9">
        <f>Travel!$T$361</f>
        <v>39999.994999999995</v>
      </c>
      <c r="AC486" s="69">
        <v>30000</v>
      </c>
      <c r="AD486" s="69">
        <v>30000</v>
      </c>
      <c r="AE486" s="69">
        <v>30000</v>
      </c>
      <c r="AF486" s="69">
        <f>Travel!$T$361</f>
        <v>39999.994999999995</v>
      </c>
      <c r="AH486" s="90" t="s">
        <v>845</v>
      </c>
      <c r="AI486" s="81">
        <f t="shared" si="109"/>
        <v>3499.9949999999953</v>
      </c>
      <c r="AJ486" s="81">
        <f t="shared" si="124"/>
        <v>-9999.9949999999953</v>
      </c>
      <c r="AK486" s="81">
        <f t="shared" si="124"/>
        <v>0</v>
      </c>
      <c r="AM486" s="81">
        <f t="shared" si="115"/>
        <v>9999.9949999999953</v>
      </c>
    </row>
    <row r="487" spans="1:39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126"/>
        <v>2890.95</v>
      </c>
      <c r="O487" s="66">
        <f t="shared" si="126"/>
        <v>5000</v>
      </c>
      <c r="P487" s="69">
        <f t="shared" si="116"/>
        <v>963.65</v>
      </c>
      <c r="Q487" s="69">
        <f t="shared" si="116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9">
        <f>Travel!$T$362</f>
        <v>5000</v>
      </c>
      <c r="AC487" s="69">
        <f>Travel!$T$362</f>
        <v>5000</v>
      </c>
      <c r="AD487" s="69">
        <f>Travel!$T$362</f>
        <v>5000</v>
      </c>
      <c r="AE487" s="69">
        <f>Travel!$T$362</f>
        <v>5000</v>
      </c>
      <c r="AF487" s="69">
        <f>Travel!$T$362</f>
        <v>5000</v>
      </c>
      <c r="AH487" s="90" t="s">
        <v>845</v>
      </c>
      <c r="AI487" s="81">
        <f t="shared" si="109"/>
        <v>0</v>
      </c>
      <c r="AJ487" s="81">
        <f t="shared" si="124"/>
        <v>0</v>
      </c>
      <c r="AK487" s="81">
        <f t="shared" si="124"/>
        <v>0</v>
      </c>
      <c r="AM487" s="81">
        <f t="shared" si="115"/>
        <v>0</v>
      </c>
    </row>
    <row r="488" spans="1:39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127">ROUND(SUM(H480:H487),5)</f>
        <v>59874.94</v>
      </c>
      <c r="I488" s="75">
        <f t="shared" si="127"/>
        <v>92500</v>
      </c>
      <c r="J488" s="76">
        <f t="shared" si="127"/>
        <v>75252.66</v>
      </c>
      <c r="K488" s="76">
        <f t="shared" si="127"/>
        <v>95000</v>
      </c>
      <c r="L488" s="77">
        <f t="shared" si="127"/>
        <v>113605.97</v>
      </c>
      <c r="M488" s="77">
        <f t="shared" si="127"/>
        <v>113615</v>
      </c>
      <c r="N488" s="78">
        <f t="shared" si="126"/>
        <v>248733.57</v>
      </c>
      <c r="O488" s="78">
        <f t="shared" si="126"/>
        <v>301115</v>
      </c>
      <c r="P488" s="79">
        <f t="shared" si="116"/>
        <v>82911.19</v>
      </c>
      <c r="Q488" s="79">
        <f t="shared" si="116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>ROUND(SUM(AB480:AB487),5)</f>
        <v>130299.995</v>
      </c>
      <c r="AC488" s="91">
        <f>ROUND(SUM(AC480:AC487),5)</f>
        <v>105500</v>
      </c>
      <c r="AD488" s="91">
        <f>ROUND(SUM(AD480:AD487),5)</f>
        <v>105500</v>
      </c>
      <c r="AE488" s="91">
        <f>ROUND(SUM(AE480:AE487),5)</f>
        <v>105500</v>
      </c>
      <c r="AF488" s="91">
        <f>ROUND(SUM(AF480:AF487),5)</f>
        <v>130299.995</v>
      </c>
      <c r="AH488" s="89"/>
      <c r="AI488" s="81">
        <f t="shared" si="109"/>
        <v>7684.9949999999953</v>
      </c>
      <c r="AJ488" s="81">
        <f t="shared" si="124"/>
        <v>-24799.994999999995</v>
      </c>
      <c r="AK488" s="81">
        <f t="shared" si="124"/>
        <v>0</v>
      </c>
      <c r="AM488" s="81">
        <f t="shared" si="115"/>
        <v>24799.994999999995</v>
      </c>
    </row>
    <row r="489" spans="1:39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128">ROUND(H429+H441+H455+H464+H469+H479+SUM(H488:H488),5)</f>
        <v>418230.26</v>
      </c>
      <c r="I489" s="75">
        <f t="shared" si="128"/>
        <v>595000</v>
      </c>
      <c r="J489" s="76">
        <f t="shared" si="128"/>
        <v>490473.05</v>
      </c>
      <c r="K489" s="76">
        <f t="shared" si="128"/>
        <v>579550</v>
      </c>
      <c r="L489" s="77">
        <f t="shared" si="128"/>
        <v>559533.9</v>
      </c>
      <c r="M489" s="77">
        <f t="shared" si="128"/>
        <v>649239</v>
      </c>
      <c r="N489" s="78">
        <f t="shared" si="126"/>
        <v>1468237.21</v>
      </c>
      <c r="O489" s="78">
        <f t="shared" si="126"/>
        <v>1823789</v>
      </c>
      <c r="P489" s="79">
        <f t="shared" si="116"/>
        <v>489412.40333333332</v>
      </c>
      <c r="Q489" s="79">
        <f t="shared" si="116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>ROUND(AB429+AB441+AB455+AB464+AB469+AB479+SUM(AB488:AB488),5)</f>
        <v>720549.995</v>
      </c>
      <c r="AC489" s="78">
        <f>ROUND(AC429+AC441+AC455+AC464+AC469+AC479+SUM(AC488:AC488),5)</f>
        <v>605300</v>
      </c>
      <c r="AD489" s="78">
        <f>ROUND(AD429+AD441+AD455+AD464+AD469+AD479+SUM(AD488:AD488),5)</f>
        <v>625300</v>
      </c>
      <c r="AE489" s="78">
        <f>ROUND(AE429+AE441+AE455+AE464+AE469+AE479+SUM(AE488:AE488),5)</f>
        <v>644500</v>
      </c>
      <c r="AF489" s="78">
        <f>ROUND(AF429+AF441+AF455+AF464+AF469+AF479+SUM(AF488:AF488),5)</f>
        <v>720499.995</v>
      </c>
      <c r="AH489"/>
      <c r="AI489" s="81">
        <f t="shared" si="109"/>
        <v>34419.994999999995</v>
      </c>
      <c r="AJ489" s="81">
        <f t="shared" si="124"/>
        <v>-115249.995</v>
      </c>
      <c r="AK489" s="81">
        <f t="shared" si="124"/>
        <v>20000</v>
      </c>
      <c r="AM489" s="81">
        <f t="shared" si="115"/>
        <v>75999.994999999995</v>
      </c>
    </row>
    <row r="490" spans="1:39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116"/>
        <v>0</v>
      </c>
      <c r="Q490" s="69">
        <f t="shared" si="116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F490" s="66"/>
      <c r="AH490" s="89"/>
      <c r="AJ490" s="81">
        <f t="shared" si="124"/>
        <v>0</v>
      </c>
      <c r="AK490" s="81">
        <f t="shared" si="124"/>
        <v>0</v>
      </c>
      <c r="AM490" s="81">
        <f t="shared" si="115"/>
        <v>0</v>
      </c>
    </row>
    <row r="491" spans="1:39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3" si="129">ROUND(H491+J491+L491,5)</f>
        <v>10042.5</v>
      </c>
      <c r="O491" s="66">
        <f t="shared" si="129"/>
        <v>30000</v>
      </c>
      <c r="P491" s="69">
        <f t="shared" si="116"/>
        <v>3347.5</v>
      </c>
      <c r="Q491" s="69">
        <f t="shared" si="116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9">
        <v>0</v>
      </c>
      <c r="AC491" s="69">
        <v>0</v>
      </c>
      <c r="AD491" s="69">
        <v>0</v>
      </c>
      <c r="AE491" s="69">
        <v>0</v>
      </c>
      <c r="AF491" s="69">
        <v>0</v>
      </c>
      <c r="AH491" s="90" t="s">
        <v>845</v>
      </c>
      <c r="AI491" s="81">
        <f>AB491-Z491</f>
        <v>0</v>
      </c>
      <c r="AJ491" s="81">
        <f t="shared" si="124"/>
        <v>0</v>
      </c>
      <c r="AK491" s="81">
        <f t="shared" si="124"/>
        <v>0</v>
      </c>
      <c r="AM491" s="81">
        <f t="shared" si="115"/>
        <v>0</v>
      </c>
    </row>
    <row r="492" spans="1:39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129"/>
        <v>7205.43</v>
      </c>
      <c r="O492" s="66">
        <f t="shared" si="129"/>
        <v>8000</v>
      </c>
      <c r="P492" s="69">
        <f t="shared" si="116"/>
        <v>2401.81</v>
      </c>
      <c r="Q492" s="69">
        <f t="shared" si="116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H492" s="89"/>
      <c r="AI492" s="81">
        <f t="shared" ref="AI492:AI548" si="130">AB492-Z492</f>
        <v>500</v>
      </c>
      <c r="AJ492" s="81">
        <f t="shared" si="124"/>
        <v>0</v>
      </c>
      <c r="AK492" s="81">
        <f t="shared" si="124"/>
        <v>0</v>
      </c>
      <c r="AM492" s="81">
        <f t="shared" si="115"/>
        <v>0</v>
      </c>
    </row>
    <row r="493" spans="1:39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129"/>
        <v>15127.94</v>
      </c>
      <c r="O493" s="66">
        <f t="shared" si="129"/>
        <v>16500</v>
      </c>
      <c r="P493" s="69">
        <f t="shared" si="116"/>
        <v>5042.6466666666665</v>
      </c>
      <c r="Q493" s="69">
        <f t="shared" si="116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9">
        <v>6000</v>
      </c>
      <c r="AC493" s="69">
        <v>6000</v>
      </c>
      <c r="AD493" s="69">
        <v>6000</v>
      </c>
      <c r="AE493" s="69">
        <v>6000</v>
      </c>
      <c r="AF493" s="69">
        <v>6000</v>
      </c>
      <c r="AH493" s="90" t="s">
        <v>845</v>
      </c>
      <c r="AI493" s="81">
        <f t="shared" si="130"/>
        <v>0</v>
      </c>
      <c r="AJ493" s="81">
        <f t="shared" si="124"/>
        <v>0</v>
      </c>
      <c r="AK493" s="81">
        <f t="shared" si="124"/>
        <v>0</v>
      </c>
      <c r="AM493" s="81">
        <f t="shared" si="115"/>
        <v>0</v>
      </c>
    </row>
    <row r="494" spans="1:39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129"/>
        <v>13298.77</v>
      </c>
      <c r="O494" s="66">
        <f t="shared" si="129"/>
        <v>7000</v>
      </c>
      <c r="P494" s="69">
        <f t="shared" si="116"/>
        <v>4432.9233333333332</v>
      </c>
      <c r="Q494" s="69">
        <f t="shared" si="116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H494" s="89"/>
      <c r="AI494" s="81">
        <f t="shared" si="130"/>
        <v>0</v>
      </c>
      <c r="AJ494" s="81">
        <f t="shared" si="124"/>
        <v>0</v>
      </c>
      <c r="AK494" s="81">
        <f t="shared" si="124"/>
        <v>0</v>
      </c>
      <c r="AM494" s="81">
        <f t="shared" si="115"/>
        <v>0</v>
      </c>
    </row>
    <row r="495" spans="1:39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129"/>
        <v>510268.35</v>
      </c>
      <c r="O495" s="66">
        <f t="shared" si="129"/>
        <v>437243.12</v>
      </c>
      <c r="P495" s="69">
        <f t="shared" si="116"/>
        <v>170089.44999999998</v>
      </c>
      <c r="Q495" s="69">
        <f t="shared" si="116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>ROUND(AB220*0.0386, 0)</f>
        <v>205031</v>
      </c>
      <c r="AC495" s="66">
        <f>ROUND(AC220*0.0386, 0)</f>
        <v>205031</v>
      </c>
      <c r="AD495" s="66">
        <f>ROUND(AD220*0.0386, 0)</f>
        <v>207550</v>
      </c>
      <c r="AE495" s="66">
        <f>ROUND(AE220*0.0386, 0)</f>
        <v>206778</v>
      </c>
      <c r="AF495" s="66">
        <f>ROUND(AF220*0.0386, 0)</f>
        <v>212691</v>
      </c>
      <c r="AG495" s="152">
        <f>P495/P220</f>
        <v>3.4800965170621478E-2</v>
      </c>
      <c r="AH495" s="93" t="s">
        <v>844</v>
      </c>
      <c r="AI495" s="81">
        <f t="shared" si="130"/>
        <v>25635</v>
      </c>
      <c r="AJ495" s="81">
        <f t="shared" si="124"/>
        <v>0</v>
      </c>
      <c r="AK495" s="81">
        <f t="shared" si="124"/>
        <v>2519</v>
      </c>
      <c r="AM495" s="81">
        <f t="shared" si="115"/>
        <v>5913</v>
      </c>
    </row>
    <row r="496" spans="1:39" ht="23.5" x14ac:dyDescent="0.55000000000000004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129"/>
        <v>0</v>
      </c>
      <c r="O496" s="66">
        <f>ROUND(I496+K496+M496,5)</f>
        <v>1000</v>
      </c>
      <c r="P496" s="69">
        <f t="shared" si="116"/>
        <v>0</v>
      </c>
      <c r="Q496" s="69">
        <f t="shared" si="116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152">
        <f>L495/L220</f>
        <v>3.8606937993019626E-2</v>
      </c>
      <c r="AH496" s="158" t="s">
        <v>942</v>
      </c>
      <c r="AI496" s="81">
        <f t="shared" si="130"/>
        <v>0</v>
      </c>
      <c r="AJ496" s="81">
        <f t="shared" ref="AJ496:AK548" si="131">AC496-AB496</f>
        <v>0</v>
      </c>
      <c r="AK496" s="81">
        <f t="shared" si="131"/>
        <v>0</v>
      </c>
      <c r="AM496" s="81">
        <f t="shared" si="115"/>
        <v>0</v>
      </c>
    </row>
    <row r="497" spans="1:39" ht="16" x14ac:dyDescent="0.35">
      <c r="A497" s="66"/>
      <c r="B497" s="66"/>
      <c r="C497" s="49"/>
      <c r="D497" s="49"/>
      <c r="E497" s="49" t="s">
        <v>493</v>
      </c>
      <c r="F497" s="49"/>
      <c r="G497" s="49"/>
      <c r="H497" s="63">
        <v>3322.5</v>
      </c>
      <c r="I497" s="63">
        <v>6000</v>
      </c>
      <c r="J497" s="64">
        <v>5750.2</v>
      </c>
      <c r="K497" s="64">
        <v>4000</v>
      </c>
      <c r="L497" s="65">
        <v>26568.75</v>
      </c>
      <c r="M497" s="65">
        <v>4000</v>
      </c>
      <c r="N497" s="66">
        <f t="shared" si="129"/>
        <v>35641.449999999997</v>
      </c>
      <c r="O497" s="66">
        <f t="shared" si="129"/>
        <v>14000</v>
      </c>
      <c r="P497" s="69">
        <f t="shared" si="116"/>
        <v>11880.483333333332</v>
      </c>
      <c r="Q497" s="69">
        <f t="shared" si="116"/>
        <v>4666.666666666667</v>
      </c>
      <c r="R497" s="54"/>
      <c r="S497" s="49"/>
      <c r="T497" s="49"/>
      <c r="U497" s="49"/>
      <c r="V497" s="49"/>
      <c r="W497" s="49" t="s">
        <v>493</v>
      </c>
      <c r="X497" s="49"/>
      <c r="Y497" s="49"/>
      <c r="Z497" s="66">
        <v>37500</v>
      </c>
      <c r="AA497" s="140"/>
      <c r="AB497" s="66">
        <v>24000</v>
      </c>
      <c r="AC497" s="66">
        <v>24000</v>
      </c>
      <c r="AD497" s="66">
        <v>24000</v>
      </c>
      <c r="AE497" s="66">
        <v>24000</v>
      </c>
      <c r="AF497" s="66">
        <v>24000</v>
      </c>
      <c r="AH497" s="89"/>
      <c r="AI497" s="81">
        <f t="shared" si="130"/>
        <v>-13500</v>
      </c>
      <c r="AJ497" s="81">
        <f t="shared" si="131"/>
        <v>0</v>
      </c>
      <c r="AK497" s="81">
        <f t="shared" si="131"/>
        <v>0</v>
      </c>
      <c r="AM497" s="81">
        <f t="shared" si="115"/>
        <v>0</v>
      </c>
    </row>
    <row r="498" spans="1:39" ht="16" x14ac:dyDescent="0.35">
      <c r="A498" s="66"/>
      <c r="B498" s="66"/>
      <c r="C498" s="49"/>
      <c r="D498" s="49"/>
      <c r="E498" s="49" t="s">
        <v>494</v>
      </c>
      <c r="F498" s="49"/>
      <c r="G498" s="49"/>
      <c r="H498" s="63">
        <v>2934</v>
      </c>
      <c r="I498" s="63">
        <v>5607</v>
      </c>
      <c r="J498" s="64">
        <v>0</v>
      </c>
      <c r="K498" s="64">
        <v>0</v>
      </c>
      <c r="L498" s="65">
        <v>0</v>
      </c>
      <c r="M498" s="65">
        <v>0</v>
      </c>
      <c r="N498" s="66">
        <f t="shared" si="129"/>
        <v>2934</v>
      </c>
      <c r="O498" s="66">
        <f t="shared" si="129"/>
        <v>5607</v>
      </c>
      <c r="P498" s="69">
        <f t="shared" si="116"/>
        <v>978</v>
      </c>
      <c r="Q498" s="69">
        <f t="shared" si="116"/>
        <v>1869</v>
      </c>
      <c r="R498" s="54"/>
      <c r="S498" s="49"/>
      <c r="T498" s="49"/>
      <c r="U498" s="49"/>
      <c r="V498" s="49"/>
      <c r="W498" s="49" t="s">
        <v>494</v>
      </c>
      <c r="X498" s="49"/>
      <c r="Y498" s="49"/>
      <c r="Z498" s="66">
        <v>0</v>
      </c>
      <c r="AA498" s="140"/>
      <c r="AB498" s="66">
        <v>0</v>
      </c>
      <c r="AC498" s="66">
        <v>0</v>
      </c>
      <c r="AD498" s="66">
        <v>0</v>
      </c>
      <c r="AE498" s="66">
        <v>0</v>
      </c>
      <c r="AF498" s="66">
        <v>0</v>
      </c>
      <c r="AH498" s="89"/>
      <c r="AI498" s="81">
        <f t="shared" si="130"/>
        <v>0</v>
      </c>
      <c r="AJ498" s="81">
        <f t="shared" si="131"/>
        <v>0</v>
      </c>
      <c r="AK498" s="81">
        <f t="shared" si="131"/>
        <v>0</v>
      </c>
      <c r="AM498" s="81">
        <f t="shared" si="115"/>
        <v>0</v>
      </c>
    </row>
    <row r="499" spans="1:39" x14ac:dyDescent="0.35">
      <c r="A499" s="66"/>
      <c r="B499" s="66"/>
      <c r="C499" s="49"/>
      <c r="D499" s="49"/>
      <c r="E499" s="49" t="s">
        <v>495</v>
      </c>
      <c r="F499" s="49"/>
      <c r="G499" s="49"/>
      <c r="H499" s="63">
        <v>74809.66</v>
      </c>
      <c r="I499" s="63">
        <v>105600</v>
      </c>
      <c r="J499" s="64">
        <v>52243.49</v>
      </c>
      <c r="K499" s="64">
        <v>53000</v>
      </c>
      <c r="L499" s="65">
        <v>51678.79</v>
      </c>
      <c r="M499" s="65">
        <v>70507</v>
      </c>
      <c r="N499" s="66">
        <f t="shared" si="129"/>
        <v>178731.94</v>
      </c>
      <c r="O499" s="66">
        <f t="shared" si="129"/>
        <v>229107</v>
      </c>
      <c r="P499" s="69">
        <f t="shared" si="116"/>
        <v>59577.313333333332</v>
      </c>
      <c r="Q499" s="69">
        <f t="shared" si="116"/>
        <v>76369</v>
      </c>
      <c r="R499" s="54"/>
      <c r="S499" s="49"/>
      <c r="T499" s="49"/>
      <c r="U499" s="49"/>
      <c r="V499" s="49"/>
      <c r="W499" s="49" t="s">
        <v>495</v>
      </c>
      <c r="X499" s="49"/>
      <c r="Y499" s="49"/>
      <c r="Z499" s="66">
        <v>74122.820000000007</v>
      </c>
      <c r="AA499" s="140"/>
      <c r="AB499" s="66">
        <v>109482.14</v>
      </c>
      <c r="AC499" s="66">
        <v>109482.14</v>
      </c>
      <c r="AD499" s="66">
        <v>109482.14</v>
      </c>
      <c r="AE499" s="66">
        <v>109482.14</v>
      </c>
      <c r="AF499" s="66">
        <f>ROUND(135482.14, 0)</f>
        <v>135482</v>
      </c>
      <c r="AH499"/>
      <c r="AI499" s="81">
        <f t="shared" si="130"/>
        <v>35359.319999999992</v>
      </c>
      <c r="AJ499" s="81">
        <f t="shared" si="131"/>
        <v>0</v>
      </c>
      <c r="AK499" s="81">
        <f t="shared" si="131"/>
        <v>0</v>
      </c>
      <c r="AM499" s="81">
        <f t="shared" si="115"/>
        <v>25999.86</v>
      </c>
    </row>
    <row r="500" spans="1:39" ht="16" x14ac:dyDescent="0.35">
      <c r="A500" s="66"/>
      <c r="B500" s="66"/>
      <c r="C500" s="49"/>
      <c r="D500" s="49"/>
      <c r="E500" s="49" t="s">
        <v>496</v>
      </c>
      <c r="F500" s="49"/>
      <c r="G500" s="49"/>
      <c r="H500" s="63">
        <v>2727.19</v>
      </c>
      <c r="I500" s="63">
        <v>4500</v>
      </c>
      <c r="J500" s="64">
        <v>4935.63</v>
      </c>
      <c r="K500" s="64">
        <v>4500</v>
      </c>
      <c r="L500" s="65">
        <v>6253.02</v>
      </c>
      <c r="M500" s="65">
        <v>4025</v>
      </c>
      <c r="N500" s="66">
        <f t="shared" si="129"/>
        <v>13915.84</v>
      </c>
      <c r="O500" s="66">
        <f t="shared" si="129"/>
        <v>13025</v>
      </c>
      <c r="P500" s="69">
        <f t="shared" si="116"/>
        <v>4638.6133333333337</v>
      </c>
      <c r="Q500" s="69">
        <f t="shared" si="116"/>
        <v>4341.666666666667</v>
      </c>
      <c r="R500" s="54"/>
      <c r="S500" s="49"/>
      <c r="T500" s="49"/>
      <c r="U500" s="49"/>
      <c r="V500" s="49"/>
      <c r="W500" s="49" t="s">
        <v>496</v>
      </c>
      <c r="X500" s="49"/>
      <c r="Y500" s="49"/>
      <c r="Z500" s="66">
        <v>8352</v>
      </c>
      <c r="AA500" s="140"/>
      <c r="AB500" s="66">
        <v>4563</v>
      </c>
      <c r="AC500" s="66">
        <v>4563</v>
      </c>
      <c r="AD500" s="66">
        <v>4563</v>
      </c>
      <c r="AE500" s="66">
        <v>4563</v>
      </c>
      <c r="AF500" s="66">
        <v>4563</v>
      </c>
      <c r="AH500" s="89"/>
      <c r="AI500" s="81">
        <f t="shared" si="130"/>
        <v>-3789</v>
      </c>
      <c r="AJ500" s="81">
        <f t="shared" si="131"/>
        <v>0</v>
      </c>
      <c r="AK500" s="81">
        <f t="shared" si="131"/>
        <v>0</v>
      </c>
      <c r="AM500" s="81">
        <f t="shared" si="115"/>
        <v>0</v>
      </c>
    </row>
    <row r="501" spans="1:39" ht="16" x14ac:dyDescent="0.35">
      <c r="A501" s="66"/>
      <c r="B501" s="66"/>
      <c r="C501" s="49"/>
      <c r="D501" s="49"/>
      <c r="E501" s="49" t="s">
        <v>497</v>
      </c>
      <c r="F501" s="49"/>
      <c r="G501" s="49"/>
      <c r="H501" s="63">
        <v>3590</v>
      </c>
      <c r="I501" s="63">
        <v>4608</v>
      </c>
      <c r="J501" s="64">
        <v>3588</v>
      </c>
      <c r="K501" s="64">
        <v>3700</v>
      </c>
      <c r="L501" s="65">
        <v>689</v>
      </c>
      <c r="M501" s="65">
        <v>3600</v>
      </c>
      <c r="N501" s="66">
        <f t="shared" si="129"/>
        <v>7867</v>
      </c>
      <c r="O501" s="66">
        <f t="shared" si="129"/>
        <v>11908</v>
      </c>
      <c r="P501" s="69">
        <f t="shared" si="116"/>
        <v>2622.3333333333335</v>
      </c>
      <c r="Q501" s="69">
        <f t="shared" si="116"/>
        <v>3969.3333333333335</v>
      </c>
      <c r="R501" s="54"/>
      <c r="S501" s="49"/>
      <c r="T501" s="49"/>
      <c r="U501" s="49"/>
      <c r="V501" s="49"/>
      <c r="W501" s="49" t="s">
        <v>497</v>
      </c>
      <c r="X501" s="49"/>
      <c r="Y501" s="49"/>
      <c r="Z501" s="66">
        <v>2000</v>
      </c>
      <c r="AA501" s="140"/>
      <c r="AB501" s="66">
        <v>0</v>
      </c>
      <c r="AC501" s="66">
        <v>0</v>
      </c>
      <c r="AD501" s="66">
        <v>0</v>
      </c>
      <c r="AE501" s="66">
        <v>0</v>
      </c>
      <c r="AF501" s="66">
        <v>0</v>
      </c>
      <c r="AH501" s="89"/>
      <c r="AI501" s="81">
        <f t="shared" si="130"/>
        <v>-2000</v>
      </c>
      <c r="AJ501" s="81">
        <f t="shared" si="131"/>
        <v>0</v>
      </c>
      <c r="AK501" s="81">
        <f t="shared" si="131"/>
        <v>0</v>
      </c>
      <c r="AM501" s="81">
        <f t="shared" si="115"/>
        <v>0</v>
      </c>
    </row>
    <row r="502" spans="1:39" ht="16" x14ac:dyDescent="0.35">
      <c r="A502" s="66"/>
      <c r="B502" s="66"/>
      <c r="C502" s="49"/>
      <c r="D502" s="49"/>
      <c r="E502" s="49" t="s">
        <v>498</v>
      </c>
      <c r="F502" s="49"/>
      <c r="G502" s="49"/>
      <c r="H502" s="63">
        <v>12597.17</v>
      </c>
      <c r="I502" s="63">
        <v>12766</v>
      </c>
      <c r="J502" s="64">
        <v>11637.22</v>
      </c>
      <c r="K502" s="64">
        <v>12771.48</v>
      </c>
      <c r="L502" s="65">
        <v>11300</v>
      </c>
      <c r="M502" s="65">
        <v>11832</v>
      </c>
      <c r="N502" s="66">
        <f t="shared" si="129"/>
        <v>35534.39</v>
      </c>
      <c r="O502" s="66">
        <f t="shared" si="129"/>
        <v>37369.480000000003</v>
      </c>
      <c r="P502" s="69">
        <f t="shared" si="116"/>
        <v>11844.796666666667</v>
      </c>
      <c r="Q502" s="69">
        <f t="shared" si="116"/>
        <v>12456.493333333334</v>
      </c>
      <c r="R502" s="54"/>
      <c r="S502" s="49"/>
      <c r="T502" s="49"/>
      <c r="U502" s="49"/>
      <c r="V502" s="49"/>
      <c r="W502" s="49" t="s">
        <v>498</v>
      </c>
      <c r="X502" s="49"/>
      <c r="Y502" s="49"/>
      <c r="Z502" s="66">
        <v>12424</v>
      </c>
      <c r="AA502" s="140"/>
      <c r="AB502" s="66">
        <v>11767.5</v>
      </c>
      <c r="AC502" s="66">
        <v>11767.5</v>
      </c>
      <c r="AD502" s="66">
        <v>11767.5</v>
      </c>
      <c r="AE502" s="66">
        <v>11767.5</v>
      </c>
      <c r="AF502" s="66">
        <v>11767.5</v>
      </c>
      <c r="AH502" s="89"/>
      <c r="AI502" s="81">
        <f t="shared" si="130"/>
        <v>-656.5</v>
      </c>
      <c r="AJ502" s="81">
        <f t="shared" si="131"/>
        <v>0</v>
      </c>
      <c r="AK502" s="81">
        <f t="shared" si="131"/>
        <v>0</v>
      </c>
      <c r="AM502" s="81">
        <f t="shared" si="115"/>
        <v>0</v>
      </c>
    </row>
    <row r="503" spans="1:39" ht="16" x14ac:dyDescent="0.35">
      <c r="A503" s="66"/>
      <c r="B503" s="66"/>
      <c r="C503" s="49"/>
      <c r="D503" s="49"/>
      <c r="E503" s="49" t="s">
        <v>499</v>
      </c>
      <c r="F503" s="49"/>
      <c r="G503" s="49"/>
      <c r="H503" s="63">
        <v>12597.14</v>
      </c>
      <c r="I503" s="63">
        <v>12766</v>
      </c>
      <c r="J503" s="64">
        <v>11637.22</v>
      </c>
      <c r="K503" s="64">
        <v>12771.35</v>
      </c>
      <c r="L503" s="65">
        <v>11300</v>
      </c>
      <c r="M503" s="65">
        <v>11832</v>
      </c>
      <c r="N503" s="66">
        <f t="shared" si="129"/>
        <v>35534.36</v>
      </c>
      <c r="O503" s="66">
        <f t="shared" si="129"/>
        <v>37369.35</v>
      </c>
      <c r="P503" s="69">
        <f t="shared" si="116"/>
        <v>11844.786666666667</v>
      </c>
      <c r="Q503" s="69">
        <f t="shared" si="116"/>
        <v>12456.449999999999</v>
      </c>
      <c r="R503" s="54"/>
      <c r="S503" s="49"/>
      <c r="T503" s="49"/>
      <c r="U503" s="49"/>
      <c r="V503" s="49"/>
      <c r="W503" s="49" t="s">
        <v>499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H503" s="89"/>
      <c r="AI503" s="81">
        <f t="shared" si="130"/>
        <v>-656.5</v>
      </c>
      <c r="AJ503" s="81">
        <f t="shared" si="131"/>
        <v>0</v>
      </c>
      <c r="AK503" s="81">
        <f t="shared" si="131"/>
        <v>0</v>
      </c>
      <c r="AM503" s="81">
        <f t="shared" si="115"/>
        <v>0</v>
      </c>
    </row>
    <row r="504" spans="1:39" ht="16" x14ac:dyDescent="0.35">
      <c r="A504" s="66"/>
      <c r="B504" s="66"/>
      <c r="C504" s="49"/>
      <c r="D504" s="49"/>
      <c r="E504" s="49" t="s">
        <v>500</v>
      </c>
      <c r="F504" s="49"/>
      <c r="G504" s="49"/>
      <c r="H504" s="63">
        <v>4694</v>
      </c>
      <c r="I504" s="63">
        <v>4807</v>
      </c>
      <c r="J504" s="64">
        <v>5020.5</v>
      </c>
      <c r="K504" s="64">
        <v>4700</v>
      </c>
      <c r="L504" s="65">
        <v>5177.16</v>
      </c>
      <c r="M504" s="65">
        <v>5244</v>
      </c>
      <c r="N504" s="66">
        <f t="shared" si="129"/>
        <v>14891.66</v>
      </c>
      <c r="O504" s="66">
        <f t="shared" si="129"/>
        <v>14751</v>
      </c>
      <c r="P504" s="69">
        <f t="shared" si="116"/>
        <v>4963.8866666666663</v>
      </c>
      <c r="Q504" s="69">
        <f t="shared" si="116"/>
        <v>4917</v>
      </c>
      <c r="R504" s="54"/>
      <c r="S504" s="49"/>
      <c r="T504" s="49"/>
      <c r="U504" s="49"/>
      <c r="V504" s="49"/>
      <c r="W504" s="49" t="s">
        <v>500</v>
      </c>
      <c r="X504" s="49"/>
      <c r="Y504" s="49"/>
      <c r="Z504" s="66">
        <v>5411</v>
      </c>
      <c r="AA504" s="140"/>
      <c r="AB504" s="66">
        <f>ROUND(7535.85, 0)</f>
        <v>7536</v>
      </c>
      <c r="AC504" s="66">
        <f>ROUND(7535.85, 0)</f>
        <v>7536</v>
      </c>
      <c r="AD504" s="66">
        <f>ROUND(7535.85, 0)</f>
        <v>7536</v>
      </c>
      <c r="AE504" s="66">
        <f>ROUND(7535.85, 0)</f>
        <v>7536</v>
      </c>
      <c r="AF504" s="66">
        <f>ROUND(7535.85, 0)</f>
        <v>7536</v>
      </c>
      <c r="AH504" s="89" t="s">
        <v>880</v>
      </c>
      <c r="AI504" s="81">
        <f t="shared" si="130"/>
        <v>2125</v>
      </c>
      <c r="AJ504" s="81">
        <f t="shared" si="131"/>
        <v>0</v>
      </c>
      <c r="AK504" s="81">
        <f t="shared" si="131"/>
        <v>0</v>
      </c>
      <c r="AM504" s="81">
        <f t="shared" si="115"/>
        <v>0</v>
      </c>
    </row>
    <row r="505" spans="1:39" ht="16" x14ac:dyDescent="0.35">
      <c r="A505" s="66"/>
      <c r="B505" s="66"/>
      <c r="C505" s="49"/>
      <c r="D505" s="49"/>
      <c r="E505" s="49" t="s">
        <v>501</v>
      </c>
      <c r="F505" s="49"/>
      <c r="G505" s="49"/>
      <c r="H505" s="63">
        <v>0</v>
      </c>
      <c r="I505" s="63">
        <v>0</v>
      </c>
      <c r="J505" s="64">
        <v>14469.34</v>
      </c>
      <c r="K505" s="64">
        <v>2000</v>
      </c>
      <c r="L505" s="65">
        <v>16282.95</v>
      </c>
      <c r="M505" s="65">
        <v>2000</v>
      </c>
      <c r="N505" s="66">
        <f t="shared" si="129"/>
        <v>30752.29</v>
      </c>
      <c r="O505" s="66">
        <f t="shared" si="129"/>
        <v>4000</v>
      </c>
      <c r="P505" s="69">
        <f t="shared" si="116"/>
        <v>10250.763333333334</v>
      </c>
      <c r="Q505" s="69">
        <f t="shared" si="116"/>
        <v>1333.3333333333333</v>
      </c>
      <c r="R505" s="54"/>
      <c r="S505" s="49"/>
      <c r="T505" s="49"/>
      <c r="U505" s="49"/>
      <c r="V505" s="49"/>
      <c r="W505" s="49" t="s">
        <v>501</v>
      </c>
      <c r="X505" s="49"/>
      <c r="Y505" s="49"/>
      <c r="Z505" s="66">
        <v>2000</v>
      </c>
      <c r="AA505" s="140"/>
      <c r="AB505" s="66">
        <v>0</v>
      </c>
      <c r="AC505" s="66">
        <v>0</v>
      </c>
      <c r="AD505" s="66">
        <v>0</v>
      </c>
      <c r="AE505" s="66">
        <v>0</v>
      </c>
      <c r="AF505" s="66">
        <v>0</v>
      </c>
      <c r="AH505" s="89"/>
      <c r="AI505" s="81">
        <f t="shared" si="130"/>
        <v>-2000</v>
      </c>
      <c r="AJ505" s="81">
        <f t="shared" si="131"/>
        <v>0</v>
      </c>
      <c r="AK505" s="81">
        <f t="shared" si="131"/>
        <v>0</v>
      </c>
      <c r="AM505" s="81">
        <f t="shared" si="115"/>
        <v>0</v>
      </c>
    </row>
    <row r="506" spans="1:39" ht="16" x14ac:dyDescent="0.35">
      <c r="A506" s="66"/>
      <c r="B506" s="66"/>
      <c r="C506" s="49"/>
      <c r="D506" s="49"/>
      <c r="E506" s="49" t="s">
        <v>502</v>
      </c>
      <c r="F506" s="49"/>
      <c r="G506" s="49"/>
      <c r="H506" s="63">
        <v>15158.69</v>
      </c>
      <c r="I506" s="63">
        <v>50000</v>
      </c>
      <c r="J506" s="64">
        <v>5299.22</v>
      </c>
      <c r="K506" s="64">
        <v>10000</v>
      </c>
      <c r="L506" s="65">
        <v>10963.76</v>
      </c>
      <c r="M506" s="65">
        <v>45000</v>
      </c>
      <c r="N506" s="66">
        <f t="shared" si="129"/>
        <v>31421.67</v>
      </c>
      <c r="O506" s="66">
        <f t="shared" si="129"/>
        <v>105000</v>
      </c>
      <c r="P506" s="69">
        <f t="shared" si="116"/>
        <v>10473.89</v>
      </c>
      <c r="Q506" s="69">
        <f t="shared" si="116"/>
        <v>35000</v>
      </c>
      <c r="R506" s="54"/>
      <c r="S506" s="49"/>
      <c r="T506" s="49"/>
      <c r="U506" s="49"/>
      <c r="V506" s="49"/>
      <c r="W506" s="49" t="s">
        <v>502</v>
      </c>
      <c r="X506" s="49"/>
      <c r="Y506" s="49"/>
      <c r="Z506" s="66">
        <v>20000</v>
      </c>
      <c r="AA506" s="140"/>
      <c r="AB506" s="69">
        <v>20000</v>
      </c>
      <c r="AC506" s="69">
        <v>10000</v>
      </c>
      <c r="AD506" s="69">
        <v>10000</v>
      </c>
      <c r="AE506" s="69">
        <v>10000</v>
      </c>
      <c r="AF506" s="69">
        <v>20000</v>
      </c>
      <c r="AH506" s="90" t="s">
        <v>845</v>
      </c>
      <c r="AI506" s="81">
        <f t="shared" si="130"/>
        <v>0</v>
      </c>
      <c r="AJ506" s="81">
        <f t="shared" si="131"/>
        <v>-10000</v>
      </c>
      <c r="AK506" s="81">
        <f t="shared" si="131"/>
        <v>0</v>
      </c>
      <c r="AM506" s="81">
        <f t="shared" si="115"/>
        <v>10000</v>
      </c>
    </row>
    <row r="507" spans="1:39" x14ac:dyDescent="0.35">
      <c r="A507" s="66"/>
      <c r="B507" s="66"/>
      <c r="C507" s="49"/>
      <c r="D507" s="49"/>
      <c r="E507" s="49" t="s">
        <v>503</v>
      </c>
      <c r="F507" s="49"/>
      <c r="G507" s="49"/>
      <c r="H507" s="63">
        <v>1942.71</v>
      </c>
      <c r="I507" s="63">
        <v>0</v>
      </c>
      <c r="J507" s="64">
        <v>1701.44</v>
      </c>
      <c r="K507" s="64">
        <v>1500</v>
      </c>
      <c r="L507" s="65">
        <v>1553.27</v>
      </c>
      <c r="M507" s="65">
        <v>1650</v>
      </c>
      <c r="N507" s="66">
        <f t="shared" si="129"/>
        <v>5197.42</v>
      </c>
      <c r="O507" s="66">
        <f t="shared" si="129"/>
        <v>3150</v>
      </c>
      <c r="P507" s="69">
        <f t="shared" si="116"/>
        <v>1732.4733333333334</v>
      </c>
      <c r="Q507" s="69">
        <f t="shared" si="116"/>
        <v>1050</v>
      </c>
      <c r="R507" s="54"/>
      <c r="S507" s="49"/>
      <c r="T507" s="49"/>
      <c r="U507" s="49"/>
      <c r="V507" s="49"/>
      <c r="W507" s="49" t="s">
        <v>503</v>
      </c>
      <c r="X507" s="49"/>
      <c r="Y507" s="49"/>
      <c r="Z507" s="66">
        <v>1650</v>
      </c>
      <c r="AA507" s="140"/>
      <c r="AB507" s="66">
        <v>1600</v>
      </c>
      <c r="AC507" s="66">
        <v>1600</v>
      </c>
      <c r="AD507" s="66">
        <v>1600</v>
      </c>
      <c r="AE507" s="66">
        <v>1600</v>
      </c>
      <c r="AF507" s="66">
        <v>1600</v>
      </c>
      <c r="AI507" s="81">
        <f t="shared" si="130"/>
        <v>-50</v>
      </c>
      <c r="AJ507" s="81">
        <f t="shared" si="131"/>
        <v>0</v>
      </c>
      <c r="AK507" s="81">
        <f t="shared" si="131"/>
        <v>0</v>
      </c>
      <c r="AM507" s="81">
        <f t="shared" si="115"/>
        <v>0</v>
      </c>
    </row>
    <row r="508" spans="1:39" x14ac:dyDescent="0.35">
      <c r="A508" s="66"/>
      <c r="B508" s="66"/>
      <c r="C508" s="49"/>
      <c r="D508" s="49"/>
      <c r="E508" s="49" t="s">
        <v>504</v>
      </c>
      <c r="F508" s="49"/>
      <c r="G508" s="49"/>
      <c r="H508" s="63">
        <v>43056.86</v>
      </c>
      <c r="I508" s="63">
        <v>43200</v>
      </c>
      <c r="J508" s="64">
        <v>49577.21</v>
      </c>
      <c r="K508" s="64">
        <v>40000</v>
      </c>
      <c r="L508" s="65">
        <v>49198.66</v>
      </c>
      <c r="M508" s="65">
        <v>43000</v>
      </c>
      <c r="N508" s="66">
        <f t="shared" si="129"/>
        <v>141832.73000000001</v>
      </c>
      <c r="O508" s="66">
        <f t="shared" si="129"/>
        <v>126200</v>
      </c>
      <c r="P508" s="69">
        <f t="shared" si="116"/>
        <v>47277.576666666668</v>
      </c>
      <c r="Q508" s="69">
        <f t="shared" si="116"/>
        <v>42066.666666666664</v>
      </c>
      <c r="R508" s="54"/>
      <c r="S508" s="49"/>
      <c r="T508" s="49"/>
      <c r="U508" s="49"/>
      <c r="V508" s="49"/>
      <c r="W508" s="49" t="s">
        <v>504</v>
      </c>
      <c r="X508" s="49"/>
      <c r="Y508" s="49"/>
      <c r="Z508" s="66">
        <v>53400</v>
      </c>
      <c r="AA508" s="140"/>
      <c r="AB508" s="66">
        <v>50400</v>
      </c>
      <c r="AC508" s="66">
        <v>50400</v>
      </c>
      <c r="AD508" s="66">
        <v>50400</v>
      </c>
      <c r="AE508" s="66">
        <v>50400</v>
      </c>
      <c r="AF508" s="66">
        <v>50400</v>
      </c>
      <c r="AH508" s="111"/>
      <c r="AI508" s="81">
        <f t="shared" si="130"/>
        <v>-3000</v>
      </c>
      <c r="AJ508" s="81">
        <f t="shared" si="131"/>
        <v>0</v>
      </c>
      <c r="AK508" s="81">
        <f t="shared" si="131"/>
        <v>0</v>
      </c>
      <c r="AM508" s="81">
        <f t="shared" si="115"/>
        <v>0</v>
      </c>
    </row>
    <row r="509" spans="1:39" x14ac:dyDescent="0.35">
      <c r="A509" s="66"/>
      <c r="B509" s="66"/>
      <c r="C509" s="49"/>
      <c r="D509" s="49"/>
      <c r="E509" s="49" t="s">
        <v>505</v>
      </c>
      <c r="F509" s="49"/>
      <c r="G509" s="49"/>
      <c r="H509" s="63">
        <v>29693.03</v>
      </c>
      <c r="I509" s="63">
        <v>25200</v>
      </c>
      <c r="J509" s="64">
        <v>29633.54</v>
      </c>
      <c r="K509" s="64">
        <v>26000</v>
      </c>
      <c r="L509" s="65">
        <v>30299.87</v>
      </c>
      <c r="M509" s="65">
        <v>30000</v>
      </c>
      <c r="N509" s="66">
        <f t="shared" si="129"/>
        <v>89626.44</v>
      </c>
      <c r="O509" s="66">
        <f t="shared" si="129"/>
        <v>81200</v>
      </c>
      <c r="P509" s="69">
        <f t="shared" ref="P509:Q569" si="132">N509/3</f>
        <v>29875.48</v>
      </c>
      <c r="Q509" s="69">
        <f t="shared" si="132"/>
        <v>27066.666666666668</v>
      </c>
      <c r="R509" s="54"/>
      <c r="S509" s="49"/>
      <c r="T509" s="49"/>
      <c r="U509" s="49"/>
      <c r="V509" s="49"/>
      <c r="W509" s="49" t="s">
        <v>505</v>
      </c>
      <c r="X509" s="49"/>
      <c r="Y509" s="49"/>
      <c r="Z509" s="66">
        <v>32964</v>
      </c>
      <c r="AA509" s="140"/>
      <c r="AB509" s="66">
        <v>29886</v>
      </c>
      <c r="AC509" s="66">
        <v>29886</v>
      </c>
      <c r="AD509" s="66">
        <v>29886</v>
      </c>
      <c r="AE509" s="66">
        <v>29886</v>
      </c>
      <c r="AF509" s="66">
        <v>29886</v>
      </c>
      <c r="AH509" s="112"/>
      <c r="AI509" s="81">
        <f t="shared" si="130"/>
        <v>-3078</v>
      </c>
      <c r="AJ509" s="81">
        <f t="shared" si="131"/>
        <v>0</v>
      </c>
      <c r="AK509" s="81">
        <f t="shared" si="131"/>
        <v>0</v>
      </c>
      <c r="AM509" s="81">
        <f t="shared" ref="AM509:AM548" si="133">AF509-AE509</f>
        <v>0</v>
      </c>
    </row>
    <row r="510" spans="1:39" x14ac:dyDescent="0.35">
      <c r="A510" s="66"/>
      <c r="B510" s="66"/>
      <c r="C510" s="49"/>
      <c r="D510" s="49"/>
      <c r="E510" s="49" t="s">
        <v>506</v>
      </c>
      <c r="F510" s="49"/>
      <c r="G510" s="49"/>
      <c r="H510" s="63">
        <v>0</v>
      </c>
      <c r="I510" s="63">
        <v>700</v>
      </c>
      <c r="J510" s="64">
        <v>0</v>
      </c>
      <c r="K510" s="64">
        <v>500</v>
      </c>
      <c r="L510" s="65">
        <v>0</v>
      </c>
      <c r="M510" s="65">
        <v>575</v>
      </c>
      <c r="N510" s="66">
        <f t="shared" si="129"/>
        <v>0</v>
      </c>
      <c r="O510" s="66">
        <f t="shared" si="129"/>
        <v>1775</v>
      </c>
      <c r="P510" s="69">
        <f t="shared" si="132"/>
        <v>0</v>
      </c>
      <c r="Q510" s="69">
        <f t="shared" si="132"/>
        <v>591.66666666666663</v>
      </c>
      <c r="R510" s="54"/>
      <c r="S510" s="49"/>
      <c r="T510" s="49"/>
      <c r="U510" s="49"/>
      <c r="V510" s="49"/>
      <c r="W510" s="49" t="s">
        <v>506</v>
      </c>
      <c r="X510" s="49"/>
      <c r="Y510" s="49"/>
      <c r="Z510" s="66">
        <v>700</v>
      </c>
      <c r="AA510" s="140"/>
      <c r="AB510" s="66">
        <v>700</v>
      </c>
      <c r="AC510" s="66">
        <v>700</v>
      </c>
      <c r="AD510" s="66">
        <v>700</v>
      </c>
      <c r="AE510" s="66">
        <v>700</v>
      </c>
      <c r="AF510" s="66">
        <v>700</v>
      </c>
      <c r="AI510" s="81">
        <f t="shared" si="130"/>
        <v>0</v>
      </c>
      <c r="AJ510" s="81">
        <f t="shared" si="131"/>
        <v>0</v>
      </c>
      <c r="AK510" s="81">
        <f t="shared" si="131"/>
        <v>0</v>
      </c>
      <c r="AM510" s="81">
        <f t="shared" si="133"/>
        <v>0</v>
      </c>
    </row>
    <row r="511" spans="1:39" x14ac:dyDescent="0.35">
      <c r="A511" s="66"/>
      <c r="B511" s="66"/>
      <c r="C511" s="49"/>
      <c r="D511" s="49"/>
      <c r="E511" s="49" t="s">
        <v>507</v>
      </c>
      <c r="F511" s="49"/>
      <c r="G511" s="49"/>
      <c r="H511" s="63">
        <v>11143.42</v>
      </c>
      <c r="I511" s="63">
        <v>11688</v>
      </c>
      <c r="J511" s="64">
        <v>11624.25</v>
      </c>
      <c r="K511" s="64">
        <v>10368</v>
      </c>
      <c r="L511" s="65">
        <v>11804</v>
      </c>
      <c r="M511" s="65">
        <v>11238</v>
      </c>
      <c r="N511" s="66">
        <f t="shared" si="129"/>
        <v>34571.67</v>
      </c>
      <c r="O511" s="66">
        <f t="shared" si="129"/>
        <v>33294</v>
      </c>
      <c r="P511" s="69">
        <f t="shared" si="132"/>
        <v>11523.89</v>
      </c>
      <c r="Q511" s="69">
        <f t="shared" si="132"/>
        <v>11098</v>
      </c>
      <c r="R511" s="54"/>
      <c r="S511" s="49"/>
      <c r="T511" s="49"/>
      <c r="U511" s="49"/>
      <c r="V511" s="49"/>
      <c r="W511" s="49" t="s">
        <v>507</v>
      </c>
      <c r="X511" s="49"/>
      <c r="Y511" s="49"/>
      <c r="Z511" s="66">
        <v>10173</v>
      </c>
      <c r="AA511" s="140"/>
      <c r="AB511" s="66">
        <v>13488</v>
      </c>
      <c r="AC511" s="66">
        <v>13488</v>
      </c>
      <c r="AD511" s="66">
        <v>13488</v>
      </c>
      <c r="AE511" s="66">
        <v>13488</v>
      </c>
      <c r="AF511" s="66">
        <v>13488</v>
      </c>
      <c r="AI511" s="81">
        <f t="shared" si="130"/>
        <v>3315</v>
      </c>
      <c r="AJ511" s="81">
        <f t="shared" si="131"/>
        <v>0</v>
      </c>
      <c r="AK511" s="81">
        <f t="shared" si="131"/>
        <v>0</v>
      </c>
      <c r="AM511" s="81">
        <f t="shared" si="133"/>
        <v>0</v>
      </c>
    </row>
    <row r="512" spans="1:39" x14ac:dyDescent="0.35">
      <c r="A512" s="66"/>
      <c r="B512" s="66"/>
      <c r="C512" s="49"/>
      <c r="D512" s="49"/>
      <c r="E512" s="49" t="s">
        <v>508</v>
      </c>
      <c r="F512" s="49"/>
      <c r="G512" s="49"/>
      <c r="H512" s="63">
        <v>23426.28</v>
      </c>
      <c r="I512" s="63">
        <v>12424</v>
      </c>
      <c r="J512" s="64">
        <v>25016.84</v>
      </c>
      <c r="K512" s="64">
        <v>23200</v>
      </c>
      <c r="L512" s="65">
        <v>28552.11</v>
      </c>
      <c r="M512" s="65">
        <v>26073</v>
      </c>
      <c r="N512" s="66">
        <f t="shared" si="129"/>
        <v>76995.23</v>
      </c>
      <c r="O512" s="66">
        <f t="shared" si="129"/>
        <v>61697</v>
      </c>
      <c r="P512" s="69">
        <f t="shared" si="132"/>
        <v>25665.076666666664</v>
      </c>
      <c r="Q512" s="69">
        <f t="shared" si="132"/>
        <v>20565.666666666668</v>
      </c>
      <c r="R512" s="54"/>
      <c r="S512" s="49"/>
      <c r="T512" s="49"/>
      <c r="U512" s="49"/>
      <c r="V512" s="49"/>
      <c r="W512" s="49" t="s">
        <v>508</v>
      </c>
      <c r="X512" s="49"/>
      <c r="Y512" s="49"/>
      <c r="Z512" s="66">
        <v>29969</v>
      </c>
      <c r="AA512" s="140"/>
      <c r="AB512" s="66">
        <v>0</v>
      </c>
      <c r="AC512" s="66">
        <v>0</v>
      </c>
      <c r="AD512" s="66">
        <v>0</v>
      </c>
      <c r="AE512" s="66">
        <v>0</v>
      </c>
      <c r="AF512" s="66">
        <v>0</v>
      </c>
      <c r="AH512" s="46" t="s">
        <v>847</v>
      </c>
      <c r="AI512" s="81">
        <f t="shared" si="130"/>
        <v>-29969</v>
      </c>
      <c r="AJ512" s="81">
        <f t="shared" si="131"/>
        <v>0</v>
      </c>
      <c r="AK512" s="81">
        <f t="shared" si="131"/>
        <v>0</v>
      </c>
      <c r="AM512" s="81">
        <f t="shared" si="133"/>
        <v>0</v>
      </c>
    </row>
    <row r="513" spans="1:39" x14ac:dyDescent="0.35">
      <c r="A513" s="66"/>
      <c r="B513" s="66"/>
      <c r="C513" s="49"/>
      <c r="D513" s="49"/>
      <c r="E513" s="49" t="s">
        <v>509</v>
      </c>
      <c r="F513" s="49"/>
      <c r="G513" s="49"/>
      <c r="H513" s="63">
        <v>32596.51</v>
      </c>
      <c r="I513" s="63">
        <v>32227.24</v>
      </c>
      <c r="J513" s="64">
        <v>35370.050000000003</v>
      </c>
      <c r="K513" s="64">
        <v>32800</v>
      </c>
      <c r="L513" s="65">
        <v>38961.4</v>
      </c>
      <c r="M513" s="65">
        <v>35599</v>
      </c>
      <c r="N513" s="66">
        <f t="shared" si="129"/>
        <v>106927.96</v>
      </c>
      <c r="O513" s="66">
        <f t="shared" si="129"/>
        <v>100626.24000000001</v>
      </c>
      <c r="P513" s="69">
        <f t="shared" si="132"/>
        <v>35642.653333333335</v>
      </c>
      <c r="Q513" s="69">
        <f t="shared" si="132"/>
        <v>33542.080000000002</v>
      </c>
      <c r="R513" s="54"/>
      <c r="S513" s="49"/>
      <c r="T513" s="49"/>
      <c r="U513" s="49"/>
      <c r="V513" s="49"/>
      <c r="W513" s="49" t="s">
        <v>509</v>
      </c>
      <c r="X513" s="49"/>
      <c r="Y513" s="49"/>
      <c r="Z513" s="66">
        <v>50578</v>
      </c>
      <c r="AA513" s="140"/>
      <c r="AB513" s="66">
        <v>49805</v>
      </c>
      <c r="AC513" s="66">
        <v>49805</v>
      </c>
      <c r="AD513" s="66">
        <v>49805</v>
      </c>
      <c r="AE513" s="66">
        <v>49805</v>
      </c>
      <c r="AF513" s="66">
        <v>49805</v>
      </c>
      <c r="AI513" s="81">
        <f t="shared" si="130"/>
        <v>-773</v>
      </c>
      <c r="AJ513" s="81">
        <f t="shared" si="131"/>
        <v>0</v>
      </c>
      <c r="AK513" s="81">
        <f t="shared" si="131"/>
        <v>0</v>
      </c>
      <c r="AM513" s="81">
        <f t="shared" si="133"/>
        <v>0</v>
      </c>
    </row>
    <row r="514" spans="1:39" x14ac:dyDescent="0.35">
      <c r="A514" s="66"/>
      <c r="B514" s="66"/>
      <c r="C514" s="49"/>
      <c r="D514" s="49"/>
      <c r="E514" s="49" t="s">
        <v>510</v>
      </c>
      <c r="F514" s="49"/>
      <c r="G514" s="49"/>
      <c r="H514" s="63"/>
      <c r="I514" s="63"/>
      <c r="J514" s="64"/>
      <c r="K514" s="64"/>
      <c r="L514" s="65"/>
      <c r="M514" s="65"/>
      <c r="N514" s="66"/>
      <c r="O514" s="66"/>
      <c r="P514" s="69"/>
      <c r="Q514" s="69"/>
      <c r="R514" s="54"/>
      <c r="S514" s="49"/>
      <c r="T514" s="49"/>
      <c r="U514" s="49"/>
      <c r="V514" s="49"/>
      <c r="W514" s="49" t="s">
        <v>510</v>
      </c>
      <c r="X514" s="49"/>
      <c r="Y514" s="49"/>
      <c r="Z514" s="66"/>
      <c r="AA514" s="140"/>
      <c r="AB514" s="66"/>
      <c r="AC514" s="66"/>
      <c r="AD514" s="66"/>
      <c r="AE514" s="66"/>
      <c r="AF514" s="66"/>
      <c r="AI514" s="81">
        <f t="shared" si="130"/>
        <v>0</v>
      </c>
      <c r="AJ514" s="81">
        <f t="shared" si="131"/>
        <v>0</v>
      </c>
      <c r="AK514" s="81">
        <f t="shared" si="131"/>
        <v>0</v>
      </c>
      <c r="AM514" s="81">
        <f t="shared" si="133"/>
        <v>0</v>
      </c>
    </row>
    <row r="515" spans="1:39" x14ac:dyDescent="0.35">
      <c r="A515" s="66"/>
      <c r="B515" s="66"/>
      <c r="C515" s="49"/>
      <c r="D515" s="49"/>
      <c r="E515" s="49"/>
      <c r="F515" s="49" t="s">
        <v>511</v>
      </c>
      <c r="G515" s="49"/>
      <c r="H515" s="63">
        <v>8700</v>
      </c>
      <c r="I515" s="63">
        <v>15000</v>
      </c>
      <c r="J515" s="64">
        <v>24061</v>
      </c>
      <c r="K515" s="64">
        <v>25000</v>
      </c>
      <c r="L515" s="65">
        <v>24976</v>
      </c>
      <c r="M515" s="65">
        <v>25000</v>
      </c>
      <c r="N515" s="66">
        <f t="shared" ref="N515:O530" si="134">ROUND(H515+J515+L515,5)</f>
        <v>57737</v>
      </c>
      <c r="O515" s="66">
        <f t="shared" si="134"/>
        <v>65000</v>
      </c>
      <c r="P515" s="69">
        <f t="shared" si="132"/>
        <v>19245.666666666668</v>
      </c>
      <c r="Q515" s="69">
        <f t="shared" si="132"/>
        <v>21666.666666666668</v>
      </c>
      <c r="R515" s="54"/>
      <c r="S515" s="49"/>
      <c r="T515" s="49"/>
      <c r="U515" s="49"/>
      <c r="V515" s="49"/>
      <c r="W515" s="49"/>
      <c r="X515" s="49" t="s">
        <v>511</v>
      </c>
      <c r="Y515" s="49"/>
      <c r="Z515" s="66">
        <v>25000</v>
      </c>
      <c r="AA515" s="140"/>
      <c r="AB515" s="66">
        <v>25000</v>
      </c>
      <c r="AC515" s="66">
        <v>20000</v>
      </c>
      <c r="AD515" s="66">
        <v>20000</v>
      </c>
      <c r="AE515" s="66">
        <v>20000</v>
      </c>
      <c r="AF515" s="66">
        <v>25000</v>
      </c>
      <c r="AI515" s="81">
        <f t="shared" si="130"/>
        <v>0</v>
      </c>
      <c r="AJ515" s="81">
        <f t="shared" si="131"/>
        <v>-5000</v>
      </c>
      <c r="AK515" s="81">
        <f t="shared" si="131"/>
        <v>0</v>
      </c>
      <c r="AM515" s="81">
        <f t="shared" si="133"/>
        <v>5000</v>
      </c>
    </row>
    <row r="516" spans="1:39" x14ac:dyDescent="0.35">
      <c r="A516" s="66"/>
      <c r="B516" s="66"/>
      <c r="C516" s="49"/>
      <c r="D516" s="49"/>
      <c r="E516" s="49"/>
      <c r="F516" s="49" t="s">
        <v>512</v>
      </c>
      <c r="G516" s="49"/>
      <c r="H516" s="63">
        <v>968.76</v>
      </c>
      <c r="I516" s="63">
        <v>40000</v>
      </c>
      <c r="J516" s="64">
        <v>11604.98</v>
      </c>
      <c r="K516" s="64">
        <v>18000</v>
      </c>
      <c r="L516" s="65">
        <v>9768.11</v>
      </c>
      <c r="M516" s="65">
        <v>30000</v>
      </c>
      <c r="N516" s="66">
        <f t="shared" si="134"/>
        <v>22341.85</v>
      </c>
      <c r="O516" s="66">
        <f t="shared" si="134"/>
        <v>88000</v>
      </c>
      <c r="P516" s="69">
        <f t="shared" si="132"/>
        <v>7447.2833333333328</v>
      </c>
      <c r="Q516" s="69">
        <f t="shared" si="132"/>
        <v>29333.333333333332</v>
      </c>
      <c r="R516" s="54"/>
      <c r="S516" s="49"/>
      <c r="T516" s="49"/>
      <c r="U516" s="49"/>
      <c r="V516" s="49"/>
      <c r="W516" s="49"/>
      <c r="X516" s="49" t="s">
        <v>512</v>
      </c>
      <c r="Y516" s="49"/>
      <c r="Z516" s="66">
        <v>35000</v>
      </c>
      <c r="AA516" s="140"/>
      <c r="AB516" s="66">
        <v>20000</v>
      </c>
      <c r="AC516" s="66">
        <v>15000</v>
      </c>
      <c r="AD516" s="66">
        <v>15000</v>
      </c>
      <c r="AE516" s="66">
        <v>15000</v>
      </c>
      <c r="AF516" s="66">
        <v>20000</v>
      </c>
      <c r="AI516" s="81">
        <f t="shared" si="130"/>
        <v>-15000</v>
      </c>
      <c r="AJ516" s="81">
        <f t="shared" si="131"/>
        <v>-5000</v>
      </c>
      <c r="AK516" s="81">
        <f t="shared" si="131"/>
        <v>0</v>
      </c>
      <c r="AM516" s="81">
        <f t="shared" si="133"/>
        <v>5000</v>
      </c>
    </row>
    <row r="517" spans="1:39" ht="16" thickBot="1" x14ac:dyDescent="0.4">
      <c r="A517" s="66"/>
      <c r="B517" s="66"/>
      <c r="C517" s="49"/>
      <c r="D517" s="49"/>
      <c r="E517" s="49"/>
      <c r="F517" s="49" t="s">
        <v>513</v>
      </c>
      <c r="G517" s="49"/>
      <c r="H517" s="70">
        <v>18640.98</v>
      </c>
      <c r="I517" s="70">
        <v>20000</v>
      </c>
      <c r="J517" s="71">
        <v>34056.79</v>
      </c>
      <c r="K517" s="71">
        <v>15000</v>
      </c>
      <c r="L517" s="72">
        <v>41936.720000000001</v>
      </c>
      <c r="M517" s="72">
        <v>20000</v>
      </c>
      <c r="N517" s="73">
        <f t="shared" si="134"/>
        <v>94634.49</v>
      </c>
      <c r="O517" s="73">
        <f t="shared" si="134"/>
        <v>55000</v>
      </c>
      <c r="P517" s="74">
        <f t="shared" si="132"/>
        <v>31544.83</v>
      </c>
      <c r="Q517" s="74">
        <f t="shared" si="132"/>
        <v>18333.333333333332</v>
      </c>
      <c r="R517" s="54"/>
      <c r="S517" s="49"/>
      <c r="T517" s="49"/>
      <c r="U517" s="49"/>
      <c r="V517" s="49"/>
      <c r="W517" s="49"/>
      <c r="X517" s="49" t="s">
        <v>513</v>
      </c>
      <c r="Y517" s="49"/>
      <c r="Z517" s="73">
        <v>30000</v>
      </c>
      <c r="AA517" s="140"/>
      <c r="AB517" s="73">
        <v>35000</v>
      </c>
      <c r="AC517" s="73">
        <v>30000</v>
      </c>
      <c r="AD517" s="73">
        <v>30000</v>
      </c>
      <c r="AE517" s="73">
        <v>30000</v>
      </c>
      <c r="AF517" s="73">
        <v>35000</v>
      </c>
      <c r="AI517" s="81">
        <f t="shared" si="130"/>
        <v>5000</v>
      </c>
      <c r="AJ517" s="81">
        <f t="shared" si="131"/>
        <v>-5000</v>
      </c>
      <c r="AK517" s="81">
        <f t="shared" si="131"/>
        <v>0</v>
      </c>
      <c r="AM517" s="81">
        <f t="shared" si="133"/>
        <v>5000</v>
      </c>
    </row>
    <row r="518" spans="1:39" x14ac:dyDescent="0.35">
      <c r="A518" s="66"/>
      <c r="B518" s="66"/>
      <c r="C518" s="49"/>
      <c r="D518" s="49"/>
      <c r="E518" s="49" t="s">
        <v>514</v>
      </c>
      <c r="F518" s="49"/>
      <c r="G518" s="49"/>
      <c r="H518" s="63">
        <f t="shared" ref="H518:M518" si="135">ROUND(SUM(H514:H517),5)</f>
        <v>28309.74</v>
      </c>
      <c r="I518" s="63">
        <f t="shared" si="135"/>
        <v>75000</v>
      </c>
      <c r="J518" s="64">
        <f t="shared" si="135"/>
        <v>69722.77</v>
      </c>
      <c r="K518" s="64">
        <f t="shared" si="135"/>
        <v>58000</v>
      </c>
      <c r="L518" s="65">
        <f t="shared" si="135"/>
        <v>76680.83</v>
      </c>
      <c r="M518" s="65">
        <f t="shared" si="135"/>
        <v>75000</v>
      </c>
      <c r="N518" s="66">
        <f t="shared" si="134"/>
        <v>174713.34</v>
      </c>
      <c r="O518" s="66">
        <f t="shared" si="134"/>
        <v>208000</v>
      </c>
      <c r="P518" s="69">
        <f t="shared" si="132"/>
        <v>58237.78</v>
      </c>
      <c r="Q518" s="69">
        <f t="shared" si="132"/>
        <v>69333.333333333328</v>
      </c>
      <c r="R518" s="54"/>
      <c r="S518" s="49"/>
      <c r="T518" s="49"/>
      <c r="U518" s="49"/>
      <c r="V518" s="49"/>
      <c r="W518" s="49" t="s">
        <v>514</v>
      </c>
      <c r="X518" s="49"/>
      <c r="Y518" s="49"/>
      <c r="Z518" s="66">
        <f>ROUND(SUM(Z514:Z517),5)</f>
        <v>90000</v>
      </c>
      <c r="AA518" s="140"/>
      <c r="AB518" s="66">
        <f>ROUND(SUM(AB514:AB517),5)</f>
        <v>80000</v>
      </c>
      <c r="AC518" s="66">
        <f>ROUND(SUM(AC514:AC517),5)</f>
        <v>65000</v>
      </c>
      <c r="AD518" s="66">
        <f>ROUND(SUM(AD514:AD517),5)</f>
        <v>65000</v>
      </c>
      <c r="AE518" s="66">
        <f>ROUND(SUM(AE514:AE517),5)</f>
        <v>65000</v>
      </c>
      <c r="AF518" s="66">
        <f>ROUND(SUM(AF514:AF517),5)</f>
        <v>80000</v>
      </c>
      <c r="AI518" s="81">
        <f t="shared" si="130"/>
        <v>-10000</v>
      </c>
      <c r="AJ518" s="81">
        <f t="shared" si="131"/>
        <v>-15000</v>
      </c>
      <c r="AK518" s="81">
        <f t="shared" si="131"/>
        <v>0</v>
      </c>
      <c r="AM518" s="81">
        <f t="shared" si="133"/>
        <v>15000</v>
      </c>
    </row>
    <row r="519" spans="1:39" x14ac:dyDescent="0.35">
      <c r="A519" s="66"/>
      <c r="B519" s="66"/>
      <c r="C519" s="49"/>
      <c r="D519" s="49"/>
      <c r="E519" s="49" t="s">
        <v>515</v>
      </c>
      <c r="F519" s="49"/>
      <c r="G519" s="49"/>
      <c r="H519" s="63">
        <v>4964.49</v>
      </c>
      <c r="I519" s="63">
        <v>2000</v>
      </c>
      <c r="J519" s="64">
        <v>2885.14</v>
      </c>
      <c r="K519" s="64">
        <v>2880</v>
      </c>
      <c r="L519" s="65">
        <v>670.2</v>
      </c>
      <c r="M519" s="65">
        <v>3000</v>
      </c>
      <c r="N519" s="66">
        <f t="shared" si="134"/>
        <v>8519.83</v>
      </c>
      <c r="O519" s="66">
        <f t="shared" si="134"/>
        <v>7880</v>
      </c>
      <c r="P519" s="69">
        <f t="shared" si="132"/>
        <v>2839.9433333333332</v>
      </c>
      <c r="Q519" s="69">
        <f t="shared" si="132"/>
        <v>2626.6666666666665</v>
      </c>
      <c r="R519" s="54"/>
      <c r="S519" s="49"/>
      <c r="T519" s="49"/>
      <c r="U519" s="49"/>
      <c r="V519" s="49"/>
      <c r="W519" s="49" t="s">
        <v>515</v>
      </c>
      <c r="X519" s="49"/>
      <c r="Y519" s="49"/>
      <c r="Z519" s="66">
        <v>8000</v>
      </c>
      <c r="AA519" s="140"/>
      <c r="AB519" s="66">
        <v>2000</v>
      </c>
      <c r="AC519" s="66">
        <v>2000</v>
      </c>
      <c r="AD519" s="66">
        <v>2000</v>
      </c>
      <c r="AE519" s="66">
        <v>2000</v>
      </c>
      <c r="AF519" s="66">
        <v>2000</v>
      </c>
      <c r="AI519" s="81">
        <f t="shared" si="130"/>
        <v>-6000</v>
      </c>
      <c r="AJ519" s="81">
        <f t="shared" si="131"/>
        <v>0</v>
      </c>
      <c r="AK519" s="81">
        <f t="shared" si="131"/>
        <v>0</v>
      </c>
      <c r="AM519" s="81">
        <f t="shared" si="133"/>
        <v>0</v>
      </c>
    </row>
    <row r="520" spans="1:39" x14ac:dyDescent="0.35">
      <c r="A520" s="66"/>
      <c r="B520" s="66"/>
      <c r="C520" s="49"/>
      <c r="D520" s="49"/>
      <c r="E520" s="49" t="s">
        <v>516</v>
      </c>
      <c r="F520" s="49"/>
      <c r="G520" s="49"/>
      <c r="H520" s="63">
        <v>47274.94</v>
      </c>
      <c r="I520" s="63">
        <v>28524</v>
      </c>
      <c r="J520" s="64">
        <v>40863.71</v>
      </c>
      <c r="K520" s="64">
        <v>43665</v>
      </c>
      <c r="L520" s="65">
        <v>42646.15</v>
      </c>
      <c r="M520" s="65">
        <v>44757</v>
      </c>
      <c r="N520" s="66">
        <f t="shared" si="134"/>
        <v>130784.8</v>
      </c>
      <c r="O520" s="66">
        <f t="shared" si="134"/>
        <v>116946</v>
      </c>
      <c r="P520" s="69">
        <f t="shared" si="132"/>
        <v>43594.933333333334</v>
      </c>
      <c r="Q520" s="69">
        <f t="shared" si="132"/>
        <v>38982</v>
      </c>
      <c r="R520" s="54"/>
      <c r="S520" s="49"/>
      <c r="T520" s="49"/>
      <c r="U520" s="49"/>
      <c r="V520" s="49"/>
      <c r="W520" s="49" t="s">
        <v>516</v>
      </c>
      <c r="X520" s="49"/>
      <c r="Y520" s="49"/>
      <c r="Z520" s="66">
        <v>49516</v>
      </c>
      <c r="AA520" s="140"/>
      <c r="AB520" s="66">
        <v>82667.42</v>
      </c>
      <c r="AC520" s="66">
        <v>82667.42</v>
      </c>
      <c r="AD520" s="66">
        <v>82667.42</v>
      </c>
      <c r="AE520" s="66">
        <v>82667.42</v>
      </c>
      <c r="AF520" s="66">
        <v>82667.42</v>
      </c>
      <c r="AI520" s="81">
        <f t="shared" si="130"/>
        <v>33151.42</v>
      </c>
      <c r="AJ520" s="81">
        <f t="shared" si="131"/>
        <v>0</v>
      </c>
      <c r="AK520" s="81">
        <f t="shared" si="131"/>
        <v>0</v>
      </c>
      <c r="AM520" s="81">
        <f t="shared" si="133"/>
        <v>0</v>
      </c>
    </row>
    <row r="521" spans="1:39" x14ac:dyDescent="0.35">
      <c r="A521" s="66"/>
      <c r="B521" s="66"/>
      <c r="C521" s="49"/>
      <c r="D521" s="49"/>
      <c r="E521" s="49" t="s">
        <v>517</v>
      </c>
      <c r="F521" s="49"/>
      <c r="G521" s="49"/>
      <c r="H521" s="63">
        <v>4530.93</v>
      </c>
      <c r="I521" s="63">
        <v>3000</v>
      </c>
      <c r="J521" s="64">
        <v>2569.27</v>
      </c>
      <c r="K521" s="64">
        <v>5000</v>
      </c>
      <c r="L521" s="65">
        <v>3451.72</v>
      </c>
      <c r="M521" s="65">
        <v>0</v>
      </c>
      <c r="N521" s="66">
        <f t="shared" si="134"/>
        <v>10551.92</v>
      </c>
      <c r="O521" s="66">
        <f t="shared" si="134"/>
        <v>8000</v>
      </c>
      <c r="P521" s="69">
        <f t="shared" si="132"/>
        <v>3517.3066666666668</v>
      </c>
      <c r="Q521" s="69">
        <f t="shared" si="132"/>
        <v>2666.6666666666665</v>
      </c>
      <c r="R521" s="54"/>
      <c r="S521" s="49"/>
      <c r="T521" s="49"/>
      <c r="U521" s="49"/>
      <c r="V521" s="49"/>
      <c r="W521" s="49" t="s">
        <v>517</v>
      </c>
      <c r="X521" s="49"/>
      <c r="Y521" s="49"/>
      <c r="Z521" s="66">
        <v>3000</v>
      </c>
      <c r="AA521" s="140"/>
      <c r="AB521" s="66">
        <v>2000</v>
      </c>
      <c r="AC521" s="66">
        <v>2000</v>
      </c>
      <c r="AD521" s="66">
        <v>2000</v>
      </c>
      <c r="AE521" s="66">
        <v>0</v>
      </c>
      <c r="AF521" s="66">
        <v>0</v>
      </c>
      <c r="AI521" s="81">
        <f t="shared" si="130"/>
        <v>-1000</v>
      </c>
      <c r="AJ521" s="81">
        <f t="shared" si="131"/>
        <v>0</v>
      </c>
      <c r="AK521" s="81">
        <f t="shared" si="131"/>
        <v>0</v>
      </c>
      <c r="AM521" s="81">
        <f t="shared" si="133"/>
        <v>0</v>
      </c>
    </row>
    <row r="522" spans="1:39" x14ac:dyDescent="0.35">
      <c r="A522" s="66"/>
      <c r="B522" s="66"/>
      <c r="C522" s="49"/>
      <c r="D522" s="49"/>
      <c r="E522" s="49" t="s">
        <v>518</v>
      </c>
      <c r="F522" s="49"/>
      <c r="G522" s="49"/>
      <c r="H522" s="63">
        <v>898.07</v>
      </c>
      <c r="I522" s="63">
        <v>2000</v>
      </c>
      <c r="J522" s="64">
        <v>386.15</v>
      </c>
      <c r="K522" s="64">
        <v>1000</v>
      </c>
      <c r="L522" s="65">
        <v>324.02999999999997</v>
      </c>
      <c r="M522" s="65">
        <v>1000</v>
      </c>
      <c r="N522" s="66">
        <f t="shared" si="134"/>
        <v>1608.25</v>
      </c>
      <c r="O522" s="66">
        <f t="shared" si="134"/>
        <v>4000</v>
      </c>
      <c r="P522" s="69">
        <f t="shared" si="132"/>
        <v>536.08333333333337</v>
      </c>
      <c r="Q522" s="69">
        <f t="shared" si="132"/>
        <v>1333.3333333333333</v>
      </c>
      <c r="R522" s="54"/>
      <c r="S522" s="49"/>
      <c r="T522" s="49"/>
      <c r="U522" s="49"/>
      <c r="V522" s="49"/>
      <c r="W522" s="49" t="s">
        <v>518</v>
      </c>
      <c r="X522" s="49"/>
      <c r="Y522" s="49"/>
      <c r="Z522" s="66">
        <v>1000</v>
      </c>
      <c r="AA522" s="140"/>
      <c r="AB522" s="66">
        <v>1000</v>
      </c>
      <c r="AC522" s="66">
        <v>1000</v>
      </c>
      <c r="AD522" s="66">
        <v>1000</v>
      </c>
      <c r="AE522" s="66">
        <v>1000</v>
      </c>
      <c r="AF522" s="66">
        <v>1000</v>
      </c>
      <c r="AI522" s="81">
        <f t="shared" si="130"/>
        <v>0</v>
      </c>
      <c r="AJ522" s="81">
        <f t="shared" si="131"/>
        <v>0</v>
      </c>
      <c r="AK522" s="81">
        <f t="shared" si="131"/>
        <v>0</v>
      </c>
      <c r="AM522" s="81">
        <f t="shared" si="133"/>
        <v>0</v>
      </c>
    </row>
    <row r="523" spans="1:39" x14ac:dyDescent="0.35">
      <c r="A523" s="66"/>
      <c r="B523" s="66"/>
      <c r="C523" s="49"/>
      <c r="D523" s="49"/>
      <c r="E523" s="49" t="s">
        <v>519</v>
      </c>
      <c r="F523" s="49"/>
      <c r="G523" s="49"/>
      <c r="H523" s="63">
        <v>0</v>
      </c>
      <c r="I523" s="63"/>
      <c r="J523" s="64">
        <v>0</v>
      </c>
      <c r="K523" s="64"/>
      <c r="L523" s="65">
        <v>86.03</v>
      </c>
      <c r="M523" s="65"/>
      <c r="N523" s="66">
        <f t="shared" si="134"/>
        <v>86.03</v>
      </c>
      <c r="O523" s="66"/>
      <c r="P523" s="69">
        <f t="shared" si="132"/>
        <v>28.676666666666666</v>
      </c>
      <c r="Q523" s="69">
        <f t="shared" si="132"/>
        <v>0</v>
      </c>
      <c r="R523" s="54"/>
      <c r="S523" s="49"/>
      <c r="T523" s="49"/>
      <c r="U523" s="49"/>
      <c r="V523" s="49"/>
      <c r="W523" s="49" t="s">
        <v>519</v>
      </c>
      <c r="X523" s="49"/>
      <c r="Y523" s="49"/>
      <c r="Z523" s="66">
        <v>0</v>
      </c>
      <c r="AA523" s="140"/>
      <c r="AB523" s="66">
        <v>0</v>
      </c>
      <c r="AC523" s="66">
        <v>0</v>
      </c>
      <c r="AD523" s="66">
        <v>0</v>
      </c>
      <c r="AE523" s="66">
        <v>0</v>
      </c>
      <c r="AF523" s="66">
        <v>0</v>
      </c>
      <c r="AI523" s="81">
        <f t="shared" si="130"/>
        <v>0</v>
      </c>
      <c r="AJ523" s="81">
        <f t="shared" si="131"/>
        <v>0</v>
      </c>
      <c r="AK523" s="81">
        <f t="shared" si="131"/>
        <v>0</v>
      </c>
      <c r="AM523" s="81">
        <f t="shared" si="133"/>
        <v>0</v>
      </c>
    </row>
    <row r="524" spans="1:39" x14ac:dyDescent="0.35">
      <c r="A524" s="66"/>
      <c r="B524" s="66"/>
      <c r="C524" s="49"/>
      <c r="D524" s="49"/>
      <c r="E524" s="49" t="s">
        <v>520</v>
      </c>
      <c r="F524" s="49"/>
      <c r="G524" s="49"/>
      <c r="H524" s="63">
        <v>22781.57</v>
      </c>
      <c r="I524" s="63">
        <v>20000</v>
      </c>
      <c r="J524" s="64">
        <v>23123.1</v>
      </c>
      <c r="K524" s="64">
        <v>15000</v>
      </c>
      <c r="L524" s="65">
        <v>27051.87</v>
      </c>
      <c r="M524" s="65">
        <v>15000</v>
      </c>
      <c r="N524" s="66">
        <f t="shared" si="134"/>
        <v>72956.539999999994</v>
      </c>
      <c r="O524" s="66">
        <f t="shared" si="134"/>
        <v>50000</v>
      </c>
      <c r="P524" s="69">
        <f t="shared" si="132"/>
        <v>24318.846666666665</v>
      </c>
      <c r="Q524" s="69">
        <f t="shared" si="132"/>
        <v>16666.666666666668</v>
      </c>
      <c r="R524" s="54"/>
      <c r="S524" s="49"/>
      <c r="T524" s="49"/>
      <c r="U524" s="49"/>
      <c r="V524" s="49"/>
      <c r="W524" s="49" t="s">
        <v>520</v>
      </c>
      <c r="X524" s="49"/>
      <c r="Y524" s="49"/>
      <c r="Z524" s="66">
        <v>17000</v>
      </c>
      <c r="AA524" s="140"/>
      <c r="AB524" s="66">
        <v>22000</v>
      </c>
      <c r="AC524" s="66">
        <v>22000</v>
      </c>
      <c r="AD524" s="66">
        <v>22000</v>
      </c>
      <c r="AE524" s="66">
        <v>22000</v>
      </c>
      <c r="AF524" s="66">
        <v>22000</v>
      </c>
      <c r="AI524" s="81">
        <f t="shared" si="130"/>
        <v>5000</v>
      </c>
      <c r="AJ524" s="81">
        <f t="shared" si="131"/>
        <v>0</v>
      </c>
      <c r="AK524" s="81">
        <f t="shared" si="131"/>
        <v>0</v>
      </c>
      <c r="AM524" s="81">
        <f t="shared" si="133"/>
        <v>0</v>
      </c>
    </row>
    <row r="525" spans="1:39" x14ac:dyDescent="0.35">
      <c r="A525" s="66"/>
      <c r="B525" s="66"/>
      <c r="C525" s="49"/>
      <c r="D525" s="49"/>
      <c r="E525" s="49" t="s">
        <v>521</v>
      </c>
      <c r="F525" s="49"/>
      <c r="G525" s="49"/>
      <c r="H525" s="63">
        <v>207.16</v>
      </c>
      <c r="I525" s="63">
        <v>1700</v>
      </c>
      <c r="J525" s="64">
        <v>485.58</v>
      </c>
      <c r="K525" s="64">
        <v>1100</v>
      </c>
      <c r="L525" s="65">
        <v>90.48</v>
      </c>
      <c r="M525" s="65">
        <v>1000</v>
      </c>
      <c r="N525" s="66">
        <f t="shared" si="134"/>
        <v>783.22</v>
      </c>
      <c r="O525" s="66">
        <f t="shared" si="134"/>
        <v>3800</v>
      </c>
      <c r="P525" s="69">
        <f t="shared" si="132"/>
        <v>261.07333333333332</v>
      </c>
      <c r="Q525" s="69">
        <f t="shared" si="132"/>
        <v>1266.6666666666667</v>
      </c>
      <c r="R525" s="54"/>
      <c r="S525" s="49"/>
      <c r="T525" s="49"/>
      <c r="U525" s="49"/>
      <c r="V525" s="49"/>
      <c r="W525" s="49" t="s">
        <v>521</v>
      </c>
      <c r="X525" s="49"/>
      <c r="Y525" s="49"/>
      <c r="Z525" s="66">
        <v>1000</v>
      </c>
      <c r="AA525" s="140"/>
      <c r="AB525" s="66">
        <v>1000</v>
      </c>
      <c r="AC525" s="66">
        <v>1000</v>
      </c>
      <c r="AD525" s="66">
        <v>1000</v>
      </c>
      <c r="AE525" s="66">
        <v>1000</v>
      </c>
      <c r="AF525" s="66">
        <v>1000</v>
      </c>
      <c r="AI525" s="81">
        <f t="shared" si="130"/>
        <v>0</v>
      </c>
      <c r="AJ525" s="81">
        <f t="shared" si="131"/>
        <v>0</v>
      </c>
      <c r="AK525" s="81">
        <f t="shared" si="131"/>
        <v>0</v>
      </c>
      <c r="AM525" s="81">
        <f t="shared" si="133"/>
        <v>0</v>
      </c>
    </row>
    <row r="526" spans="1:39" x14ac:dyDescent="0.35">
      <c r="A526" s="66"/>
      <c r="B526" s="66"/>
      <c r="C526" s="49"/>
      <c r="D526" s="49"/>
      <c r="E526" s="49" t="s">
        <v>522</v>
      </c>
      <c r="F526" s="49"/>
      <c r="G526" s="49"/>
      <c r="H526" s="63">
        <v>39999.96</v>
      </c>
      <c r="I526" s="63">
        <v>40000</v>
      </c>
      <c r="J526" s="64">
        <v>39999.96</v>
      </c>
      <c r="K526" s="64">
        <v>37800</v>
      </c>
      <c r="L526" s="65">
        <v>39999.96</v>
      </c>
      <c r="M526" s="65">
        <v>41000</v>
      </c>
      <c r="N526" s="66">
        <f t="shared" si="134"/>
        <v>119999.88</v>
      </c>
      <c r="O526" s="66">
        <f t="shared" si="134"/>
        <v>118800</v>
      </c>
      <c r="P526" s="69">
        <f t="shared" si="132"/>
        <v>39999.96</v>
      </c>
      <c r="Q526" s="69">
        <f t="shared" si="132"/>
        <v>39600</v>
      </c>
      <c r="R526" s="54"/>
      <c r="S526" s="49"/>
      <c r="T526" s="49"/>
      <c r="U526" s="49"/>
      <c r="V526" s="49"/>
      <c r="W526" s="49" t="s">
        <v>522</v>
      </c>
      <c r="X526" s="49"/>
      <c r="Y526" s="49"/>
      <c r="Z526" s="66">
        <v>42000</v>
      </c>
      <c r="AA526" s="140"/>
      <c r="AB526" s="66">
        <v>42000</v>
      </c>
      <c r="AC526" s="66">
        <v>42000</v>
      </c>
      <c r="AD526" s="66">
        <v>42000</v>
      </c>
      <c r="AE526" s="66">
        <v>42000</v>
      </c>
      <c r="AF526" s="66">
        <v>42000</v>
      </c>
      <c r="AI526" s="81">
        <f t="shared" si="130"/>
        <v>0</v>
      </c>
      <c r="AJ526" s="81">
        <f t="shared" si="131"/>
        <v>0</v>
      </c>
      <c r="AK526" s="81">
        <f t="shared" si="131"/>
        <v>0</v>
      </c>
      <c r="AM526" s="81">
        <f t="shared" si="133"/>
        <v>0</v>
      </c>
    </row>
    <row r="527" spans="1:39" x14ac:dyDescent="0.35">
      <c r="A527" s="66"/>
      <c r="B527" s="66"/>
      <c r="C527" s="49"/>
      <c r="D527" s="49"/>
      <c r="E527" s="49" t="s">
        <v>523</v>
      </c>
      <c r="F527" s="49"/>
      <c r="G527" s="49"/>
      <c r="H527" s="63">
        <v>2400</v>
      </c>
      <c r="I527" s="63">
        <v>2580</v>
      </c>
      <c r="J527" s="64">
        <v>3000</v>
      </c>
      <c r="K527" s="64">
        <v>2200</v>
      </c>
      <c r="L527" s="65">
        <v>2250</v>
      </c>
      <c r="M527" s="65">
        <v>3000</v>
      </c>
      <c r="N527" s="66">
        <f t="shared" si="134"/>
        <v>7650</v>
      </c>
      <c r="O527" s="66">
        <f t="shared" si="134"/>
        <v>7780</v>
      </c>
      <c r="P527" s="69">
        <f t="shared" si="132"/>
        <v>2550</v>
      </c>
      <c r="Q527" s="69">
        <f t="shared" si="132"/>
        <v>2593.3333333333335</v>
      </c>
      <c r="R527" s="54"/>
      <c r="S527" s="49"/>
      <c r="T527" s="49"/>
      <c r="U527" s="49"/>
      <c r="V527" s="49"/>
      <c r="W527" s="49" t="s">
        <v>523</v>
      </c>
      <c r="X527" s="49"/>
      <c r="Y527" s="49"/>
      <c r="Z527" s="66">
        <v>3000</v>
      </c>
      <c r="AA527" s="140"/>
      <c r="AB527" s="66">
        <v>2500</v>
      </c>
      <c r="AC527" s="66">
        <v>2500</v>
      </c>
      <c r="AD527" s="66">
        <v>2500</v>
      </c>
      <c r="AE527" s="66">
        <v>2500</v>
      </c>
      <c r="AF527" s="66">
        <v>2500</v>
      </c>
      <c r="AI527" s="81">
        <f t="shared" si="130"/>
        <v>-500</v>
      </c>
      <c r="AJ527" s="81">
        <f t="shared" si="131"/>
        <v>0</v>
      </c>
      <c r="AK527" s="81">
        <f t="shared" si="131"/>
        <v>0</v>
      </c>
      <c r="AM527" s="81">
        <f t="shared" si="133"/>
        <v>0</v>
      </c>
    </row>
    <row r="528" spans="1:39" x14ac:dyDescent="0.35">
      <c r="A528" s="66"/>
      <c r="B528" s="66"/>
      <c r="C528" s="49"/>
      <c r="D528" s="49"/>
      <c r="E528" s="49" t="s">
        <v>524</v>
      </c>
      <c r="F528" s="49"/>
      <c r="G528" s="49"/>
      <c r="H528" s="63">
        <v>1650</v>
      </c>
      <c r="I528" s="63">
        <v>10000</v>
      </c>
      <c r="J528" s="64">
        <v>3475.37</v>
      </c>
      <c r="K528" s="64">
        <v>5000</v>
      </c>
      <c r="L528" s="65">
        <v>2086.8000000000002</v>
      </c>
      <c r="M528" s="65">
        <v>3000</v>
      </c>
      <c r="N528" s="66">
        <f t="shared" si="134"/>
        <v>7212.17</v>
      </c>
      <c r="O528" s="66">
        <f t="shared" si="134"/>
        <v>18000</v>
      </c>
      <c r="P528" s="69">
        <f t="shared" si="132"/>
        <v>2404.0566666666668</v>
      </c>
      <c r="Q528" s="69">
        <f t="shared" si="132"/>
        <v>6000</v>
      </c>
      <c r="R528" s="54"/>
      <c r="S528" s="49"/>
      <c r="T528" s="49"/>
      <c r="U528" s="49"/>
      <c r="V528" s="49"/>
      <c r="W528" s="49" t="s">
        <v>524</v>
      </c>
      <c r="X528" s="49"/>
      <c r="Y528" s="49"/>
      <c r="Z528" s="66">
        <v>3000</v>
      </c>
      <c r="AA528" s="140"/>
      <c r="AB528" s="66">
        <v>3000</v>
      </c>
      <c r="AC528" s="66">
        <v>3000</v>
      </c>
      <c r="AD528" s="66">
        <v>3000</v>
      </c>
      <c r="AE528" s="66">
        <v>3000</v>
      </c>
      <c r="AF528" s="66">
        <v>3000</v>
      </c>
      <c r="AH528" s="46" t="s">
        <v>851</v>
      </c>
      <c r="AI528" s="81">
        <f t="shared" si="130"/>
        <v>0</v>
      </c>
      <c r="AJ528" s="81">
        <f t="shared" si="131"/>
        <v>0</v>
      </c>
      <c r="AK528" s="81">
        <f t="shared" si="131"/>
        <v>0</v>
      </c>
      <c r="AM528" s="81">
        <f t="shared" si="133"/>
        <v>0</v>
      </c>
    </row>
    <row r="529" spans="1:39" x14ac:dyDescent="0.35">
      <c r="A529" s="66"/>
      <c r="B529" s="66"/>
      <c r="C529" s="49"/>
      <c r="D529" s="49"/>
      <c r="E529" s="49" t="s">
        <v>525</v>
      </c>
      <c r="F529" s="49"/>
      <c r="G529" s="49"/>
      <c r="H529" s="63">
        <v>5295.35</v>
      </c>
      <c r="I529" s="63">
        <v>17000</v>
      </c>
      <c r="J529" s="64">
        <v>0</v>
      </c>
      <c r="K529" s="64">
        <v>0</v>
      </c>
      <c r="L529" s="65">
        <v>0</v>
      </c>
      <c r="M529" s="65"/>
      <c r="N529" s="66">
        <f t="shared" si="134"/>
        <v>5295.35</v>
      </c>
      <c r="O529" s="66">
        <f t="shared" si="134"/>
        <v>17000</v>
      </c>
      <c r="P529" s="69">
        <f t="shared" si="132"/>
        <v>1765.1166666666668</v>
      </c>
      <c r="Q529" s="69">
        <f t="shared" si="132"/>
        <v>5666.666666666667</v>
      </c>
      <c r="R529" s="54"/>
      <c r="S529" s="49"/>
      <c r="T529" s="49"/>
      <c r="U529" s="49"/>
      <c r="V529" s="49"/>
      <c r="W529" s="49" t="s">
        <v>525</v>
      </c>
      <c r="X529" s="49"/>
      <c r="Y529" s="49"/>
      <c r="Z529" s="66">
        <v>0</v>
      </c>
      <c r="AA529" s="140"/>
      <c r="AB529" s="66">
        <v>0</v>
      </c>
      <c r="AC529" s="66">
        <v>0</v>
      </c>
      <c r="AD529" s="66">
        <v>0</v>
      </c>
      <c r="AE529" s="66">
        <v>0</v>
      </c>
      <c r="AF529" s="66">
        <v>0</v>
      </c>
      <c r="AI529" s="81">
        <f t="shared" si="130"/>
        <v>0</v>
      </c>
      <c r="AJ529" s="81">
        <f t="shared" si="131"/>
        <v>0</v>
      </c>
      <c r="AK529" s="81">
        <f t="shared" si="131"/>
        <v>0</v>
      </c>
      <c r="AM529" s="81">
        <f t="shared" si="133"/>
        <v>0</v>
      </c>
    </row>
    <row r="530" spans="1:39" x14ac:dyDescent="0.35">
      <c r="A530" s="66"/>
      <c r="B530" s="66"/>
      <c r="C530" s="49"/>
      <c r="D530" s="49"/>
      <c r="E530" s="49" t="s">
        <v>526</v>
      </c>
      <c r="F530" s="49"/>
      <c r="G530" s="49"/>
      <c r="H530" s="63">
        <v>65498.5</v>
      </c>
      <c r="I530" s="63">
        <v>38325</v>
      </c>
      <c r="J530" s="64">
        <v>65504.98</v>
      </c>
      <c r="K530" s="64">
        <v>55000</v>
      </c>
      <c r="L530" s="65">
        <v>112725.58</v>
      </c>
      <c r="M530" s="65">
        <v>69540</v>
      </c>
      <c r="N530" s="66">
        <f t="shared" si="134"/>
        <v>243729.06</v>
      </c>
      <c r="O530" s="66">
        <f t="shared" si="134"/>
        <v>162865</v>
      </c>
      <c r="P530" s="69">
        <f t="shared" si="132"/>
        <v>81243.02</v>
      </c>
      <c r="Q530" s="69">
        <f t="shared" si="132"/>
        <v>54288.333333333336</v>
      </c>
      <c r="R530" s="54"/>
      <c r="S530" s="49"/>
      <c r="T530" s="49"/>
      <c r="U530" s="49"/>
      <c r="V530" s="49"/>
      <c r="W530" s="49" t="s">
        <v>906</v>
      </c>
      <c r="X530" s="49"/>
      <c r="Y530" s="49"/>
      <c r="Z530" s="66">
        <v>45000</v>
      </c>
      <c r="AA530" s="140"/>
      <c r="AB530" s="66">
        <f>ROUND(42665.15, 0)</f>
        <v>42665</v>
      </c>
      <c r="AC530" s="66">
        <f>ROUND(42665.15, 0)</f>
        <v>42665</v>
      </c>
      <c r="AD530" s="66">
        <f>ROUND(42665.15, 0)</f>
        <v>42665</v>
      </c>
      <c r="AE530" s="66">
        <f>ROUND(42665.15, 0)</f>
        <v>42665</v>
      </c>
      <c r="AF530" s="66">
        <f>ROUND(42665.15, 0)</f>
        <v>42665</v>
      </c>
      <c r="AI530" s="81">
        <f t="shared" si="130"/>
        <v>-2335</v>
      </c>
      <c r="AJ530" s="81">
        <f t="shared" si="131"/>
        <v>0</v>
      </c>
      <c r="AK530" s="81">
        <f t="shared" si="131"/>
        <v>0</v>
      </c>
      <c r="AM530" s="81">
        <f t="shared" si="133"/>
        <v>0</v>
      </c>
    </row>
    <row r="531" spans="1:39" x14ac:dyDescent="0.35">
      <c r="A531" s="66"/>
      <c r="B531" s="66"/>
      <c r="C531" s="49"/>
      <c r="D531" s="49"/>
      <c r="E531" s="49" t="s">
        <v>527</v>
      </c>
      <c r="F531" s="49"/>
      <c r="G531" s="49"/>
      <c r="H531" s="63">
        <v>4664.29</v>
      </c>
      <c r="I531" s="63">
        <v>2716.8</v>
      </c>
      <c r="J531" s="64">
        <v>3018.33</v>
      </c>
      <c r="K531" s="64">
        <v>4360</v>
      </c>
      <c r="L531" s="65">
        <v>4947.66</v>
      </c>
      <c r="M531" s="65">
        <v>5328</v>
      </c>
      <c r="N531" s="66">
        <f t="shared" ref="N531:O542" si="136">ROUND(H531+J531+L531,5)</f>
        <v>12630.28</v>
      </c>
      <c r="O531" s="66">
        <f t="shared" si="136"/>
        <v>12404.8</v>
      </c>
      <c r="P531" s="69">
        <f t="shared" si="132"/>
        <v>4210.0933333333332</v>
      </c>
      <c r="Q531" s="69">
        <f t="shared" si="132"/>
        <v>4134.9333333333334</v>
      </c>
      <c r="R531" s="54"/>
      <c r="S531" s="49"/>
      <c r="T531" s="49"/>
      <c r="U531" s="49"/>
      <c r="V531" s="49"/>
      <c r="W531" s="49" t="s">
        <v>527</v>
      </c>
      <c r="X531" s="49"/>
      <c r="Y531" s="49"/>
      <c r="Z531" s="66">
        <v>5027</v>
      </c>
      <c r="AA531" s="140"/>
      <c r="AB531" s="66">
        <v>6033.32</v>
      </c>
      <c r="AC531" s="66">
        <v>6033.32</v>
      </c>
      <c r="AD531" s="66">
        <v>6033.32</v>
      </c>
      <c r="AE531" s="66">
        <v>6033.32</v>
      </c>
      <c r="AF531" s="66">
        <v>6033.32</v>
      </c>
      <c r="AI531" s="81">
        <f t="shared" si="130"/>
        <v>1006.3199999999997</v>
      </c>
      <c r="AJ531" s="81">
        <f t="shared" si="131"/>
        <v>0</v>
      </c>
      <c r="AK531" s="81">
        <f t="shared" si="131"/>
        <v>0</v>
      </c>
      <c r="AM531" s="81">
        <f t="shared" si="133"/>
        <v>0</v>
      </c>
    </row>
    <row r="532" spans="1:39" x14ac:dyDescent="0.35">
      <c r="A532" s="66"/>
      <c r="B532" s="66"/>
      <c r="C532" s="49"/>
      <c r="D532" s="49"/>
      <c r="E532" s="49" t="s">
        <v>528</v>
      </c>
      <c r="F532" s="49"/>
      <c r="G532" s="49"/>
      <c r="H532" s="63">
        <v>4727</v>
      </c>
      <c r="I532" s="63">
        <v>4572</v>
      </c>
      <c r="J532" s="64">
        <v>5187</v>
      </c>
      <c r="K532" s="64">
        <v>4900</v>
      </c>
      <c r="L532" s="65">
        <v>3671</v>
      </c>
      <c r="M532" s="65">
        <v>5431</v>
      </c>
      <c r="N532" s="66">
        <f t="shared" si="136"/>
        <v>13585</v>
      </c>
      <c r="O532" s="66">
        <f t="shared" si="136"/>
        <v>14903</v>
      </c>
      <c r="P532" s="69">
        <f t="shared" si="132"/>
        <v>4528.333333333333</v>
      </c>
      <c r="Q532" s="69">
        <f t="shared" si="132"/>
        <v>4967.666666666667</v>
      </c>
      <c r="R532" s="54"/>
      <c r="S532" s="49"/>
      <c r="T532" s="49"/>
      <c r="U532" s="49"/>
      <c r="V532" s="49"/>
      <c r="W532" s="49" t="s">
        <v>528</v>
      </c>
      <c r="X532" s="49"/>
      <c r="Y532" s="49"/>
      <c r="Z532" s="66">
        <v>3132</v>
      </c>
      <c r="AA532" s="140"/>
      <c r="AB532" s="66">
        <f>ROUND(3414.6, 0)</f>
        <v>3415</v>
      </c>
      <c r="AC532" s="66">
        <f>ROUND(3414.6, 0)</f>
        <v>3415</v>
      </c>
      <c r="AD532" s="66">
        <f>ROUND(3414.6, 0)</f>
        <v>3415</v>
      </c>
      <c r="AE532" s="66">
        <f>ROUND(3414.6, 0)</f>
        <v>3415</v>
      </c>
      <c r="AF532" s="66">
        <f>ROUND(3414.6, 0)</f>
        <v>3415</v>
      </c>
      <c r="AI532" s="81">
        <f t="shared" si="130"/>
        <v>283</v>
      </c>
      <c r="AJ532" s="81">
        <f t="shared" si="131"/>
        <v>0</v>
      </c>
      <c r="AK532" s="81">
        <f t="shared" si="131"/>
        <v>0</v>
      </c>
      <c r="AM532" s="81">
        <f t="shared" si="133"/>
        <v>0</v>
      </c>
    </row>
    <row r="533" spans="1:39" x14ac:dyDescent="0.35">
      <c r="A533" s="66"/>
      <c r="B533" s="66"/>
      <c r="C533" s="49"/>
      <c r="D533" s="49"/>
      <c r="E533" s="49" t="s">
        <v>529</v>
      </c>
      <c r="F533" s="49"/>
      <c r="G533" s="49"/>
      <c r="H533" s="63">
        <v>89.42</v>
      </c>
      <c r="I533" s="63">
        <v>5000</v>
      </c>
      <c r="J533" s="64">
        <v>12728.53</v>
      </c>
      <c r="K533" s="64">
        <v>0</v>
      </c>
      <c r="L533" s="65">
        <v>0</v>
      </c>
      <c r="M533" s="65">
        <v>0</v>
      </c>
      <c r="N533" s="66">
        <f t="shared" si="136"/>
        <v>12817.95</v>
      </c>
      <c r="O533" s="66">
        <f t="shared" si="136"/>
        <v>5000</v>
      </c>
      <c r="P533" s="69">
        <f t="shared" si="132"/>
        <v>4272.6500000000005</v>
      </c>
      <c r="Q533" s="69">
        <f t="shared" si="132"/>
        <v>1666.6666666666667</v>
      </c>
      <c r="R533" s="54"/>
      <c r="S533" s="49"/>
      <c r="T533" s="49"/>
      <c r="U533" s="49"/>
      <c r="V533" s="49"/>
      <c r="W533" s="49" t="s">
        <v>529</v>
      </c>
      <c r="X533" s="49"/>
      <c r="Y533" s="49"/>
      <c r="Z533" s="66">
        <v>5000</v>
      </c>
      <c r="AA533" s="140"/>
      <c r="AB533" s="66">
        <v>0</v>
      </c>
      <c r="AC533" s="66">
        <v>0</v>
      </c>
      <c r="AD533" s="66">
        <v>0</v>
      </c>
      <c r="AE533" s="66">
        <v>0</v>
      </c>
      <c r="AF533" s="66">
        <v>0</v>
      </c>
      <c r="AI533" s="81">
        <f t="shared" si="130"/>
        <v>-5000</v>
      </c>
      <c r="AJ533" s="81">
        <f t="shared" si="131"/>
        <v>0</v>
      </c>
      <c r="AK533" s="81">
        <f t="shared" si="131"/>
        <v>0</v>
      </c>
      <c r="AM533" s="81">
        <f t="shared" si="133"/>
        <v>0</v>
      </c>
    </row>
    <row r="534" spans="1:39" x14ac:dyDescent="0.35">
      <c r="A534" s="66"/>
      <c r="B534" s="66"/>
      <c r="C534" s="49"/>
      <c r="D534" s="49"/>
      <c r="E534" s="49" t="s">
        <v>530</v>
      </c>
      <c r="F534" s="49"/>
      <c r="G534" s="49"/>
      <c r="H534" s="63">
        <v>3574.34</v>
      </c>
      <c r="I534" s="63">
        <v>4992</v>
      </c>
      <c r="J534" s="64">
        <v>3364.92</v>
      </c>
      <c r="K534" s="64">
        <v>5562</v>
      </c>
      <c r="L534" s="65">
        <v>2926.66</v>
      </c>
      <c r="M534" s="65">
        <v>5000</v>
      </c>
      <c r="N534" s="66">
        <f t="shared" si="136"/>
        <v>9865.92</v>
      </c>
      <c r="O534" s="66">
        <f t="shared" si="136"/>
        <v>15554</v>
      </c>
      <c r="P534" s="69">
        <f t="shared" si="132"/>
        <v>3288.64</v>
      </c>
      <c r="Q534" s="69">
        <f t="shared" si="132"/>
        <v>5184.666666666667</v>
      </c>
      <c r="R534" s="54"/>
      <c r="S534" s="49"/>
      <c r="T534" s="49"/>
      <c r="U534" s="49"/>
      <c r="V534" s="49"/>
      <c r="W534" s="49" t="s">
        <v>530</v>
      </c>
      <c r="X534" s="49"/>
      <c r="Y534" s="49"/>
      <c r="Z534" s="66">
        <v>5000</v>
      </c>
      <c r="AA534" s="140"/>
      <c r="AB534" s="66">
        <v>4000</v>
      </c>
      <c r="AC534" s="66">
        <v>4000</v>
      </c>
      <c r="AD534" s="66">
        <v>4000</v>
      </c>
      <c r="AE534" s="66">
        <v>4000</v>
      </c>
      <c r="AF534" s="66">
        <v>4000</v>
      </c>
      <c r="AI534" s="81">
        <f t="shared" si="130"/>
        <v>-1000</v>
      </c>
      <c r="AJ534" s="81">
        <f t="shared" si="131"/>
        <v>0</v>
      </c>
      <c r="AK534" s="81">
        <f t="shared" si="131"/>
        <v>0</v>
      </c>
      <c r="AM534" s="81">
        <f t="shared" si="133"/>
        <v>0</v>
      </c>
    </row>
    <row r="535" spans="1:39" x14ac:dyDescent="0.35">
      <c r="A535" s="66"/>
      <c r="B535" s="66"/>
      <c r="C535" s="49"/>
      <c r="D535" s="49"/>
      <c r="E535" s="49" t="s">
        <v>531</v>
      </c>
      <c r="F535" s="49"/>
      <c r="G535" s="49"/>
      <c r="H535" s="63">
        <v>10575.38</v>
      </c>
      <c r="I535" s="63">
        <v>11000</v>
      </c>
      <c r="J535" s="64">
        <v>7582.88</v>
      </c>
      <c r="K535" s="64">
        <v>11700</v>
      </c>
      <c r="L535" s="65">
        <v>8602.8799999999992</v>
      </c>
      <c r="M535" s="65">
        <v>10000</v>
      </c>
      <c r="N535" s="66">
        <f t="shared" si="136"/>
        <v>26761.14</v>
      </c>
      <c r="O535" s="66">
        <f t="shared" si="136"/>
        <v>32700</v>
      </c>
      <c r="P535" s="69">
        <f t="shared" si="132"/>
        <v>8920.3799999999992</v>
      </c>
      <c r="Q535" s="69">
        <f t="shared" si="132"/>
        <v>10900</v>
      </c>
      <c r="R535" s="54"/>
      <c r="S535" s="49"/>
      <c r="T535" s="49"/>
      <c r="U535" s="49"/>
      <c r="V535" s="49"/>
      <c r="W535" s="49" t="s">
        <v>531</v>
      </c>
      <c r="X535" s="49"/>
      <c r="Y535" s="49"/>
      <c r="Z535" s="66">
        <v>10000</v>
      </c>
      <c r="AA535" s="140"/>
      <c r="AB535" s="66">
        <v>9000</v>
      </c>
      <c r="AC535" s="66">
        <v>9000</v>
      </c>
      <c r="AD535" s="66">
        <v>9000</v>
      </c>
      <c r="AE535" s="66">
        <v>9000</v>
      </c>
      <c r="AF535" s="66">
        <v>9000</v>
      </c>
      <c r="AI535" s="81">
        <f t="shared" si="130"/>
        <v>-1000</v>
      </c>
      <c r="AJ535" s="81">
        <f t="shared" si="131"/>
        <v>0</v>
      </c>
      <c r="AK535" s="81">
        <f t="shared" si="131"/>
        <v>0</v>
      </c>
      <c r="AM535" s="81">
        <f t="shared" si="133"/>
        <v>0</v>
      </c>
    </row>
    <row r="536" spans="1:39" x14ac:dyDescent="0.35">
      <c r="A536" s="66"/>
      <c r="B536" s="66"/>
      <c r="C536" s="49"/>
      <c r="D536" s="49"/>
      <c r="E536" s="49" t="s">
        <v>532</v>
      </c>
      <c r="F536" s="49"/>
      <c r="G536" s="49"/>
      <c r="H536" s="63">
        <v>3539.31</v>
      </c>
      <c r="I536" s="63">
        <v>3645</v>
      </c>
      <c r="J536" s="64">
        <v>3316.13</v>
      </c>
      <c r="K536" s="64">
        <v>3200</v>
      </c>
      <c r="L536" s="65">
        <v>3381.09</v>
      </c>
      <c r="M536" s="65">
        <v>3250</v>
      </c>
      <c r="N536" s="66">
        <f t="shared" si="136"/>
        <v>10236.530000000001</v>
      </c>
      <c r="O536" s="66">
        <f t="shared" si="136"/>
        <v>10095</v>
      </c>
      <c r="P536" s="69">
        <f t="shared" si="132"/>
        <v>3412.1766666666667</v>
      </c>
      <c r="Q536" s="69">
        <f t="shared" si="132"/>
        <v>3365</v>
      </c>
      <c r="R536" s="54"/>
      <c r="S536" s="49"/>
      <c r="T536" s="49"/>
      <c r="U536" s="49"/>
      <c r="V536" s="49"/>
      <c r="W536" s="49" t="s">
        <v>532</v>
      </c>
      <c r="X536" s="49"/>
      <c r="Y536" s="49"/>
      <c r="Z536" s="66">
        <v>3405</v>
      </c>
      <c r="AA536" s="140"/>
      <c r="AB536" s="66">
        <v>3050</v>
      </c>
      <c r="AC536" s="66">
        <v>3050</v>
      </c>
      <c r="AD536" s="66">
        <v>3050</v>
      </c>
      <c r="AE536" s="66">
        <v>3050</v>
      </c>
      <c r="AF536" s="66">
        <v>3050</v>
      </c>
      <c r="AI536" s="81">
        <f t="shared" si="130"/>
        <v>-355</v>
      </c>
      <c r="AJ536" s="81">
        <f t="shared" si="131"/>
        <v>0</v>
      </c>
      <c r="AK536" s="81">
        <f t="shared" si="131"/>
        <v>0</v>
      </c>
      <c r="AM536" s="81">
        <f t="shared" si="133"/>
        <v>0</v>
      </c>
    </row>
    <row r="537" spans="1:39" x14ac:dyDescent="0.35">
      <c r="A537" s="66"/>
      <c r="B537" s="66"/>
      <c r="C537" s="49"/>
      <c r="D537" s="49"/>
      <c r="E537" s="49" t="s">
        <v>533</v>
      </c>
      <c r="F537" s="49"/>
      <c r="G537" s="49"/>
      <c r="H537" s="63">
        <v>8875.7999999999993</v>
      </c>
      <c r="I537" s="63">
        <v>9376</v>
      </c>
      <c r="J537" s="64">
        <v>6026.59</v>
      </c>
      <c r="K537" s="64">
        <v>8800</v>
      </c>
      <c r="L537" s="65">
        <v>0</v>
      </c>
      <c r="M537" s="65">
        <v>0</v>
      </c>
      <c r="N537" s="66">
        <f t="shared" si="136"/>
        <v>14902.39</v>
      </c>
      <c r="O537" s="66">
        <f t="shared" si="136"/>
        <v>18176</v>
      </c>
      <c r="P537" s="69">
        <f t="shared" si="132"/>
        <v>4967.4633333333331</v>
      </c>
      <c r="Q537" s="69">
        <f t="shared" si="132"/>
        <v>6058.666666666667</v>
      </c>
      <c r="R537" s="54"/>
      <c r="S537" s="49"/>
      <c r="T537" s="49"/>
      <c r="U537" s="49"/>
      <c r="V537" s="49"/>
      <c r="W537" s="49" t="s">
        <v>533</v>
      </c>
      <c r="X537" s="49"/>
      <c r="Y537" s="49"/>
      <c r="Z537" s="66">
        <v>0</v>
      </c>
      <c r="AA537" s="140"/>
      <c r="AB537" s="66">
        <v>0</v>
      </c>
      <c r="AC537" s="66">
        <v>0</v>
      </c>
      <c r="AD537" s="66">
        <v>0</v>
      </c>
      <c r="AE537" s="66">
        <v>0</v>
      </c>
      <c r="AF537" s="66">
        <v>0</v>
      </c>
      <c r="AI537" s="81">
        <f t="shared" si="130"/>
        <v>0</v>
      </c>
      <c r="AJ537" s="81">
        <f t="shared" si="131"/>
        <v>0</v>
      </c>
      <c r="AK537" s="81">
        <f t="shared" si="131"/>
        <v>0</v>
      </c>
      <c r="AM537" s="81">
        <f t="shared" si="133"/>
        <v>0</v>
      </c>
    </row>
    <row r="538" spans="1:39" x14ac:dyDescent="0.35">
      <c r="A538" s="66"/>
      <c r="B538" s="66"/>
      <c r="C538" s="49"/>
      <c r="D538" s="49"/>
      <c r="E538" s="49" t="s">
        <v>534</v>
      </c>
      <c r="F538" s="49"/>
      <c r="G538" s="49"/>
      <c r="H538" s="63">
        <v>27953.49</v>
      </c>
      <c r="I538" s="63">
        <v>28074</v>
      </c>
      <c r="J538" s="64">
        <v>19873.310000000001</v>
      </c>
      <c r="K538" s="64">
        <v>17150</v>
      </c>
      <c r="L538" s="65">
        <v>19701.16</v>
      </c>
      <c r="M538" s="65">
        <v>19345</v>
      </c>
      <c r="N538" s="66">
        <f t="shared" si="136"/>
        <v>67527.960000000006</v>
      </c>
      <c r="O538" s="66">
        <f t="shared" si="136"/>
        <v>64569</v>
      </c>
      <c r="P538" s="69">
        <f t="shared" si="132"/>
        <v>22509.320000000003</v>
      </c>
      <c r="Q538" s="69">
        <f t="shared" si="132"/>
        <v>21523</v>
      </c>
      <c r="R538" s="54"/>
      <c r="S538" s="49"/>
      <c r="T538" s="49"/>
      <c r="U538" s="49"/>
      <c r="V538" s="49"/>
      <c r="W538" s="49" t="s">
        <v>534</v>
      </c>
      <c r="X538" s="49"/>
      <c r="Y538" s="49"/>
      <c r="Z538" s="66">
        <v>19503</v>
      </c>
      <c r="AA538" s="140"/>
      <c r="AB538" s="66">
        <v>20400</v>
      </c>
      <c r="AC538" s="66">
        <v>20400</v>
      </c>
      <c r="AD538" s="66">
        <v>20400</v>
      </c>
      <c r="AE538" s="66">
        <v>22860</v>
      </c>
      <c r="AF538" s="66">
        <v>22860</v>
      </c>
      <c r="AI538" s="81">
        <f t="shared" si="130"/>
        <v>897</v>
      </c>
      <c r="AJ538" s="81">
        <f t="shared" si="131"/>
        <v>0</v>
      </c>
      <c r="AK538" s="81">
        <f t="shared" si="131"/>
        <v>0</v>
      </c>
      <c r="AM538" s="81">
        <f t="shared" si="133"/>
        <v>0</v>
      </c>
    </row>
    <row r="539" spans="1:39" x14ac:dyDescent="0.35">
      <c r="A539" s="66"/>
      <c r="B539" s="66"/>
      <c r="C539" s="49"/>
      <c r="D539" s="49"/>
      <c r="E539" s="49" t="s">
        <v>535</v>
      </c>
      <c r="F539" s="49"/>
      <c r="G539" s="49"/>
      <c r="H539" s="63">
        <v>0</v>
      </c>
      <c r="I539" s="63">
        <v>6000</v>
      </c>
      <c r="J539" s="64">
        <v>21228.95</v>
      </c>
      <c r="K539" s="64">
        <v>0</v>
      </c>
      <c r="L539" s="65">
        <v>47757.3</v>
      </c>
      <c r="M539" s="65">
        <v>3000</v>
      </c>
      <c r="N539" s="66">
        <f t="shared" si="136"/>
        <v>68986.25</v>
      </c>
      <c r="O539" s="66">
        <f t="shared" si="136"/>
        <v>9000</v>
      </c>
      <c r="P539" s="69">
        <f t="shared" si="132"/>
        <v>22995.416666666668</v>
      </c>
      <c r="Q539" s="69">
        <f t="shared" si="132"/>
        <v>3000</v>
      </c>
      <c r="R539" s="54"/>
      <c r="S539" s="49"/>
      <c r="T539" s="49"/>
      <c r="U539" s="49"/>
      <c r="V539" s="49"/>
      <c r="W539" s="49" t="s">
        <v>535</v>
      </c>
      <c r="X539" s="49"/>
      <c r="Y539" s="49"/>
      <c r="Z539" s="66">
        <v>3000</v>
      </c>
      <c r="AA539" s="140"/>
      <c r="AB539" s="66">
        <v>3000</v>
      </c>
      <c r="AC539" s="66">
        <v>3000</v>
      </c>
      <c r="AD539" s="66">
        <v>3000</v>
      </c>
      <c r="AE539" s="66">
        <v>3000</v>
      </c>
      <c r="AF539" s="66">
        <v>3000</v>
      </c>
      <c r="AI539" s="81">
        <f t="shared" si="130"/>
        <v>0</v>
      </c>
      <c r="AJ539" s="81">
        <f t="shared" si="131"/>
        <v>0</v>
      </c>
      <c r="AK539" s="81">
        <f t="shared" si="131"/>
        <v>0</v>
      </c>
      <c r="AM539" s="81">
        <f t="shared" si="133"/>
        <v>0</v>
      </c>
    </row>
    <row r="540" spans="1:39" x14ac:dyDescent="0.35">
      <c r="A540" s="66"/>
      <c r="B540" s="66"/>
      <c r="C540" s="49"/>
      <c r="D540" s="49"/>
      <c r="E540" s="49" t="s">
        <v>536</v>
      </c>
      <c r="F540" s="49"/>
      <c r="G540" s="49"/>
      <c r="H540" s="63">
        <v>19982.650000000001</v>
      </c>
      <c r="I540" s="63">
        <v>32500</v>
      </c>
      <c r="J540" s="64">
        <v>16665.71</v>
      </c>
      <c r="K540" s="64">
        <v>34050</v>
      </c>
      <c r="L540" s="65">
        <v>22645.33</v>
      </c>
      <c r="M540" s="65">
        <v>35000</v>
      </c>
      <c r="N540" s="66">
        <f t="shared" si="136"/>
        <v>59293.69</v>
      </c>
      <c r="O540" s="66">
        <f t="shared" si="136"/>
        <v>101550</v>
      </c>
      <c r="P540" s="69">
        <f t="shared" si="132"/>
        <v>19764.563333333335</v>
      </c>
      <c r="Q540" s="69">
        <f t="shared" si="132"/>
        <v>33850</v>
      </c>
      <c r="R540" s="54"/>
      <c r="S540" s="49"/>
      <c r="T540" s="49"/>
      <c r="U540" s="49"/>
      <c r="V540" s="49"/>
      <c r="W540" s="49" t="s">
        <v>536</v>
      </c>
      <c r="X540" s="49"/>
      <c r="Y540" s="49"/>
      <c r="Z540" s="66">
        <v>35000</v>
      </c>
      <c r="AA540" s="140"/>
      <c r="AB540" s="66">
        <v>35000</v>
      </c>
      <c r="AC540" s="66">
        <v>30000</v>
      </c>
      <c r="AD540" s="66">
        <v>30000</v>
      </c>
      <c r="AE540" s="66">
        <v>30000</v>
      </c>
      <c r="AF540" s="66">
        <v>35000</v>
      </c>
      <c r="AI540" s="81">
        <f t="shared" si="130"/>
        <v>0</v>
      </c>
      <c r="AJ540" s="81">
        <f t="shared" si="131"/>
        <v>-5000</v>
      </c>
      <c r="AK540" s="81">
        <f t="shared" si="131"/>
        <v>0</v>
      </c>
      <c r="AM540" s="81">
        <f t="shared" si="133"/>
        <v>5000</v>
      </c>
    </row>
    <row r="541" spans="1:39" x14ac:dyDescent="0.35">
      <c r="A541" s="66"/>
      <c r="B541" s="66"/>
      <c r="C541" s="49"/>
      <c r="D541" s="49"/>
      <c r="E541" s="49" t="s">
        <v>537</v>
      </c>
      <c r="F541" s="49"/>
      <c r="G541" s="49"/>
      <c r="H541" s="63">
        <v>0</v>
      </c>
      <c r="I541" s="63"/>
      <c r="J541" s="64">
        <v>0</v>
      </c>
      <c r="K541" s="64"/>
      <c r="L541" s="65">
        <v>0</v>
      </c>
      <c r="M541" s="65"/>
      <c r="N541" s="66">
        <f t="shared" si="136"/>
        <v>0</v>
      </c>
      <c r="O541" s="66"/>
      <c r="P541" s="69">
        <f t="shared" si="132"/>
        <v>0</v>
      </c>
      <c r="Q541" s="69">
        <f t="shared" si="132"/>
        <v>0</v>
      </c>
      <c r="R541" s="54"/>
      <c r="S541" s="49"/>
      <c r="T541" s="49"/>
      <c r="U541" s="49"/>
      <c r="V541" s="49"/>
      <c r="W541" s="49" t="s">
        <v>537</v>
      </c>
      <c r="X541" s="49"/>
      <c r="Y541" s="49"/>
      <c r="Z541" s="66">
        <v>0</v>
      </c>
      <c r="AA541" s="140"/>
      <c r="AB541" s="66">
        <v>0</v>
      </c>
      <c r="AC541" s="66">
        <v>0</v>
      </c>
      <c r="AD541" s="66">
        <v>0</v>
      </c>
      <c r="AE541" s="66">
        <v>0</v>
      </c>
      <c r="AF541" s="66">
        <v>0</v>
      </c>
      <c r="AI541" s="81">
        <f t="shared" si="130"/>
        <v>0</v>
      </c>
      <c r="AJ541" s="81">
        <f t="shared" si="131"/>
        <v>0</v>
      </c>
      <c r="AK541" s="81">
        <f t="shared" si="131"/>
        <v>0</v>
      </c>
      <c r="AM541" s="81">
        <f t="shared" si="133"/>
        <v>0</v>
      </c>
    </row>
    <row r="542" spans="1:39" x14ac:dyDescent="0.35">
      <c r="A542" s="66"/>
      <c r="B542" s="66"/>
      <c r="C542" s="49"/>
      <c r="D542" s="49"/>
      <c r="E542" s="49" t="s">
        <v>538</v>
      </c>
      <c r="F542" s="49"/>
      <c r="G542" s="49"/>
      <c r="H542" s="63">
        <v>14880.27</v>
      </c>
      <c r="I542" s="63">
        <v>15000</v>
      </c>
      <c r="J542" s="64">
        <v>16092.2</v>
      </c>
      <c r="K542" s="64">
        <v>10000</v>
      </c>
      <c r="L542" s="65">
        <v>-1635.48</v>
      </c>
      <c r="M542" s="65">
        <v>10000</v>
      </c>
      <c r="N542" s="66">
        <f t="shared" si="136"/>
        <v>29336.99</v>
      </c>
      <c r="O542" s="66">
        <f>ROUND(I542+K542+M542,5)</f>
        <v>35000</v>
      </c>
      <c r="P542" s="69">
        <f t="shared" si="132"/>
        <v>9778.9966666666678</v>
      </c>
      <c r="Q542" s="69">
        <f t="shared" si="132"/>
        <v>11666.666666666666</v>
      </c>
      <c r="R542" s="54"/>
      <c r="S542" s="49"/>
      <c r="T542" s="49"/>
      <c r="U542" s="49"/>
      <c r="V542" s="49"/>
      <c r="W542" s="49" t="s">
        <v>538</v>
      </c>
      <c r="X542" s="49"/>
      <c r="Y542" s="49"/>
      <c r="Z542" s="66">
        <v>10000</v>
      </c>
      <c r="AA542" s="140"/>
      <c r="AB542" s="66">
        <v>10000</v>
      </c>
      <c r="AC542" s="66">
        <v>10000</v>
      </c>
      <c r="AD542" s="66">
        <v>10000</v>
      </c>
      <c r="AE542" s="66">
        <v>10000</v>
      </c>
      <c r="AF542" s="66">
        <v>10000</v>
      </c>
      <c r="AI542" s="81">
        <f t="shared" si="130"/>
        <v>0</v>
      </c>
      <c r="AJ542" s="81">
        <f t="shared" si="131"/>
        <v>0</v>
      </c>
      <c r="AK542" s="81">
        <f t="shared" si="131"/>
        <v>0</v>
      </c>
      <c r="AM542" s="81">
        <f t="shared" si="133"/>
        <v>0</v>
      </c>
    </row>
    <row r="543" spans="1:39" x14ac:dyDescent="0.35">
      <c r="A543" s="66"/>
      <c r="B543" s="66"/>
      <c r="C543" s="49"/>
      <c r="D543" s="49"/>
      <c r="E543" s="49" t="s">
        <v>539</v>
      </c>
      <c r="F543" s="49"/>
      <c r="G543" s="49"/>
      <c r="H543" s="63"/>
      <c r="I543" s="63"/>
      <c r="J543" s="64"/>
      <c r="K543" s="64"/>
      <c r="L543" s="65"/>
      <c r="M543" s="65"/>
      <c r="N543" s="66"/>
      <c r="O543" s="66"/>
      <c r="P543" s="69"/>
      <c r="Q543" s="69"/>
      <c r="R543" s="54"/>
      <c r="S543" s="49"/>
      <c r="T543" s="49"/>
      <c r="U543" s="49"/>
      <c r="V543" s="49"/>
      <c r="W543" s="49" t="s">
        <v>539</v>
      </c>
      <c r="X543" s="49"/>
      <c r="Y543" s="49"/>
      <c r="Z543" s="66"/>
      <c r="AA543" s="140"/>
      <c r="AB543" s="66"/>
      <c r="AC543" s="66"/>
      <c r="AD543" s="66"/>
      <c r="AE543" s="66"/>
      <c r="AF543" s="66"/>
      <c r="AI543" s="81">
        <f t="shared" si="130"/>
        <v>0</v>
      </c>
      <c r="AJ543" s="81">
        <f t="shared" si="131"/>
        <v>0</v>
      </c>
      <c r="AK543" s="81">
        <f t="shared" si="131"/>
        <v>0</v>
      </c>
      <c r="AM543" s="81">
        <f t="shared" si="133"/>
        <v>0</v>
      </c>
    </row>
    <row r="544" spans="1:39" x14ac:dyDescent="0.35">
      <c r="A544" s="66"/>
      <c r="B544" s="66"/>
      <c r="C544" s="49"/>
      <c r="D544" s="49"/>
      <c r="E544" s="49"/>
      <c r="F544" s="49" t="s">
        <v>540</v>
      </c>
      <c r="G544" s="49"/>
      <c r="H544" s="63">
        <v>11400</v>
      </c>
      <c r="I544" s="63">
        <v>11970</v>
      </c>
      <c r="J544" s="64">
        <v>11400</v>
      </c>
      <c r="K544" s="64">
        <v>11400</v>
      </c>
      <c r="L544" s="65">
        <v>11400</v>
      </c>
      <c r="M544" s="65">
        <v>11970</v>
      </c>
      <c r="N544" s="66">
        <f t="shared" ref="N544:O548" si="137">ROUND(H544+J544+L544,5)</f>
        <v>34200</v>
      </c>
      <c r="O544" s="66">
        <f t="shared" si="137"/>
        <v>35340</v>
      </c>
      <c r="P544" s="69">
        <f t="shared" si="132"/>
        <v>11400</v>
      </c>
      <c r="Q544" s="69">
        <f t="shared" si="132"/>
        <v>11780</v>
      </c>
      <c r="R544" s="54"/>
      <c r="S544" s="49"/>
      <c r="T544" s="49"/>
      <c r="U544" s="49"/>
      <c r="V544" s="49"/>
      <c r="W544" s="49"/>
      <c r="X544" s="49" t="s">
        <v>540</v>
      </c>
      <c r="Y544" s="49"/>
      <c r="Z544" s="66">
        <v>11970</v>
      </c>
      <c r="AA544" s="140"/>
      <c r="AB544" s="66">
        <v>11970</v>
      </c>
      <c r="AC544" s="66">
        <v>11970</v>
      </c>
      <c r="AD544" s="66">
        <v>11970</v>
      </c>
      <c r="AE544" s="66">
        <v>11970</v>
      </c>
      <c r="AF544" s="66">
        <v>11970</v>
      </c>
      <c r="AI544" s="81">
        <f t="shared" si="130"/>
        <v>0</v>
      </c>
      <c r="AJ544" s="81">
        <f t="shared" si="131"/>
        <v>0</v>
      </c>
      <c r="AK544" s="81">
        <f t="shared" si="131"/>
        <v>0</v>
      </c>
      <c r="AM544" s="81">
        <f t="shared" si="133"/>
        <v>0</v>
      </c>
    </row>
    <row r="545" spans="1:39" x14ac:dyDescent="0.35">
      <c r="A545" s="66"/>
      <c r="B545" s="66"/>
      <c r="C545" s="49"/>
      <c r="D545" s="49"/>
      <c r="E545" s="49"/>
      <c r="F545" s="49" t="s">
        <v>541</v>
      </c>
      <c r="G545" s="49"/>
      <c r="H545" s="63">
        <v>20000</v>
      </c>
      <c r="I545" s="63">
        <v>20000</v>
      </c>
      <c r="J545" s="64">
        <v>20000.04</v>
      </c>
      <c r="K545" s="64">
        <v>20000</v>
      </c>
      <c r="L545" s="65">
        <v>20000.04</v>
      </c>
      <c r="M545" s="65">
        <v>20000</v>
      </c>
      <c r="N545" s="66">
        <f t="shared" si="137"/>
        <v>60000.08</v>
      </c>
      <c r="O545" s="66">
        <f t="shared" si="137"/>
        <v>60000</v>
      </c>
      <c r="P545" s="69">
        <f t="shared" si="132"/>
        <v>20000.026666666668</v>
      </c>
      <c r="Q545" s="69">
        <f t="shared" si="132"/>
        <v>20000</v>
      </c>
      <c r="R545" s="54"/>
      <c r="S545" s="49"/>
      <c r="T545" s="49"/>
      <c r="U545" s="49"/>
      <c r="V545" s="49"/>
      <c r="W545" s="49"/>
      <c r="X545" s="49" t="s">
        <v>541</v>
      </c>
      <c r="Y545" s="49"/>
      <c r="Z545" s="66">
        <v>21000</v>
      </c>
      <c r="AA545" s="140"/>
      <c r="AB545" s="66">
        <v>0</v>
      </c>
      <c r="AC545" s="66">
        <v>0</v>
      </c>
      <c r="AD545" s="66">
        <v>0</v>
      </c>
      <c r="AE545" s="66">
        <v>0</v>
      </c>
      <c r="AF545" s="66">
        <v>0</v>
      </c>
      <c r="AH545" s="46" t="s">
        <v>946</v>
      </c>
      <c r="AI545" s="81">
        <f t="shared" si="130"/>
        <v>-21000</v>
      </c>
      <c r="AJ545" s="81">
        <f t="shared" si="131"/>
        <v>0</v>
      </c>
      <c r="AK545" s="81">
        <f t="shared" si="131"/>
        <v>0</v>
      </c>
      <c r="AM545" s="81">
        <f t="shared" si="133"/>
        <v>0</v>
      </c>
    </row>
    <row r="546" spans="1:39" ht="16" thickBot="1" x14ac:dyDescent="0.4">
      <c r="A546" s="66"/>
      <c r="B546" s="66"/>
      <c r="C546" s="49"/>
      <c r="D546" s="49"/>
      <c r="E546" s="49"/>
      <c r="F546" s="49" t="s">
        <v>542</v>
      </c>
      <c r="G546" s="49"/>
      <c r="H546" s="70">
        <v>34792.800000000003</v>
      </c>
      <c r="I546" s="70">
        <v>34464</v>
      </c>
      <c r="J546" s="71">
        <v>36880.32</v>
      </c>
      <c r="K546" s="71">
        <v>32823.360000000001</v>
      </c>
      <c r="L546" s="72">
        <v>39093.120000000003</v>
      </c>
      <c r="M546" s="72">
        <v>38724.339999999997</v>
      </c>
      <c r="N546" s="73">
        <f t="shared" si="137"/>
        <v>110766.24</v>
      </c>
      <c r="O546" s="73">
        <f t="shared" si="137"/>
        <v>106011.7</v>
      </c>
      <c r="P546" s="74">
        <f t="shared" si="132"/>
        <v>36922.080000000002</v>
      </c>
      <c r="Q546" s="74">
        <f t="shared" si="132"/>
        <v>35337.23333333333</v>
      </c>
      <c r="R546" s="54"/>
      <c r="S546" s="49"/>
      <c r="T546" s="49"/>
      <c r="U546" s="49"/>
      <c r="V546" s="49"/>
      <c r="W546" s="49"/>
      <c r="X546" s="49" t="s">
        <v>542</v>
      </c>
      <c r="Y546" s="49"/>
      <c r="Z546" s="73">
        <v>41048</v>
      </c>
      <c r="AA546" s="140"/>
      <c r="AB546" s="73">
        <v>75353.289999999994</v>
      </c>
      <c r="AC546" s="73">
        <v>75353.289999999994</v>
      </c>
      <c r="AD546" s="73">
        <v>75353.289999999994</v>
      </c>
      <c r="AE546" s="73">
        <v>75353.289999999994</v>
      </c>
      <c r="AF546" s="73">
        <v>75353.289999999994</v>
      </c>
      <c r="AI546" s="81">
        <f t="shared" si="130"/>
        <v>34305.289999999994</v>
      </c>
      <c r="AJ546" s="81">
        <f t="shared" si="131"/>
        <v>0</v>
      </c>
      <c r="AK546" s="81">
        <f t="shared" si="131"/>
        <v>0</v>
      </c>
      <c r="AM546" s="81">
        <f t="shared" si="133"/>
        <v>0</v>
      </c>
    </row>
    <row r="547" spans="1:39" ht="16" thickBot="1" x14ac:dyDescent="0.4">
      <c r="A547" s="66"/>
      <c r="B547" s="66"/>
      <c r="C547" s="49"/>
      <c r="D547" s="49"/>
      <c r="E547" s="49" t="s">
        <v>543</v>
      </c>
      <c r="F547" s="49"/>
      <c r="G547" s="49"/>
      <c r="H547" s="63">
        <f t="shared" ref="H547:M547" si="138">ROUND(SUM(H543:H546),5)</f>
        <v>66192.800000000003</v>
      </c>
      <c r="I547" s="63">
        <f t="shared" si="138"/>
        <v>66434</v>
      </c>
      <c r="J547" s="64">
        <f t="shared" si="138"/>
        <v>68280.36</v>
      </c>
      <c r="K547" s="64">
        <f t="shared" si="138"/>
        <v>64223.360000000001</v>
      </c>
      <c r="L547" s="65">
        <f t="shared" si="138"/>
        <v>70493.16</v>
      </c>
      <c r="M547" s="65">
        <f t="shared" si="138"/>
        <v>70694.34</v>
      </c>
      <c r="N547" s="66">
        <f t="shared" si="137"/>
        <v>204966.32</v>
      </c>
      <c r="O547" s="66">
        <f t="shared" si="137"/>
        <v>201351.7</v>
      </c>
      <c r="P547" s="69">
        <f t="shared" si="132"/>
        <v>68322.106666666674</v>
      </c>
      <c r="Q547" s="69">
        <f t="shared" si="132"/>
        <v>67117.233333333337</v>
      </c>
      <c r="R547" s="54"/>
      <c r="S547" s="49"/>
      <c r="T547" s="49"/>
      <c r="U547" s="49"/>
      <c r="V547" s="49"/>
      <c r="W547" s="49" t="s">
        <v>543</v>
      </c>
      <c r="X547" s="49"/>
      <c r="Y547" s="49"/>
      <c r="Z547" s="66">
        <f>ROUND(SUM(Z543:Z546),5)</f>
        <v>74018</v>
      </c>
      <c r="AA547" s="140"/>
      <c r="AB547" s="66">
        <f>ROUND(SUM(AB543:AB546),5)</f>
        <v>87323.29</v>
      </c>
      <c r="AC547" s="66">
        <f>ROUND(SUM(AC543:AC546),5)</f>
        <v>87323.29</v>
      </c>
      <c r="AD547" s="66">
        <f>ROUND(SUM(AD543:AD546),5)</f>
        <v>87323.29</v>
      </c>
      <c r="AE547" s="66">
        <f>ROUND(SUM(AE543:AE546),5)</f>
        <v>87323.29</v>
      </c>
      <c r="AF547" s="66">
        <f>ROUND(SUM(AF543:AF546),5)</f>
        <v>87323.29</v>
      </c>
      <c r="AI547" s="81">
        <f t="shared" si="130"/>
        <v>13305.289999999994</v>
      </c>
      <c r="AJ547" s="81">
        <f t="shared" si="131"/>
        <v>0</v>
      </c>
      <c r="AK547" s="81">
        <f t="shared" si="131"/>
        <v>0</v>
      </c>
      <c r="AM547" s="81">
        <f t="shared" si="133"/>
        <v>0</v>
      </c>
    </row>
    <row r="548" spans="1:39" x14ac:dyDescent="0.35">
      <c r="A548" s="66"/>
      <c r="B548" s="66"/>
      <c r="C548" s="49"/>
      <c r="D548" s="49" t="s">
        <v>544</v>
      </c>
      <c r="E548" s="49"/>
      <c r="F548" s="49"/>
      <c r="G548" s="49"/>
      <c r="H548" s="63">
        <f t="shared" ref="H548:M548" si="139">ROUND(SUM(H490:H513)+SUM(H518:H542)+SUM(H547:H547),5)</f>
        <v>820827.03</v>
      </c>
      <c r="I548" s="63">
        <f t="shared" si="139"/>
        <v>933251.5</v>
      </c>
      <c r="J548" s="64">
        <f t="shared" si="139"/>
        <v>885822.56</v>
      </c>
      <c r="K548" s="64">
        <f t="shared" si="139"/>
        <v>789393.59</v>
      </c>
      <c r="L548" s="65">
        <f t="shared" si="139"/>
        <v>1006470.26</v>
      </c>
      <c r="M548" s="65">
        <f t="shared" si="139"/>
        <v>900551.6</v>
      </c>
      <c r="N548" s="66">
        <f t="shared" si="137"/>
        <v>2713119.85</v>
      </c>
      <c r="O548" s="66">
        <f t="shared" si="137"/>
        <v>2623196.69</v>
      </c>
      <c r="P548" s="69">
        <f t="shared" si="132"/>
        <v>904373.28333333333</v>
      </c>
      <c r="Q548" s="69">
        <f t="shared" si="132"/>
        <v>874398.89666666661</v>
      </c>
      <c r="R548" s="54"/>
      <c r="S548" s="49"/>
      <c r="T548" s="49"/>
      <c r="U548" s="49"/>
      <c r="V548" s="49" t="s">
        <v>544</v>
      </c>
      <c r="W548" s="49"/>
      <c r="X548" s="49"/>
      <c r="Y548" s="49"/>
      <c r="Z548" s="78">
        <f>ROUND(SUM(Z490:Z513)+SUM(Z518:Z542)+SUM(Z547:Z547),5)</f>
        <v>979664.82</v>
      </c>
      <c r="AA548" s="140"/>
      <c r="AB548" s="91">
        <f>ROUND(SUM(AB490:AB513)+SUM(AB518:AB542)+SUM(AB547:AB547),5)</f>
        <v>1013580.17</v>
      </c>
      <c r="AC548" s="91">
        <f>ROUND(SUM(AC490:AC513)+SUM(AC518:AC542)+SUM(AC547:AC547),5)</f>
        <v>983580.17</v>
      </c>
      <c r="AD548" s="91">
        <f>ROUND(SUM(AD490:AD513)+SUM(AD518:AD542)+SUM(AD547:AD547),5)</f>
        <v>986099.17</v>
      </c>
      <c r="AE548" s="91">
        <f>ROUND(SUM(AE490:AE513)+SUM(AE518:AE542)+SUM(AE547:AE547),5)</f>
        <v>985787.17</v>
      </c>
      <c r="AF548" s="91">
        <f>ROUND(SUM(AF490:AF513)+SUM(AF518:AF542)+SUM(AF547:AF547),5)</f>
        <v>1047700.03</v>
      </c>
      <c r="AI548" s="81">
        <f t="shared" si="130"/>
        <v>33915.350000000093</v>
      </c>
      <c r="AJ548" s="81">
        <f t="shared" si="131"/>
        <v>-30000</v>
      </c>
      <c r="AK548" s="81">
        <f t="shared" si="131"/>
        <v>2519</v>
      </c>
      <c r="AM548" s="81">
        <f t="shared" si="133"/>
        <v>61912.859999999986</v>
      </c>
    </row>
    <row r="549" spans="1:39" x14ac:dyDescent="0.35">
      <c r="A549" s="66"/>
      <c r="B549" s="66"/>
      <c r="C549" s="49"/>
      <c r="D549" s="49" t="s">
        <v>545</v>
      </c>
      <c r="E549" s="49"/>
      <c r="F549" s="49"/>
      <c r="G549" s="49"/>
      <c r="H549" s="63"/>
      <c r="I549" s="63"/>
      <c r="J549" s="64"/>
      <c r="K549" s="64"/>
      <c r="L549" s="65"/>
      <c r="M549" s="65"/>
      <c r="N549" s="66"/>
      <c r="O549" s="66"/>
      <c r="P549" s="69"/>
      <c r="Q549" s="69"/>
      <c r="R549" s="54"/>
      <c r="S549" s="49"/>
      <c r="T549" s="49"/>
      <c r="U549" s="49"/>
      <c r="V549" s="49" t="s">
        <v>545</v>
      </c>
      <c r="W549" s="49"/>
      <c r="X549" s="49"/>
      <c r="Y549" s="49"/>
      <c r="Z549" s="66"/>
      <c r="AA549" s="140"/>
      <c r="AB549" s="66"/>
      <c r="AC549" s="66"/>
      <c r="AD549" s="66"/>
      <c r="AE549" s="66"/>
      <c r="AF549" s="66"/>
    </row>
    <row r="550" spans="1:39" ht="16" thickBot="1" x14ac:dyDescent="0.4">
      <c r="A550" s="66"/>
      <c r="B550" s="66"/>
      <c r="C550" s="49"/>
      <c r="D550" s="49"/>
      <c r="E550" s="49" t="s">
        <v>546</v>
      </c>
      <c r="F550" s="49"/>
      <c r="G550" s="49"/>
      <c r="H550" s="63">
        <v>4568.2</v>
      </c>
      <c r="I550" s="63">
        <v>20000</v>
      </c>
      <c r="J550" s="64">
        <v>4000.49</v>
      </c>
      <c r="K550" s="64">
        <v>30000</v>
      </c>
      <c r="L550" s="65">
        <v>22812.77</v>
      </c>
      <c r="M550" s="65">
        <v>10000</v>
      </c>
      <c r="N550" s="66">
        <f t="shared" ref="N550:O553" si="140">ROUND(H550+J550+L550,5)</f>
        <v>31381.46</v>
      </c>
      <c r="O550" s="66">
        <f t="shared" si="140"/>
        <v>60000</v>
      </c>
      <c r="P550" s="69">
        <f t="shared" si="132"/>
        <v>10460.486666666666</v>
      </c>
      <c r="Q550" s="69">
        <f t="shared" si="132"/>
        <v>20000</v>
      </c>
      <c r="R550" s="54"/>
      <c r="S550" s="49"/>
      <c r="T550" s="49"/>
      <c r="U550" s="49"/>
      <c r="V550" s="49"/>
      <c r="W550" s="49" t="s">
        <v>546</v>
      </c>
      <c r="X550" s="49"/>
      <c r="Y550" s="49"/>
      <c r="Z550" s="66">
        <v>15000</v>
      </c>
      <c r="AA550" s="140"/>
      <c r="AB550" s="66">
        <v>10000</v>
      </c>
      <c r="AC550" s="66">
        <v>10000</v>
      </c>
      <c r="AD550" s="66">
        <v>10000</v>
      </c>
      <c r="AE550" s="66">
        <v>10000</v>
      </c>
      <c r="AF550" s="66">
        <v>10000</v>
      </c>
    </row>
    <row r="551" spans="1:39" ht="16" thickBot="1" x14ac:dyDescent="0.4">
      <c r="A551" s="66"/>
      <c r="B551" s="66"/>
      <c r="C551" s="49"/>
      <c r="D551" s="49" t="s">
        <v>547</v>
      </c>
      <c r="E551" s="49"/>
      <c r="F551" s="49"/>
      <c r="G551" s="49"/>
      <c r="H551" s="75">
        <f t="shared" ref="H551:M551" si="141">ROUND(SUM(H549:H550),5)</f>
        <v>4568.2</v>
      </c>
      <c r="I551" s="75">
        <f t="shared" si="141"/>
        <v>20000</v>
      </c>
      <c r="J551" s="76">
        <f t="shared" si="141"/>
        <v>4000.49</v>
      </c>
      <c r="K551" s="76">
        <f t="shared" si="141"/>
        <v>30000</v>
      </c>
      <c r="L551" s="77">
        <f t="shared" si="141"/>
        <v>22812.77</v>
      </c>
      <c r="M551" s="77">
        <f t="shared" si="141"/>
        <v>10000</v>
      </c>
      <c r="N551" s="78">
        <f t="shared" si="140"/>
        <v>31381.46</v>
      </c>
      <c r="O551" s="78">
        <f t="shared" si="140"/>
        <v>60000</v>
      </c>
      <c r="P551" s="79">
        <f t="shared" si="132"/>
        <v>10460.486666666666</v>
      </c>
      <c r="Q551" s="79">
        <f t="shared" si="132"/>
        <v>20000</v>
      </c>
      <c r="R551" s="54"/>
      <c r="S551" s="49"/>
      <c r="T551" s="49"/>
      <c r="U551" s="49"/>
      <c r="V551" s="49" t="s">
        <v>547</v>
      </c>
      <c r="W551" s="49"/>
      <c r="X551" s="49"/>
      <c r="Y551" s="49"/>
      <c r="Z551" s="78">
        <f>ROUND(SUM(Z549:Z550),5)</f>
        <v>15000</v>
      </c>
      <c r="AA551" s="140"/>
      <c r="AB551" s="91">
        <f>ROUND(SUM(AB549:AB550),5)</f>
        <v>10000</v>
      </c>
      <c r="AC551" s="91">
        <f>ROUND(SUM(AC549:AC550),5)</f>
        <v>10000</v>
      </c>
      <c r="AD551" s="91">
        <f>ROUND(SUM(AD549:AD550),5)</f>
        <v>10000</v>
      </c>
      <c r="AE551" s="91">
        <f>ROUND(SUM(AE549:AE550),5)</f>
        <v>10000</v>
      </c>
      <c r="AF551" s="91">
        <f>ROUND(SUM(AF549:AF550),5)</f>
        <v>10000</v>
      </c>
    </row>
    <row r="552" spans="1:39" ht="16" thickBot="1" x14ac:dyDescent="0.4">
      <c r="A552" s="66"/>
      <c r="B552" s="66"/>
      <c r="C552" s="49" t="s">
        <v>548</v>
      </c>
      <c r="D552" s="49"/>
      <c r="E552" s="49"/>
      <c r="F552" s="49"/>
      <c r="G552" s="49"/>
      <c r="H552" s="83">
        <f t="shared" ref="H552:M552" si="142">ROUND(H221+H225+H364+H371+H376+H428+H489+H548+H551,5)</f>
        <v>4602596.84</v>
      </c>
      <c r="I552" s="83">
        <f t="shared" si="142"/>
        <v>4826439.17</v>
      </c>
      <c r="J552" s="84">
        <f t="shared" si="142"/>
        <v>5124859.8899999997</v>
      </c>
      <c r="K552" s="84">
        <f t="shared" si="142"/>
        <v>4876753.51</v>
      </c>
      <c r="L552" s="85">
        <f t="shared" si="142"/>
        <v>5236566.88</v>
      </c>
      <c r="M552" s="85">
        <f t="shared" si="142"/>
        <v>5167354.4800000004</v>
      </c>
      <c r="N552" s="86">
        <f t="shared" si="140"/>
        <v>14964023.609999999</v>
      </c>
      <c r="O552" s="86">
        <f t="shared" si="140"/>
        <v>14870547.16</v>
      </c>
      <c r="P552" s="87">
        <f t="shared" si="132"/>
        <v>4988007.87</v>
      </c>
      <c r="Q552" s="87">
        <f t="shared" si="132"/>
        <v>4956849.0533333337</v>
      </c>
      <c r="R552" s="54"/>
      <c r="S552" s="49"/>
      <c r="T552" s="49"/>
      <c r="U552" s="49" t="s">
        <v>548</v>
      </c>
      <c r="V552" s="49"/>
      <c r="W552" s="49"/>
      <c r="X552" s="49"/>
      <c r="Y552" s="49"/>
      <c r="Z552" s="86">
        <f>ROUND(Z221+Z225+Z364+Z371+Z376+Z428+Z489+Z548+Z551,5)</f>
        <v>5275555.82</v>
      </c>
      <c r="AA552" s="140"/>
      <c r="AB552" s="86">
        <f>ROUND(AB221+AB225+AB364+AB371+AB376+AB428+AB489+AB548+AB551,5)</f>
        <v>5504831.5764199998</v>
      </c>
      <c r="AC552" s="86">
        <f>ROUND(AC221+AC225+AC364+AC371+AC376+AC428+AC489+AC548+AC551,5)</f>
        <v>5320349.5814199997</v>
      </c>
      <c r="AD552" s="86">
        <f>ROUND(AD221+AD225+AD364+AD371+AD376+AD428+AD489+AD548+AD551,5)</f>
        <v>5361614.52202</v>
      </c>
      <c r="AE552" s="86">
        <f>ROUND(AE221+AE225+AE364+AE371+AE376+AE428+AE489+AE548+AE551,5)</f>
        <v>5350553.41</v>
      </c>
      <c r="AF552" s="86">
        <f>ROUND(AF221+AF225+AF364+AF371+AF376+AF428+AF489+AF548+AF551,5)</f>
        <v>5487690.165</v>
      </c>
    </row>
    <row r="553" spans="1:39" x14ac:dyDescent="0.35">
      <c r="A553" s="66"/>
      <c r="B553" s="66" t="s">
        <v>549</v>
      </c>
      <c r="C553" s="49"/>
      <c r="D553" s="49"/>
      <c r="E553" s="49"/>
      <c r="F553" s="49"/>
      <c r="G553" s="49"/>
      <c r="H553" s="63">
        <f t="shared" ref="H553:M553" si="143">ROUND(H5+H220-H552,5)</f>
        <v>-92592.2</v>
      </c>
      <c r="I553" s="63">
        <f t="shared" si="143"/>
        <v>8714.58</v>
      </c>
      <c r="J553" s="64">
        <f t="shared" si="143"/>
        <v>-187378.98</v>
      </c>
      <c r="K553" s="64">
        <f t="shared" si="143"/>
        <v>826.41</v>
      </c>
      <c r="L553" s="65">
        <f t="shared" si="143"/>
        <v>-21575.47</v>
      </c>
      <c r="M553" s="65">
        <f t="shared" si="143"/>
        <v>354.02</v>
      </c>
      <c r="N553" s="66">
        <f t="shared" si="140"/>
        <v>-301546.65000000002</v>
      </c>
      <c r="O553" s="66">
        <f t="shared" si="140"/>
        <v>9895.01</v>
      </c>
      <c r="P553" s="69">
        <f t="shared" si="132"/>
        <v>-100515.55</v>
      </c>
      <c r="Q553" s="69">
        <f t="shared" si="132"/>
        <v>3298.3366666666666</v>
      </c>
      <c r="R553" s="54"/>
      <c r="S553" s="49"/>
      <c r="T553" s="49" t="s">
        <v>549</v>
      </c>
      <c r="U553" s="49"/>
      <c r="V553" s="49"/>
      <c r="W553" s="49"/>
      <c r="X553" s="49"/>
      <c r="Y553" s="49"/>
      <c r="Z553" s="66">
        <f>ROUND(Z5+Z220-Z552,5)</f>
        <v>811.37</v>
      </c>
      <c r="AA553" s="140"/>
      <c r="AB553" s="66">
        <f>ROUND(AB5+AB220-AB552,5)</f>
        <v>-193160.46642000001</v>
      </c>
      <c r="AC553" s="66">
        <f>ROUND(AC5+AC220-AC552,5)</f>
        <v>-8678.4714199999999</v>
      </c>
      <c r="AD553" s="66">
        <f>ROUND(AD5+AD220-AD552,5)</f>
        <v>15325.98798</v>
      </c>
      <c r="AE553" s="66">
        <f>ROUND(AE5+AE220-AE552,5)</f>
        <v>6387.1</v>
      </c>
      <c r="AF553" s="66">
        <f>ROUND(AF5+AF220-AF552,5)</f>
        <v>22442.035</v>
      </c>
    </row>
    <row r="554" spans="1:39" x14ac:dyDescent="0.35">
      <c r="A554" s="66"/>
      <c r="B554" s="66" t="s">
        <v>550</v>
      </c>
      <c r="C554" s="49"/>
      <c r="D554" s="49"/>
      <c r="E554" s="49"/>
      <c r="F554" s="49"/>
      <c r="G554" s="49"/>
      <c r="H554" s="63"/>
      <c r="I554" s="63"/>
      <c r="J554" s="64"/>
      <c r="K554" s="64"/>
      <c r="L554" s="65"/>
      <c r="M554" s="65"/>
      <c r="N554" s="66"/>
      <c r="O554" s="66"/>
      <c r="P554" s="69"/>
      <c r="Q554" s="69"/>
      <c r="R554" s="54"/>
      <c r="S554" s="49"/>
      <c r="T554" s="49" t="s">
        <v>550</v>
      </c>
      <c r="U554" s="49"/>
      <c r="V554" s="49"/>
      <c r="W554" s="49"/>
      <c r="X554" s="49"/>
      <c r="Y554" s="49"/>
      <c r="Z554" s="66"/>
      <c r="AA554" s="140"/>
      <c r="AB554" s="66"/>
      <c r="AC554" s="66"/>
      <c r="AD554" s="66"/>
      <c r="AE554" s="66"/>
      <c r="AF554" s="66"/>
    </row>
    <row r="555" spans="1:39" x14ac:dyDescent="0.35">
      <c r="A555" s="66"/>
      <c r="B555" s="66"/>
      <c r="C555" s="49" t="s">
        <v>551</v>
      </c>
      <c r="D555" s="49"/>
      <c r="E555" s="49"/>
      <c r="F555" s="49"/>
      <c r="G555" s="49"/>
      <c r="H555" s="63"/>
      <c r="I555" s="63"/>
      <c r="J555" s="64"/>
      <c r="K555" s="64"/>
      <c r="L555" s="65"/>
      <c r="M555" s="65"/>
      <c r="N555" s="66"/>
      <c r="O555" s="66"/>
      <c r="P555" s="69"/>
      <c r="Q555" s="69"/>
      <c r="R555" s="54"/>
      <c r="S555" s="49"/>
      <c r="T555" s="49"/>
      <c r="U555" s="49" t="s">
        <v>551</v>
      </c>
      <c r="V555" s="49"/>
      <c r="W555" s="49"/>
      <c r="X555" s="49"/>
      <c r="Y555" s="49"/>
      <c r="Z555" s="66"/>
      <c r="AA555" s="140"/>
      <c r="AB555" s="66"/>
      <c r="AC555" s="66"/>
      <c r="AD555" s="66"/>
      <c r="AE555" s="66"/>
      <c r="AF555" s="66"/>
    </row>
    <row r="556" spans="1:39" x14ac:dyDescent="0.35">
      <c r="A556" s="66"/>
      <c r="B556" s="66"/>
      <c r="C556" s="49"/>
      <c r="D556" s="49" t="s">
        <v>552</v>
      </c>
      <c r="E556" s="49"/>
      <c r="F556" s="49"/>
      <c r="G556" s="49"/>
      <c r="H556" s="63">
        <v>288386.05</v>
      </c>
      <c r="I556" s="63">
        <v>0</v>
      </c>
      <c r="J556" s="64">
        <v>313714.26</v>
      </c>
      <c r="K556" s="64">
        <v>0</v>
      </c>
      <c r="L556" s="65">
        <v>363433.03</v>
      </c>
      <c r="M556" s="65">
        <v>0</v>
      </c>
      <c r="N556" s="66">
        <f>ROUND(H556+J556+L556,5)</f>
        <v>965533.34</v>
      </c>
      <c r="O556" s="66">
        <f>ROUND(I556+K556+M556,5)</f>
        <v>0</v>
      </c>
      <c r="P556" s="69">
        <f t="shared" si="132"/>
        <v>321844.44666666666</v>
      </c>
      <c r="Q556" s="69">
        <f t="shared" si="132"/>
        <v>0</v>
      </c>
      <c r="R556" s="54"/>
      <c r="S556" s="49"/>
      <c r="T556" s="49"/>
      <c r="U556" s="49"/>
      <c r="V556" s="49" t="s">
        <v>552</v>
      </c>
      <c r="W556" s="49"/>
      <c r="X556" s="49"/>
      <c r="Y556" s="49"/>
      <c r="Z556" s="66"/>
      <c r="AA556" s="140"/>
      <c r="AB556" s="157"/>
      <c r="AC556" s="157"/>
      <c r="AD556" s="157"/>
      <c r="AE556" s="157"/>
      <c r="AF556" s="157"/>
    </row>
    <row r="557" spans="1:39" x14ac:dyDescent="0.35">
      <c r="A557" s="66"/>
      <c r="B557" s="66"/>
      <c r="C557" s="49"/>
      <c r="D557" s="49" t="s">
        <v>553</v>
      </c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/>
      <c r="V557" s="49" t="s">
        <v>553</v>
      </c>
      <c r="W557" s="49"/>
      <c r="X557" s="49"/>
      <c r="Y557" s="49"/>
      <c r="Z557" s="66"/>
      <c r="AA557" s="140"/>
      <c r="AB557" s="66"/>
      <c r="AC557" s="66"/>
      <c r="AD557" s="66"/>
      <c r="AE557" s="66"/>
      <c r="AF557" s="66"/>
    </row>
    <row r="558" spans="1:39" x14ac:dyDescent="0.35">
      <c r="A558" s="66"/>
      <c r="B558" s="66"/>
      <c r="C558" s="49"/>
      <c r="D558" s="49"/>
      <c r="E558" s="49" t="s">
        <v>554</v>
      </c>
      <c r="F558" s="49"/>
      <c r="G558" s="49"/>
      <c r="H558" s="63">
        <v>0</v>
      </c>
      <c r="I558" s="63">
        <v>0</v>
      </c>
      <c r="J558" s="64">
        <v>0</v>
      </c>
      <c r="K558" s="64">
        <v>0</v>
      </c>
      <c r="L558" s="65">
        <v>0</v>
      </c>
      <c r="M558" s="65">
        <v>0</v>
      </c>
      <c r="N558" s="66">
        <f t="shared" ref="N558:O563" si="144">ROUND(H558+J558+L558,5)</f>
        <v>0</v>
      </c>
      <c r="O558" s="66">
        <f t="shared" si="144"/>
        <v>0</v>
      </c>
      <c r="P558" s="69">
        <f t="shared" si="132"/>
        <v>0</v>
      </c>
      <c r="Q558" s="69">
        <f t="shared" si="132"/>
        <v>0</v>
      </c>
      <c r="R558" s="54"/>
      <c r="S558" s="49"/>
      <c r="T558" s="49"/>
      <c r="U558" s="49"/>
      <c r="V558" s="49"/>
      <c r="W558" s="49" t="s">
        <v>554</v>
      </c>
      <c r="X558" s="49"/>
      <c r="Y558" s="49"/>
      <c r="Z558" s="66"/>
      <c r="AA558" s="140"/>
      <c r="AB558" s="66"/>
      <c r="AC558" s="66"/>
      <c r="AD558" s="66"/>
      <c r="AE558" s="66"/>
      <c r="AF558" s="66"/>
    </row>
    <row r="559" spans="1:39" x14ac:dyDescent="0.35">
      <c r="A559" s="66"/>
      <c r="B559" s="66"/>
      <c r="C559" s="49"/>
      <c r="D559" s="49"/>
      <c r="E559" s="49" t="s">
        <v>555</v>
      </c>
      <c r="F559" s="49"/>
      <c r="G559" s="49"/>
      <c r="H559" s="63">
        <v>0</v>
      </c>
      <c r="I559" s="63">
        <v>0</v>
      </c>
      <c r="J559" s="64">
        <v>0</v>
      </c>
      <c r="K559" s="64">
        <v>0</v>
      </c>
      <c r="L559" s="65">
        <v>0</v>
      </c>
      <c r="M559" s="65">
        <v>0</v>
      </c>
      <c r="N559" s="66">
        <f t="shared" si="144"/>
        <v>0</v>
      </c>
      <c r="O559" s="66">
        <f t="shared" si="144"/>
        <v>0</v>
      </c>
      <c r="P559" s="69">
        <f t="shared" si="132"/>
        <v>0</v>
      </c>
      <c r="Q559" s="69">
        <f t="shared" si="132"/>
        <v>0</v>
      </c>
      <c r="R559" s="54"/>
      <c r="S559" s="49"/>
      <c r="T559" s="49"/>
      <c r="U559" s="49"/>
      <c r="V559" s="49"/>
      <c r="W559" s="49" t="s">
        <v>555</v>
      </c>
      <c r="X559" s="49"/>
      <c r="Y559" s="49"/>
      <c r="Z559" s="66"/>
      <c r="AA559" s="140"/>
      <c r="AB559" s="66"/>
      <c r="AC559" s="66"/>
      <c r="AD559" s="66"/>
      <c r="AE559" s="66"/>
      <c r="AF559" s="66"/>
    </row>
    <row r="560" spans="1:39" x14ac:dyDescent="0.35">
      <c r="A560" s="66"/>
      <c r="B560" s="66"/>
      <c r="C560" s="49"/>
      <c r="D560" s="49"/>
      <c r="E560" s="49" t="s">
        <v>556</v>
      </c>
      <c r="F560" s="49"/>
      <c r="G560" s="49"/>
      <c r="H560" s="63">
        <v>10930.61</v>
      </c>
      <c r="I560" s="63">
        <v>0</v>
      </c>
      <c r="J560" s="64">
        <v>16392.32</v>
      </c>
      <c r="K560" s="64">
        <v>0</v>
      </c>
      <c r="L560" s="65">
        <v>17337.490000000002</v>
      </c>
      <c r="M560" s="65">
        <v>0</v>
      </c>
      <c r="N560" s="66">
        <f t="shared" si="144"/>
        <v>44660.42</v>
      </c>
      <c r="O560" s="66">
        <f t="shared" si="144"/>
        <v>0</v>
      </c>
      <c r="P560" s="69">
        <f t="shared" si="132"/>
        <v>14886.806666666665</v>
      </c>
      <c r="Q560" s="69">
        <f t="shared" si="132"/>
        <v>0</v>
      </c>
      <c r="R560" s="54"/>
      <c r="S560" s="49"/>
      <c r="T560" s="49"/>
      <c r="U560" s="49"/>
      <c r="V560" s="49"/>
      <c r="W560" s="49" t="s">
        <v>556</v>
      </c>
      <c r="X560" s="49"/>
      <c r="Y560" s="49"/>
      <c r="Z560" s="66"/>
      <c r="AA560" s="140"/>
      <c r="AB560" s="66"/>
      <c r="AC560" s="66"/>
      <c r="AD560" s="66"/>
      <c r="AE560" s="66"/>
      <c r="AF560" s="66"/>
    </row>
    <row r="561" spans="1:32" x14ac:dyDescent="0.35">
      <c r="A561" s="66"/>
      <c r="B561" s="66"/>
      <c r="C561" s="49"/>
      <c r="D561" s="49"/>
      <c r="E561" s="49" t="s">
        <v>557</v>
      </c>
      <c r="F561" s="49"/>
      <c r="G561" s="49"/>
      <c r="H561" s="63">
        <v>12442.84</v>
      </c>
      <c r="I561" s="63">
        <v>0</v>
      </c>
      <c r="J561" s="64">
        <v>10602.84</v>
      </c>
      <c r="K561" s="64">
        <v>0</v>
      </c>
      <c r="L561" s="65">
        <v>10395.5</v>
      </c>
      <c r="M561" s="65">
        <v>0</v>
      </c>
      <c r="N561" s="66">
        <f t="shared" si="144"/>
        <v>33441.18</v>
      </c>
      <c r="O561" s="66">
        <f t="shared" si="144"/>
        <v>0</v>
      </c>
      <c r="P561" s="69">
        <f t="shared" si="132"/>
        <v>11147.06</v>
      </c>
      <c r="Q561" s="69">
        <f t="shared" si="132"/>
        <v>0</v>
      </c>
      <c r="R561" s="54"/>
      <c r="S561" s="49"/>
      <c r="T561" s="49"/>
      <c r="U561" s="49"/>
      <c r="V561" s="49"/>
      <c r="W561" s="49" t="s">
        <v>557</v>
      </c>
      <c r="X561" s="49"/>
      <c r="Y561" s="49"/>
      <c r="Z561" s="66"/>
      <c r="AA561" s="140"/>
      <c r="AB561" s="66"/>
      <c r="AC561" s="66"/>
      <c r="AD561" s="66"/>
      <c r="AE561" s="66"/>
      <c r="AF561" s="66"/>
    </row>
    <row r="562" spans="1:32" ht="16" thickBot="1" x14ac:dyDescent="0.4">
      <c r="A562" s="66"/>
      <c r="B562" s="66"/>
      <c r="C562" s="49"/>
      <c r="D562" s="49"/>
      <c r="E562" s="49" t="s">
        <v>558</v>
      </c>
      <c r="F562" s="49"/>
      <c r="G562" s="49"/>
      <c r="H562" s="70">
        <v>1000</v>
      </c>
      <c r="I562" s="70">
        <v>0</v>
      </c>
      <c r="J562" s="71">
        <v>1000</v>
      </c>
      <c r="K562" s="64">
        <v>0</v>
      </c>
      <c r="L562" s="72">
        <v>1000</v>
      </c>
      <c r="M562" s="65">
        <v>0</v>
      </c>
      <c r="N562" s="73">
        <f t="shared" si="144"/>
        <v>3000</v>
      </c>
      <c r="O562" s="73">
        <f t="shared" si="144"/>
        <v>0</v>
      </c>
      <c r="P562" s="74">
        <f t="shared" si="132"/>
        <v>1000</v>
      </c>
      <c r="Q562" s="74">
        <f t="shared" si="132"/>
        <v>0</v>
      </c>
      <c r="R562" s="54"/>
      <c r="S562" s="49"/>
      <c r="T562" s="49"/>
      <c r="U562" s="49"/>
      <c r="V562" s="49"/>
      <c r="W562" s="49" t="s">
        <v>558</v>
      </c>
      <c r="X562" s="49"/>
      <c r="Y562" s="49"/>
      <c r="Z562" s="66"/>
      <c r="AA562" s="140"/>
      <c r="AB562" s="66"/>
      <c r="AC562" s="66"/>
      <c r="AD562" s="66"/>
      <c r="AE562" s="66"/>
      <c r="AF562" s="66"/>
    </row>
    <row r="563" spans="1:32" x14ac:dyDescent="0.35">
      <c r="A563" s="66"/>
      <c r="B563" s="66"/>
      <c r="C563" s="49"/>
      <c r="D563" s="49" t="s">
        <v>559</v>
      </c>
      <c r="E563" s="49"/>
      <c r="F563" s="49"/>
      <c r="G563" s="49"/>
      <c r="H563" s="63">
        <f t="shared" ref="H563:M563" si="145">ROUND(SUM(H557:H562),5)</f>
        <v>24373.45</v>
      </c>
      <c r="I563" s="63">
        <f t="shared" si="145"/>
        <v>0</v>
      </c>
      <c r="J563" s="64">
        <f t="shared" si="145"/>
        <v>27995.16</v>
      </c>
      <c r="K563" s="76">
        <f t="shared" si="145"/>
        <v>0</v>
      </c>
      <c r="L563" s="65">
        <f t="shared" si="145"/>
        <v>28732.99</v>
      </c>
      <c r="M563" s="77">
        <f t="shared" si="145"/>
        <v>0</v>
      </c>
      <c r="N563" s="66">
        <f t="shared" si="144"/>
        <v>81101.600000000006</v>
      </c>
      <c r="O563" s="66">
        <f t="shared" si="144"/>
        <v>0</v>
      </c>
      <c r="P563" s="69">
        <f t="shared" si="132"/>
        <v>27033.866666666669</v>
      </c>
      <c r="Q563" s="69">
        <f t="shared" si="132"/>
        <v>0</v>
      </c>
      <c r="R563" s="54"/>
      <c r="S563" s="49"/>
      <c r="T563" s="49"/>
      <c r="U563" s="49"/>
      <c r="V563" s="49" t="s">
        <v>559</v>
      </c>
      <c r="W563" s="49"/>
      <c r="X563" s="49"/>
      <c r="Y563" s="49"/>
      <c r="Z563" s="66"/>
      <c r="AA563" s="140"/>
      <c r="AB563" s="66"/>
      <c r="AC563" s="66"/>
      <c r="AD563" s="66"/>
      <c r="AE563" s="66"/>
      <c r="AF563" s="66"/>
    </row>
    <row r="564" spans="1:32" x14ac:dyDescent="0.35">
      <c r="A564" s="66"/>
      <c r="B564" s="66"/>
      <c r="C564" s="49"/>
      <c r="D564" s="49" t="s">
        <v>560</v>
      </c>
      <c r="E564" s="49"/>
      <c r="F564" s="49"/>
      <c r="G564" s="49"/>
      <c r="H564" s="63"/>
      <c r="I564" s="63"/>
      <c r="J564" s="64"/>
      <c r="K564" s="64"/>
      <c r="L564" s="65"/>
      <c r="M564" s="65"/>
      <c r="N564" s="66"/>
      <c r="O564" s="66"/>
      <c r="P564" s="69"/>
      <c r="Q564" s="69"/>
      <c r="R564" s="54"/>
      <c r="S564" s="49"/>
      <c r="T564" s="49"/>
      <c r="U564" s="49"/>
      <c r="V564" s="49" t="s">
        <v>560</v>
      </c>
      <c r="W564" s="49"/>
      <c r="X564" s="49"/>
      <c r="Y564" s="49"/>
      <c r="Z564" s="66"/>
      <c r="AA564" s="140"/>
      <c r="AB564" s="66"/>
      <c r="AC564" s="66"/>
      <c r="AD564" s="66"/>
      <c r="AE564" s="66"/>
      <c r="AF564" s="66"/>
    </row>
    <row r="565" spans="1:32" x14ac:dyDescent="0.35">
      <c r="A565" s="66"/>
      <c r="B565" s="66"/>
      <c r="C565" s="49"/>
      <c r="D565" s="49"/>
      <c r="E565" s="49" t="s">
        <v>561</v>
      </c>
      <c r="F565" s="49"/>
      <c r="G565" s="49"/>
      <c r="H565" s="63">
        <v>558.27</v>
      </c>
      <c r="I565" s="63">
        <v>0</v>
      </c>
      <c r="J565" s="64">
        <v>-985.85</v>
      </c>
      <c r="K565" s="64">
        <v>0</v>
      </c>
      <c r="L565" s="65">
        <v>6774.89</v>
      </c>
      <c r="M565" s="65">
        <v>0</v>
      </c>
      <c r="N565" s="66">
        <f t="shared" ref="N565:O569" si="146">ROUND(H565+J565+L565,5)</f>
        <v>6347.31</v>
      </c>
      <c r="O565" s="66">
        <f t="shared" si="146"/>
        <v>0</v>
      </c>
      <c r="P565" s="69">
        <f t="shared" si="132"/>
        <v>2115.77</v>
      </c>
      <c r="Q565" s="69">
        <f t="shared" si="132"/>
        <v>0</v>
      </c>
      <c r="R565" s="54"/>
      <c r="S565" s="49"/>
      <c r="T565" s="49"/>
      <c r="U565" s="49"/>
      <c r="V565" s="49"/>
      <c r="W565" s="49" t="s">
        <v>561</v>
      </c>
      <c r="X565" s="49"/>
      <c r="Y565" s="49"/>
      <c r="Z565" s="66"/>
      <c r="AA565" s="140"/>
      <c r="AB565" s="66"/>
      <c r="AC565" s="66"/>
      <c r="AD565" s="66"/>
      <c r="AE565" s="66"/>
      <c r="AF565" s="66"/>
    </row>
    <row r="566" spans="1:32" x14ac:dyDescent="0.35">
      <c r="A566" s="66"/>
      <c r="B566" s="66"/>
      <c r="C566" s="49"/>
      <c r="D566" s="49"/>
      <c r="E566" s="49" t="s">
        <v>562</v>
      </c>
      <c r="F566" s="49"/>
      <c r="G566" s="49"/>
      <c r="H566" s="63">
        <v>0</v>
      </c>
      <c r="I566" s="63">
        <v>0</v>
      </c>
      <c r="J566" s="64">
        <v>0</v>
      </c>
      <c r="K566" s="64">
        <v>0</v>
      </c>
      <c r="L566" s="65">
        <v>-58.71</v>
      </c>
      <c r="M566" s="65">
        <v>0</v>
      </c>
      <c r="N566" s="66">
        <f t="shared" si="146"/>
        <v>-58.71</v>
      </c>
      <c r="O566" s="66">
        <f t="shared" si="146"/>
        <v>0</v>
      </c>
      <c r="P566" s="69">
        <f t="shared" si="132"/>
        <v>-19.57</v>
      </c>
      <c r="Q566" s="69">
        <f t="shared" si="132"/>
        <v>0</v>
      </c>
      <c r="R566" s="54"/>
      <c r="S566" s="49"/>
      <c r="T566" s="49"/>
      <c r="U566" s="49"/>
      <c r="V566" s="49"/>
      <c r="W566" s="49" t="s">
        <v>562</v>
      </c>
      <c r="X566" s="49"/>
      <c r="Y566" s="49"/>
      <c r="Z566" s="66"/>
      <c r="AA566" s="140"/>
      <c r="AB566" s="66"/>
      <c r="AC566" s="66"/>
      <c r="AD566" s="66"/>
      <c r="AE566" s="66"/>
      <c r="AF566" s="66"/>
    </row>
    <row r="567" spans="1:32" ht="16" thickBot="1" x14ac:dyDescent="0.4">
      <c r="A567" s="66"/>
      <c r="B567" s="66"/>
      <c r="C567" s="49"/>
      <c r="D567" s="49"/>
      <c r="E567" s="49" t="s">
        <v>563</v>
      </c>
      <c r="F567" s="49"/>
      <c r="G567" s="49"/>
      <c r="H567" s="63">
        <v>136732.6</v>
      </c>
      <c r="I567" s="63">
        <v>0</v>
      </c>
      <c r="J567" s="64">
        <v>235676.86</v>
      </c>
      <c r="K567" s="64">
        <v>0</v>
      </c>
      <c r="L567" s="65">
        <v>195303.78</v>
      </c>
      <c r="M567" s="65">
        <v>0</v>
      </c>
      <c r="N567" s="66">
        <f t="shared" si="146"/>
        <v>567713.24</v>
      </c>
      <c r="O567" s="66">
        <f t="shared" si="146"/>
        <v>0</v>
      </c>
      <c r="P567" s="69">
        <f t="shared" si="132"/>
        <v>189237.74666666667</v>
      </c>
      <c r="Q567" s="69">
        <f t="shared" si="132"/>
        <v>0</v>
      </c>
      <c r="R567" s="54"/>
      <c r="S567" s="49"/>
      <c r="T567" s="49"/>
      <c r="U567" s="49"/>
      <c r="V567" s="49"/>
      <c r="W567" s="49" t="s">
        <v>563</v>
      </c>
      <c r="X567" s="49"/>
      <c r="Y567" s="49"/>
      <c r="Z567" s="66"/>
      <c r="AA567" s="140"/>
      <c r="AB567" s="66"/>
      <c r="AC567" s="66"/>
      <c r="AD567" s="66"/>
      <c r="AE567" s="66"/>
      <c r="AF567" s="66"/>
    </row>
    <row r="568" spans="1:32" ht="16" thickBot="1" x14ac:dyDescent="0.4">
      <c r="A568" s="66"/>
      <c r="B568" s="66"/>
      <c r="C568" s="49"/>
      <c r="D568" s="49" t="s">
        <v>564</v>
      </c>
      <c r="E568" s="49"/>
      <c r="F568" s="49"/>
      <c r="G568" s="49"/>
      <c r="H568" s="83">
        <f t="shared" ref="H568:M568" si="147">ROUND(SUM(H564:H567),5)</f>
        <v>137290.87</v>
      </c>
      <c r="I568" s="83">
        <f t="shared" si="147"/>
        <v>0</v>
      </c>
      <c r="J568" s="84">
        <f t="shared" si="147"/>
        <v>234691.01</v>
      </c>
      <c r="K568" s="84">
        <f t="shared" si="147"/>
        <v>0</v>
      </c>
      <c r="L568" s="85">
        <f t="shared" si="147"/>
        <v>202019.96</v>
      </c>
      <c r="M568" s="85">
        <f t="shared" si="147"/>
        <v>0</v>
      </c>
      <c r="N568" s="86">
        <f t="shared" si="146"/>
        <v>574001.84</v>
      </c>
      <c r="O568" s="86">
        <f t="shared" si="146"/>
        <v>0</v>
      </c>
      <c r="P568" s="87">
        <f t="shared" si="132"/>
        <v>191333.94666666666</v>
      </c>
      <c r="Q568" s="87">
        <f t="shared" si="132"/>
        <v>0</v>
      </c>
      <c r="R568" s="54"/>
      <c r="S568" s="49"/>
      <c r="T568" s="49"/>
      <c r="U568" s="49"/>
      <c r="V568" s="49" t="s">
        <v>564</v>
      </c>
      <c r="W568" s="49"/>
      <c r="X568" s="49"/>
      <c r="Y568" s="49"/>
      <c r="Z568" s="66"/>
      <c r="AA568" s="140"/>
      <c r="AB568" s="66"/>
      <c r="AC568" s="66"/>
      <c r="AD568" s="66"/>
      <c r="AE568" s="66"/>
      <c r="AF568" s="66"/>
    </row>
    <row r="569" spans="1:32" x14ac:dyDescent="0.35">
      <c r="A569" s="66"/>
      <c r="B569" s="66"/>
      <c r="C569" s="49" t="s">
        <v>565</v>
      </c>
      <c r="D569" s="49"/>
      <c r="E569" s="49"/>
      <c r="F569" s="49"/>
      <c r="G569" s="49"/>
      <c r="H569" s="63">
        <f t="shared" ref="H569:M569" si="148">ROUND(SUM(H555:H556)+H563+H568,5)</f>
        <v>450050.37</v>
      </c>
      <c r="I569" s="63">
        <f t="shared" si="148"/>
        <v>0</v>
      </c>
      <c r="J569" s="64">
        <f t="shared" si="148"/>
        <v>576400.43000000005</v>
      </c>
      <c r="K569" s="64">
        <f t="shared" si="148"/>
        <v>0</v>
      </c>
      <c r="L569" s="65">
        <f t="shared" si="148"/>
        <v>594185.98</v>
      </c>
      <c r="M569" s="65">
        <f t="shared" si="148"/>
        <v>0</v>
      </c>
      <c r="N569" s="66">
        <f t="shared" si="146"/>
        <v>1620636.78</v>
      </c>
      <c r="O569" s="66">
        <f t="shared" si="146"/>
        <v>0</v>
      </c>
      <c r="P569" s="69">
        <f t="shared" si="132"/>
        <v>540212.26</v>
      </c>
      <c r="Q569" s="69">
        <f t="shared" si="132"/>
        <v>0</v>
      </c>
      <c r="R569" s="54"/>
      <c r="S569" s="49"/>
      <c r="T569" s="49"/>
      <c r="U569" s="49" t="s">
        <v>565</v>
      </c>
      <c r="V569" s="49"/>
      <c r="W569" s="49"/>
      <c r="X569" s="49"/>
      <c r="Y569" s="49"/>
      <c r="Z569" s="66"/>
      <c r="AA569" s="140"/>
      <c r="AB569" s="66"/>
      <c r="AC569" s="66"/>
      <c r="AD569" s="66"/>
      <c r="AE569" s="66"/>
      <c r="AF569" s="66"/>
    </row>
    <row r="570" spans="1:32" x14ac:dyDescent="0.35">
      <c r="A570" s="66"/>
      <c r="B570" s="66"/>
      <c r="C570" s="49" t="s">
        <v>566</v>
      </c>
      <c r="D570" s="49"/>
      <c r="E570" s="49"/>
      <c r="F570" s="49"/>
      <c r="G570" s="49"/>
      <c r="H570" s="63"/>
      <c r="I570" s="63"/>
      <c r="J570" s="64"/>
      <c r="K570" s="64"/>
      <c r="L570" s="65"/>
      <c r="M570" s="65"/>
      <c r="N570" s="66"/>
      <c r="O570" s="66"/>
      <c r="P570" s="69"/>
      <c r="Q570" s="69"/>
      <c r="R570" s="54"/>
      <c r="S570" s="49"/>
      <c r="T570" s="49"/>
      <c r="U570" s="49" t="s">
        <v>566</v>
      </c>
      <c r="V570" s="49"/>
      <c r="W570" s="49"/>
      <c r="X570" s="49"/>
      <c r="Y570" s="49"/>
      <c r="Z570" s="66"/>
      <c r="AA570" s="140"/>
      <c r="AB570" s="66"/>
      <c r="AC570" s="66"/>
      <c r="AD570" s="66"/>
      <c r="AE570" s="66"/>
      <c r="AF570" s="66"/>
    </row>
    <row r="571" spans="1:32" x14ac:dyDescent="0.35">
      <c r="A571" s="66"/>
      <c r="B571" s="66"/>
      <c r="C571" s="49"/>
      <c r="D571" s="49" t="s">
        <v>567</v>
      </c>
      <c r="E571" s="49"/>
      <c r="F571" s="49"/>
      <c r="G571" s="49"/>
      <c r="H571" s="63"/>
      <c r="I571" s="63"/>
      <c r="J571" s="64"/>
      <c r="K571" s="64"/>
      <c r="L571" s="65"/>
      <c r="M571" s="65"/>
      <c r="N571" s="66"/>
      <c r="O571" s="66"/>
      <c r="P571" s="69"/>
      <c r="Q571" s="69"/>
      <c r="R571" s="54"/>
      <c r="S571" s="49"/>
      <c r="T571" s="49"/>
      <c r="U571" s="49"/>
      <c r="V571" s="49" t="s">
        <v>567</v>
      </c>
      <c r="W571" s="49"/>
      <c r="X571" s="49"/>
      <c r="Y571" s="49"/>
      <c r="Z571" s="66"/>
      <c r="AA571" s="140"/>
      <c r="AB571" s="66"/>
      <c r="AC571" s="66"/>
      <c r="AD571" s="66"/>
      <c r="AE571" s="66"/>
      <c r="AF571" s="66"/>
    </row>
    <row r="572" spans="1:32" x14ac:dyDescent="0.35">
      <c r="A572" s="66"/>
      <c r="B572" s="66"/>
      <c r="C572" s="49"/>
      <c r="D572" s="49"/>
      <c r="E572" s="49" t="s">
        <v>568</v>
      </c>
      <c r="F572" s="49"/>
      <c r="G572" s="49"/>
      <c r="H572" s="63">
        <v>541.88</v>
      </c>
      <c r="I572" s="63">
        <v>0</v>
      </c>
      <c r="J572" s="64">
        <v>554.29999999999995</v>
      </c>
      <c r="K572" s="64">
        <v>0</v>
      </c>
      <c r="L572" s="65">
        <v>645.24</v>
      </c>
      <c r="M572" s="65">
        <v>0</v>
      </c>
      <c r="N572" s="66">
        <f t="shared" ref="N572:O580" si="149">ROUND(H572+J572+L572,5)</f>
        <v>1741.42</v>
      </c>
      <c r="O572" s="66">
        <f t="shared" si="149"/>
        <v>0</v>
      </c>
      <c r="P572" s="69">
        <f t="shared" ref="P572:Q580" si="150">N572/3</f>
        <v>580.47333333333336</v>
      </c>
      <c r="Q572" s="69">
        <f t="shared" si="150"/>
        <v>0</v>
      </c>
      <c r="R572" s="54"/>
      <c r="S572" s="49"/>
      <c r="T572" s="49"/>
      <c r="U572" s="49"/>
      <c r="V572" s="49"/>
      <c r="W572" s="49" t="s">
        <v>568</v>
      </c>
      <c r="X572" s="49"/>
      <c r="Y572" s="49"/>
      <c r="Z572" s="66"/>
      <c r="AA572" s="140"/>
      <c r="AB572" s="66"/>
      <c r="AC572" s="66"/>
      <c r="AD572" s="66"/>
      <c r="AE572" s="66"/>
      <c r="AF572" s="66"/>
    </row>
    <row r="573" spans="1:32" x14ac:dyDescent="0.35">
      <c r="A573" s="66"/>
      <c r="B573" s="66"/>
      <c r="C573" s="49"/>
      <c r="D573" s="49"/>
      <c r="E573" s="49" t="s">
        <v>569</v>
      </c>
      <c r="F573" s="49"/>
      <c r="G573" s="49"/>
      <c r="H573" s="63">
        <v>0</v>
      </c>
      <c r="I573" s="63">
        <v>0</v>
      </c>
      <c r="J573" s="64">
        <v>0</v>
      </c>
      <c r="K573" s="64">
        <v>0</v>
      </c>
      <c r="L573" s="65">
        <v>0</v>
      </c>
      <c r="M573" s="65">
        <v>0</v>
      </c>
      <c r="N573" s="66">
        <f t="shared" si="149"/>
        <v>0</v>
      </c>
      <c r="O573" s="66">
        <f t="shared" si="149"/>
        <v>0</v>
      </c>
      <c r="P573" s="69">
        <f t="shared" si="150"/>
        <v>0</v>
      </c>
      <c r="Q573" s="69">
        <f t="shared" si="150"/>
        <v>0</v>
      </c>
      <c r="R573" s="54"/>
      <c r="S573" s="49"/>
      <c r="T573" s="49"/>
      <c r="U573" s="49"/>
      <c r="V573" s="49"/>
      <c r="W573" s="49" t="s">
        <v>569</v>
      </c>
      <c r="X573" s="49"/>
      <c r="Y573" s="49"/>
      <c r="Z573" s="66"/>
      <c r="AA573" s="143"/>
      <c r="AB573" s="66"/>
      <c r="AC573" s="66"/>
      <c r="AD573" s="66"/>
      <c r="AE573" s="66"/>
      <c r="AF573" s="66"/>
    </row>
    <row r="574" spans="1:32" x14ac:dyDescent="0.35">
      <c r="A574" s="66"/>
      <c r="B574" s="66"/>
      <c r="C574" s="49"/>
      <c r="D574" s="49"/>
      <c r="E574" s="49" t="s">
        <v>570</v>
      </c>
      <c r="F574" s="49"/>
      <c r="G574" s="49"/>
      <c r="H574" s="63">
        <v>2500</v>
      </c>
      <c r="I574" s="63">
        <v>0</v>
      </c>
      <c r="J574" s="64">
        <v>4000</v>
      </c>
      <c r="K574" s="64">
        <v>0</v>
      </c>
      <c r="L574" s="65">
        <v>4500</v>
      </c>
      <c r="M574" s="65">
        <v>0</v>
      </c>
      <c r="N574" s="66">
        <f t="shared" si="149"/>
        <v>11000</v>
      </c>
      <c r="O574" s="66">
        <f t="shared" si="149"/>
        <v>0</v>
      </c>
      <c r="P574" s="69">
        <f t="shared" si="150"/>
        <v>3666.6666666666665</v>
      </c>
      <c r="Q574" s="69">
        <f t="shared" si="150"/>
        <v>0</v>
      </c>
      <c r="R574" s="54"/>
      <c r="S574" s="49"/>
      <c r="T574" s="49"/>
      <c r="U574" s="49"/>
      <c r="V574" s="49"/>
      <c r="W574" s="49" t="s">
        <v>570</v>
      </c>
      <c r="X574" s="49"/>
      <c r="Y574" s="49"/>
      <c r="Z574" s="66"/>
      <c r="AA574" s="140"/>
      <c r="AB574" s="66"/>
      <c r="AC574" s="66"/>
      <c r="AD574" s="66"/>
      <c r="AE574" s="66"/>
      <c r="AF574" s="66"/>
    </row>
    <row r="575" spans="1:32" ht="16" thickBot="1" x14ac:dyDescent="0.4">
      <c r="A575" s="66"/>
      <c r="B575" s="66"/>
      <c r="C575" s="49"/>
      <c r="D575" s="49"/>
      <c r="E575" s="49" t="s">
        <v>571</v>
      </c>
      <c r="F575" s="49"/>
      <c r="G575" s="49"/>
      <c r="H575" s="70">
        <v>21487.599999999999</v>
      </c>
      <c r="I575" s="70">
        <v>0</v>
      </c>
      <c r="J575" s="71">
        <v>19409.990000000002</v>
      </c>
      <c r="K575" s="64">
        <v>0</v>
      </c>
      <c r="L575" s="72">
        <v>19578.830000000002</v>
      </c>
      <c r="M575" s="65">
        <v>0</v>
      </c>
      <c r="N575" s="73">
        <f t="shared" si="149"/>
        <v>60476.42</v>
      </c>
      <c r="O575" s="73">
        <f t="shared" si="149"/>
        <v>0</v>
      </c>
      <c r="P575" s="74">
        <f t="shared" si="150"/>
        <v>20158.806666666667</v>
      </c>
      <c r="Q575" s="74">
        <f t="shared" si="150"/>
        <v>0</v>
      </c>
      <c r="R575" s="54"/>
      <c r="S575" s="49"/>
      <c r="T575" s="49"/>
      <c r="U575" s="49"/>
      <c r="V575" s="49"/>
      <c r="W575" s="49" t="s">
        <v>571</v>
      </c>
      <c r="X575" s="49"/>
      <c r="Y575" s="49"/>
      <c r="Z575" s="66"/>
      <c r="AA575" s="140"/>
      <c r="AB575" s="66"/>
      <c r="AC575" s="66"/>
      <c r="AD575" s="66"/>
      <c r="AE575" s="66"/>
      <c r="AF575" s="66"/>
    </row>
    <row r="576" spans="1:32" x14ac:dyDescent="0.35">
      <c r="A576" s="66"/>
      <c r="B576" s="66"/>
      <c r="C576" s="49"/>
      <c r="D576" s="49" t="s">
        <v>572</v>
      </c>
      <c r="E576" s="49"/>
      <c r="F576" s="49"/>
      <c r="G576" s="49"/>
      <c r="H576" s="63">
        <f t="shared" ref="H576:M576" si="151">ROUND(SUM(H571:H575),5)</f>
        <v>24529.48</v>
      </c>
      <c r="I576" s="63">
        <f t="shared" si="151"/>
        <v>0</v>
      </c>
      <c r="J576" s="64">
        <f t="shared" si="151"/>
        <v>23964.29</v>
      </c>
      <c r="K576" s="76">
        <f t="shared" si="151"/>
        <v>0</v>
      </c>
      <c r="L576" s="65">
        <f t="shared" si="151"/>
        <v>24724.07</v>
      </c>
      <c r="M576" s="77">
        <f t="shared" si="151"/>
        <v>0</v>
      </c>
      <c r="N576" s="66">
        <f t="shared" si="149"/>
        <v>73217.84</v>
      </c>
      <c r="O576" s="66">
        <f t="shared" si="149"/>
        <v>0</v>
      </c>
      <c r="P576" s="69">
        <f t="shared" si="150"/>
        <v>24405.946666666667</v>
      </c>
      <c r="Q576" s="69">
        <f t="shared" si="150"/>
        <v>0</v>
      </c>
      <c r="R576" s="54"/>
      <c r="S576" s="49"/>
      <c r="T576" s="49"/>
      <c r="U576" s="49"/>
      <c r="V576" s="49" t="s">
        <v>572</v>
      </c>
      <c r="W576" s="49"/>
      <c r="X576" s="49"/>
      <c r="Y576" s="49"/>
      <c r="Z576" s="66"/>
      <c r="AA576" s="140"/>
      <c r="AB576" s="66"/>
      <c r="AC576" s="66"/>
      <c r="AD576" s="66"/>
      <c r="AE576" s="66"/>
      <c r="AF576" s="66"/>
    </row>
    <row r="577" spans="1:34" ht="16" thickBot="1" x14ac:dyDescent="0.4">
      <c r="A577" s="66"/>
      <c r="B577" s="66"/>
      <c r="C577" s="49"/>
      <c r="D577" s="49" t="s">
        <v>573</v>
      </c>
      <c r="E577" s="49"/>
      <c r="F577" s="49"/>
      <c r="G577" s="49"/>
      <c r="H577" s="63">
        <v>288386.05</v>
      </c>
      <c r="I577" s="63">
        <v>0</v>
      </c>
      <c r="J577" s="64">
        <v>313714.26</v>
      </c>
      <c r="K577" s="64">
        <v>0</v>
      </c>
      <c r="L577" s="65">
        <v>363433.03</v>
      </c>
      <c r="M577" s="65">
        <v>0</v>
      </c>
      <c r="N577" s="66">
        <f t="shared" si="149"/>
        <v>965533.34</v>
      </c>
      <c r="O577" s="66">
        <f t="shared" si="149"/>
        <v>0</v>
      </c>
      <c r="P577" s="69">
        <f t="shared" si="150"/>
        <v>321844.44666666666</v>
      </c>
      <c r="Q577" s="69">
        <f t="shared" si="150"/>
        <v>0</v>
      </c>
      <c r="R577" s="54"/>
      <c r="S577" s="49"/>
      <c r="T577" s="49"/>
      <c r="U577" s="49"/>
      <c r="V577" s="49" t="s">
        <v>573</v>
      </c>
      <c r="W577" s="49"/>
      <c r="X577" s="49"/>
      <c r="Y577" s="49"/>
      <c r="Z577" s="66"/>
      <c r="AA577" s="140"/>
      <c r="AB577" s="157"/>
      <c r="AC577" s="157"/>
      <c r="AD577" s="157"/>
      <c r="AE577" s="157"/>
      <c r="AF577" s="157"/>
    </row>
    <row r="578" spans="1:34" ht="16" thickBot="1" x14ac:dyDescent="0.4">
      <c r="A578" s="66"/>
      <c r="B578" s="66"/>
      <c r="C578" s="49" t="s">
        <v>574</v>
      </c>
      <c r="D578" s="49"/>
      <c r="E578" s="49"/>
      <c r="F578" s="49"/>
      <c r="G578" s="49"/>
      <c r="H578" s="75">
        <f t="shared" ref="H578:M578" si="152">ROUND(H570+SUM(H576:H577),5)</f>
        <v>312915.53000000003</v>
      </c>
      <c r="I578" s="75">
        <f t="shared" si="152"/>
        <v>0</v>
      </c>
      <c r="J578" s="76">
        <f t="shared" si="152"/>
        <v>337678.55</v>
      </c>
      <c r="K578" s="76">
        <f t="shared" si="152"/>
        <v>0</v>
      </c>
      <c r="L578" s="77">
        <f t="shared" si="152"/>
        <v>388157.1</v>
      </c>
      <c r="M578" s="77">
        <f t="shared" si="152"/>
        <v>0</v>
      </c>
      <c r="N578" s="78">
        <f t="shared" si="149"/>
        <v>1038751.18</v>
      </c>
      <c r="O578" s="78">
        <f t="shared" si="149"/>
        <v>0</v>
      </c>
      <c r="P578" s="79">
        <f t="shared" si="150"/>
        <v>346250.39333333337</v>
      </c>
      <c r="Q578" s="79">
        <f t="shared" si="150"/>
        <v>0</v>
      </c>
      <c r="R578" s="54"/>
      <c r="S578" s="49"/>
      <c r="T578" s="49"/>
      <c r="U578" s="49" t="s">
        <v>574</v>
      </c>
      <c r="V578" s="49"/>
      <c r="W578" s="49"/>
      <c r="X578" s="49"/>
      <c r="Y578" s="49"/>
      <c r="Z578" s="66"/>
      <c r="AA578" s="140"/>
      <c r="AB578" s="66"/>
      <c r="AC578" s="66"/>
      <c r="AD578" s="66"/>
      <c r="AE578" s="66"/>
      <c r="AF578" s="66"/>
      <c r="AH578" s="45"/>
    </row>
    <row r="579" spans="1:34" ht="16" thickBot="1" x14ac:dyDescent="0.4">
      <c r="A579" s="66"/>
      <c r="B579" s="66" t="s">
        <v>575</v>
      </c>
      <c r="C579" s="49"/>
      <c r="D579" s="49"/>
      <c r="E579" s="49"/>
      <c r="F579" s="49"/>
      <c r="G579" s="49"/>
      <c r="H579" s="75">
        <f t="shared" ref="H579:M579" si="153">ROUND(H554+H569-H578,5)</f>
        <v>137134.84</v>
      </c>
      <c r="I579" s="75">
        <f t="shared" si="153"/>
        <v>0</v>
      </c>
      <c r="J579" s="76">
        <f t="shared" si="153"/>
        <v>238721.88</v>
      </c>
      <c r="K579" s="76">
        <f t="shared" si="153"/>
        <v>0</v>
      </c>
      <c r="L579" s="77">
        <f t="shared" si="153"/>
        <v>206028.88</v>
      </c>
      <c r="M579" s="77">
        <f t="shared" si="153"/>
        <v>0</v>
      </c>
      <c r="N579" s="78">
        <f t="shared" si="149"/>
        <v>581885.6</v>
      </c>
      <c r="O579" s="78">
        <f t="shared" si="149"/>
        <v>0</v>
      </c>
      <c r="P579" s="79">
        <f t="shared" si="150"/>
        <v>193961.86666666667</v>
      </c>
      <c r="Q579" s="79">
        <f t="shared" si="150"/>
        <v>0</v>
      </c>
      <c r="R579" s="54"/>
      <c r="S579" s="49"/>
      <c r="T579" s="49" t="s">
        <v>575</v>
      </c>
      <c r="U579" s="49"/>
      <c r="V579" s="49"/>
      <c r="W579" s="49"/>
      <c r="X579" s="49"/>
      <c r="Y579" s="49"/>
      <c r="Z579" s="66"/>
      <c r="AA579" s="140"/>
      <c r="AB579" s="66"/>
      <c r="AC579" s="66"/>
      <c r="AD579" s="66"/>
      <c r="AE579" s="66"/>
      <c r="AF579" s="66"/>
    </row>
    <row r="580" spans="1:34" s="45" customFormat="1" ht="16" thickBot="1" x14ac:dyDescent="0.4">
      <c r="A580" s="95" t="s">
        <v>576</v>
      </c>
      <c r="B580" s="95"/>
      <c r="C580" s="49"/>
      <c r="D580" s="49"/>
      <c r="E580" s="49"/>
      <c r="F580" s="49"/>
      <c r="G580" s="49"/>
      <c r="H580" s="96">
        <f t="shared" ref="H580:M580" si="154">ROUND(H553+H579,5)</f>
        <v>44542.64</v>
      </c>
      <c r="I580" s="96">
        <f t="shared" si="154"/>
        <v>8714.58</v>
      </c>
      <c r="J580" s="97">
        <f t="shared" si="154"/>
        <v>51342.9</v>
      </c>
      <c r="K580" s="97">
        <f t="shared" si="154"/>
        <v>826.41</v>
      </c>
      <c r="L580" s="98">
        <f t="shared" si="154"/>
        <v>184453.41</v>
      </c>
      <c r="M580" s="98">
        <f t="shared" si="154"/>
        <v>354.02</v>
      </c>
      <c r="N580" s="99">
        <f t="shared" si="149"/>
        <v>280338.95</v>
      </c>
      <c r="O580" s="99">
        <f t="shared" si="149"/>
        <v>9895.01</v>
      </c>
      <c r="P580" s="100">
        <f t="shared" si="150"/>
        <v>93446.316666666666</v>
      </c>
      <c r="Q580" s="100">
        <f t="shared" si="150"/>
        <v>3298.3366666666666</v>
      </c>
      <c r="R580" s="101"/>
      <c r="S580" s="49" t="s">
        <v>576</v>
      </c>
      <c r="T580" s="49"/>
      <c r="U580" s="49"/>
      <c r="V580" s="49"/>
      <c r="W580" s="49"/>
      <c r="X580" s="49"/>
      <c r="Y580" s="49"/>
      <c r="Z580" s="99">
        <f>ROUND(Z553+Z579,5)</f>
        <v>811.37</v>
      </c>
      <c r="AA580" s="140"/>
      <c r="AB580" s="99">
        <f>ROUND(AB553+AB579,5)</f>
        <v>-193160.46642000001</v>
      </c>
      <c r="AC580" s="99">
        <f>ROUND(AC553+AC579,5)</f>
        <v>-8678.4714199999999</v>
      </c>
      <c r="AD580" s="99">
        <f>ROUND(AD553+AD579,5)</f>
        <v>15325.98798</v>
      </c>
      <c r="AE580" s="99">
        <f>ROUND(AE553+AE579,5)</f>
        <v>6387.1</v>
      </c>
      <c r="AF580" s="99">
        <f>ROUND(AF553+AF579,5)</f>
        <v>22442.035</v>
      </c>
      <c r="AG580"/>
      <c r="AH580" s="46"/>
    </row>
    <row r="581" spans="1:34" ht="16" thickTop="1" x14ac:dyDescent="0.35">
      <c r="AB581" s="47"/>
      <c r="AC581" s="47"/>
      <c r="AD581" s="47"/>
      <c r="AE581" s="47"/>
      <c r="AF581" s="47"/>
    </row>
  </sheetData>
  <mergeCells count="1"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C830-1BC4-41FF-B8CD-EE4FAA01F990}">
  <sheetPr>
    <tabColor rgb="FF0000FF"/>
    <pageSetUpPr fitToPage="1"/>
  </sheetPr>
  <dimension ref="A1:AO583"/>
  <sheetViews>
    <sheetView topLeftCell="Y1" zoomScale="130" zoomScaleNormal="130" workbookViewId="0">
      <pane ySplit="3" topLeftCell="A4" activePane="bottomLeft" state="frozen"/>
      <selection pane="bottomLeft" activeCell="AL177" sqref="AL177:AL179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hidden="1" customWidth="1"/>
    <col min="9" max="9" width="14.1796875" style="46" hidden="1" customWidth="1"/>
    <col min="10" max="10" width="16.81640625" style="46" hidden="1" customWidth="1"/>
    <col min="11" max="11" width="14.1796875" style="46" hidden="1" customWidth="1"/>
    <col min="12" max="12" width="16.81640625" style="46" hidden="1" customWidth="1"/>
    <col min="13" max="13" width="14.1796875" style="46" hidden="1" customWidth="1"/>
    <col min="14" max="14" width="16.81640625" style="46" hidden="1" customWidth="1"/>
    <col min="15" max="15" width="14.81640625" style="46" hidden="1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36328125" style="45" bestFit="1" customWidth="1"/>
    <col min="26" max="26" width="22.54296875" style="47" customWidth="1"/>
    <col min="27" max="27" width="0.6328125" style="46" customWidth="1"/>
    <col min="28" max="31" width="17.1796875" style="46" hidden="1" customWidth="1"/>
    <col min="32" max="32" width="17.1796875" style="46" customWidth="1"/>
    <col min="33" max="33" width="17.1796875" style="46" bestFit="1" customWidth="1"/>
    <col min="34" max="34" width="30.90625" style="110" bestFit="1" customWidth="1"/>
    <col min="35" max="35" width="47.81640625" style="110" customWidth="1"/>
    <col min="36" max="36" width="11.54296875" style="46" bestFit="1" customWidth="1"/>
    <col min="37" max="37" width="12.1796875" style="46" bestFit="1" customWidth="1"/>
    <col min="38" max="38" width="18.453125" style="46" bestFit="1" customWidth="1"/>
    <col min="39" max="39" width="14.453125" style="46" customWidth="1"/>
    <col min="40" max="40" width="11.81640625" style="46" bestFit="1" customWidth="1"/>
    <col min="41" max="41" width="11.81640625" style="46" customWidth="1"/>
    <col min="42" max="16384" width="8.81640625" style="46"/>
  </cols>
  <sheetData>
    <row r="1" spans="1:35" ht="25" customHeight="1" x14ac:dyDescent="0.35">
      <c r="H1" s="103">
        <f t="shared" ref="H1:Q1" si="0">H582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Z582</f>
        <v>811.37</v>
      </c>
      <c r="AA1" s="139"/>
      <c r="AB1" s="106">
        <f t="shared" ref="AB1:AG1" si="1">AB582</f>
        <v>-193160.46642000001</v>
      </c>
      <c r="AC1" s="129">
        <f t="shared" si="1"/>
        <v>-8678.4714199999999</v>
      </c>
      <c r="AD1" s="132">
        <f t="shared" si="1"/>
        <v>15325.98798</v>
      </c>
      <c r="AE1" s="153">
        <f t="shared" si="1"/>
        <v>3787.1</v>
      </c>
      <c r="AF1" s="161">
        <f t="shared" si="1"/>
        <v>22292.035</v>
      </c>
      <c r="AG1" s="106">
        <f t="shared" si="1"/>
        <v>8513</v>
      </c>
      <c r="AI1" s="173"/>
    </row>
    <row r="2" spans="1:35" ht="16" x14ac:dyDescent="0.35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  <c r="AF2" s="162" t="s">
        <v>944</v>
      </c>
      <c r="AG2" s="169" t="s">
        <v>958</v>
      </c>
    </row>
    <row r="3" spans="1:35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A3" s="140"/>
      <c r="AB3" s="1" t="s">
        <v>582</v>
      </c>
      <c r="AC3" s="1" t="s">
        <v>582</v>
      </c>
      <c r="AD3" s="1" t="s">
        <v>582</v>
      </c>
      <c r="AE3" s="1" t="s">
        <v>582</v>
      </c>
      <c r="AF3" s="1" t="s">
        <v>582</v>
      </c>
      <c r="AG3" s="1" t="s">
        <v>582</v>
      </c>
    </row>
    <row r="4" spans="1:35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A4" s="141"/>
      <c r="AB4" s="59" t="s">
        <v>2</v>
      </c>
      <c r="AC4" s="59" t="s">
        <v>2</v>
      </c>
      <c r="AD4" s="59" t="s">
        <v>2</v>
      </c>
      <c r="AE4" s="59" t="s">
        <v>2</v>
      </c>
      <c r="AF4" s="59" t="s">
        <v>2</v>
      </c>
      <c r="AG4" s="59" t="s">
        <v>2</v>
      </c>
      <c r="AH4" s="110"/>
      <c r="AI4" s="174"/>
    </row>
    <row r="5" spans="1:35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H5" s="110"/>
      <c r="AI5" s="175"/>
    </row>
    <row r="6" spans="1:35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35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35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35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  <c r="AG9" s="66">
        <v>1026054.2</v>
      </c>
    </row>
    <row r="10" spans="1:35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2">ROUND(H10+J10+L10,5)</f>
        <v>270788.24</v>
      </c>
      <c r="O10" s="66">
        <f t="shared" si="2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  <c r="AF10" s="66"/>
      <c r="AG10" s="66"/>
    </row>
    <row r="11" spans="1:35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2"/>
        <v>104161.84</v>
      </c>
      <c r="O11" s="66">
        <f t="shared" si="2"/>
        <v>47215</v>
      </c>
      <c r="P11" s="69">
        <f t="shared" ref="P11:Q74" si="3">N11/3</f>
        <v>34720.613333333335</v>
      </c>
      <c r="Q11" s="69">
        <f t="shared" si="3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  <c r="AF11" s="66"/>
      <c r="AG11" s="66"/>
    </row>
    <row r="12" spans="1:35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2"/>
        <v>0</v>
      </c>
      <c r="O12" s="66">
        <f t="shared" si="2"/>
        <v>8970</v>
      </c>
      <c r="P12" s="69">
        <f t="shared" si="3"/>
        <v>0</v>
      </c>
      <c r="Q12" s="69">
        <f t="shared" si="3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  <c r="AF12" s="66"/>
      <c r="AG12" s="66"/>
    </row>
    <row r="13" spans="1:35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2"/>
        <v>49113.85</v>
      </c>
      <c r="O13" s="66">
        <f t="shared" si="2"/>
        <v>22276</v>
      </c>
      <c r="P13" s="69">
        <f t="shared" si="3"/>
        <v>16371.283333333333</v>
      </c>
      <c r="Q13" s="69">
        <f t="shared" si="3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  <c r="AF13" s="66"/>
      <c r="AG13" s="66"/>
    </row>
    <row r="14" spans="1:35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2"/>
        <v>7790</v>
      </c>
      <c r="O14" s="73">
        <f t="shared" si="2"/>
        <v>1400</v>
      </c>
      <c r="P14" s="74">
        <f t="shared" si="3"/>
        <v>2596.6666666666665</v>
      </c>
      <c r="Q14" s="74">
        <f t="shared" si="3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  <c r="AF14" s="73"/>
      <c r="AG14" s="73"/>
    </row>
    <row r="15" spans="1:35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4">ROUND(SUM(H9:H14),5)</f>
        <v>171173.36</v>
      </c>
      <c r="I15" s="63">
        <f t="shared" si="4"/>
        <v>33072</v>
      </c>
      <c r="J15" s="64">
        <f t="shared" si="4"/>
        <v>129396.15</v>
      </c>
      <c r="K15" s="64">
        <f t="shared" si="4"/>
        <v>61776</v>
      </c>
      <c r="L15" s="65">
        <f t="shared" si="4"/>
        <v>131284.42000000001</v>
      </c>
      <c r="M15" s="65">
        <f t="shared" si="4"/>
        <v>159494</v>
      </c>
      <c r="N15" s="66">
        <f t="shared" si="2"/>
        <v>431853.93</v>
      </c>
      <c r="O15" s="66">
        <f t="shared" si="2"/>
        <v>254342</v>
      </c>
      <c r="P15" s="69">
        <f t="shared" si="3"/>
        <v>143951.31</v>
      </c>
      <c r="Q15" s="69">
        <f t="shared" si="3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 t="shared" ref="AB15:AG15" si="5">ROUND(SUM(AB9:AB14),5)</f>
        <v>960784.8</v>
      </c>
      <c r="AC15" s="66">
        <f t="shared" si="5"/>
        <v>960784.8</v>
      </c>
      <c r="AD15" s="66">
        <f t="shared" si="5"/>
        <v>1026054.2</v>
      </c>
      <c r="AE15" s="66">
        <f t="shared" si="5"/>
        <v>1026054.2</v>
      </c>
      <c r="AF15" s="66">
        <f t="shared" si="5"/>
        <v>1026054.2</v>
      </c>
      <c r="AG15" s="66">
        <f t="shared" si="5"/>
        <v>1026054.2</v>
      </c>
    </row>
    <row r="16" spans="1:35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  <c r="AF16" s="66"/>
      <c r="AG16" s="66"/>
    </row>
    <row r="17" spans="1:33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6">ROUND(H17+J17+L17,5)</f>
        <v>101809.82</v>
      </c>
      <c r="O17" s="66">
        <f t="shared" si="6"/>
        <v>79973</v>
      </c>
      <c r="P17" s="69">
        <f t="shared" si="3"/>
        <v>33936.606666666667</v>
      </c>
      <c r="Q17" s="69">
        <f t="shared" si="3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  <c r="AF17" s="66"/>
      <c r="AG17" s="66"/>
    </row>
    <row r="18" spans="1:33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6"/>
        <v>26984.29</v>
      </c>
      <c r="O18" s="66">
        <f t="shared" si="6"/>
        <v>23625</v>
      </c>
      <c r="P18" s="69">
        <f t="shared" si="3"/>
        <v>8994.7633333333342</v>
      </c>
      <c r="Q18" s="69">
        <f t="shared" si="3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  <c r="AF18" s="66"/>
      <c r="AG18" s="66"/>
    </row>
    <row r="19" spans="1:33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6"/>
        <v>17270</v>
      </c>
      <c r="O19" s="66">
        <f t="shared" si="6"/>
        <v>35512</v>
      </c>
      <c r="P19" s="69">
        <f t="shared" si="3"/>
        <v>5756.666666666667</v>
      </c>
      <c r="Q19" s="69">
        <f t="shared" si="3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  <c r="AF19" s="66"/>
      <c r="AG19" s="66"/>
    </row>
    <row r="20" spans="1:33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6"/>
        <v>22714.81</v>
      </c>
      <c r="O20" s="66">
        <f t="shared" si="6"/>
        <v>35292</v>
      </c>
      <c r="P20" s="69">
        <f t="shared" si="3"/>
        <v>7571.6033333333335</v>
      </c>
      <c r="Q20" s="69">
        <f t="shared" si="3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  <c r="AF20" s="66"/>
      <c r="AG20" s="66"/>
    </row>
    <row r="21" spans="1:33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6"/>
        <v>3255.05</v>
      </c>
      <c r="O21" s="66">
        <f t="shared" si="6"/>
        <v>0</v>
      </c>
      <c r="P21" s="69">
        <f t="shared" si="3"/>
        <v>1085.0166666666667</v>
      </c>
      <c r="Q21" s="69">
        <f t="shared" si="3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  <c r="AF21" s="66"/>
      <c r="AG21" s="66"/>
    </row>
    <row r="22" spans="1:33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6"/>
        <v>24336.65</v>
      </c>
      <c r="O22" s="66">
        <f t="shared" si="6"/>
        <v>58135</v>
      </c>
      <c r="P22" s="69">
        <f t="shared" si="3"/>
        <v>8112.2166666666672</v>
      </c>
      <c r="Q22" s="69">
        <f t="shared" si="3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  <c r="AF22" s="66"/>
      <c r="AG22" s="66"/>
    </row>
    <row r="23" spans="1:33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6"/>
        <v>3560.05</v>
      </c>
      <c r="O23" s="66">
        <f t="shared" si="6"/>
        <v>0</v>
      </c>
      <c r="P23" s="69">
        <f t="shared" si="3"/>
        <v>1186.6833333333334</v>
      </c>
      <c r="Q23" s="69">
        <f t="shared" si="3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  <c r="AF23" s="66"/>
      <c r="AG23" s="66"/>
    </row>
    <row r="24" spans="1:33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6"/>
        <v>20454.099999999999</v>
      </c>
      <c r="O24" s="66">
        <f t="shared" si="6"/>
        <v>42287</v>
      </c>
      <c r="P24" s="69">
        <f t="shared" si="3"/>
        <v>6818.0333333333328</v>
      </c>
      <c r="Q24" s="69">
        <f t="shared" si="3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  <c r="AF24" s="66"/>
      <c r="AG24" s="66"/>
    </row>
    <row r="25" spans="1:33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6"/>
        <v>13358.41</v>
      </c>
      <c r="O25" s="66">
        <f t="shared" si="6"/>
        <v>17758</v>
      </c>
      <c r="P25" s="69">
        <f t="shared" si="3"/>
        <v>4452.8033333333333</v>
      </c>
      <c r="Q25" s="69">
        <f t="shared" si="3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  <c r="AF25" s="66"/>
      <c r="AG25" s="66"/>
    </row>
    <row r="26" spans="1:33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6"/>
        <v>5642.08</v>
      </c>
      <c r="O26" s="66">
        <f t="shared" si="6"/>
        <v>0</v>
      </c>
      <c r="P26" s="69">
        <f t="shared" si="3"/>
        <v>1880.6933333333334</v>
      </c>
      <c r="Q26" s="69">
        <f t="shared" si="3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  <c r="AF26" s="66"/>
      <c r="AG26" s="66"/>
    </row>
    <row r="27" spans="1:33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6"/>
        <v>28947.17</v>
      </c>
      <c r="O27" s="66">
        <f t="shared" si="6"/>
        <v>23569</v>
      </c>
      <c r="P27" s="69">
        <f t="shared" si="3"/>
        <v>9649.0566666666655</v>
      </c>
      <c r="Q27" s="69">
        <f t="shared" si="3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  <c r="AF27" s="66"/>
      <c r="AG27" s="66"/>
    </row>
    <row r="28" spans="1:33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6"/>
        <v>6391.99</v>
      </c>
      <c r="O28" s="66">
        <f t="shared" si="6"/>
        <v>5858</v>
      </c>
      <c r="P28" s="69">
        <f t="shared" si="3"/>
        <v>2130.6633333333334</v>
      </c>
      <c r="Q28" s="69">
        <f t="shared" si="3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  <c r="AF28" s="66"/>
      <c r="AG28" s="66"/>
    </row>
    <row r="29" spans="1:33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6"/>
        <v>33957.879999999997</v>
      </c>
      <c r="O29" s="66">
        <f t="shared" si="6"/>
        <v>66808</v>
      </c>
      <c r="P29" s="69">
        <f t="shared" si="3"/>
        <v>11319.293333333333</v>
      </c>
      <c r="Q29" s="69">
        <f t="shared" si="3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  <c r="AF29" s="66"/>
      <c r="AG29" s="66"/>
    </row>
    <row r="30" spans="1:33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6"/>
        <v>44017.48</v>
      </c>
      <c r="O30" s="66">
        <f t="shared" si="6"/>
        <v>49854</v>
      </c>
      <c r="P30" s="69">
        <f t="shared" si="3"/>
        <v>14672.493333333334</v>
      </c>
      <c r="Q30" s="69">
        <f t="shared" si="3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  <c r="AF30" s="66"/>
      <c r="AG30" s="66"/>
    </row>
    <row r="31" spans="1:33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6"/>
        <v>64578.81</v>
      </c>
      <c r="O31" s="66">
        <f t="shared" si="6"/>
        <v>27090</v>
      </c>
      <c r="P31" s="69">
        <f t="shared" si="3"/>
        <v>21526.27</v>
      </c>
      <c r="Q31" s="69">
        <f t="shared" si="3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  <c r="AF31" s="66"/>
      <c r="AG31" s="66"/>
    </row>
    <row r="32" spans="1:33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6"/>
        <v>14800.16</v>
      </c>
      <c r="O32" s="66">
        <f t="shared" si="6"/>
        <v>0</v>
      </c>
      <c r="P32" s="69">
        <f t="shared" si="3"/>
        <v>4933.3866666666663</v>
      </c>
      <c r="Q32" s="69">
        <f t="shared" si="3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  <c r="AF32" s="66"/>
      <c r="AG32" s="66"/>
    </row>
    <row r="33" spans="1:33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6"/>
        <v>1604.11</v>
      </c>
      <c r="O33" s="66">
        <f t="shared" si="6"/>
        <v>22561</v>
      </c>
      <c r="P33" s="69">
        <f t="shared" si="3"/>
        <v>534.70333333333326</v>
      </c>
      <c r="Q33" s="69">
        <f t="shared" si="3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  <c r="AF33" s="66"/>
      <c r="AG33" s="66"/>
    </row>
    <row r="34" spans="1:33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6"/>
        <v>1104</v>
      </c>
      <c r="O34" s="66">
        <f t="shared" si="6"/>
        <v>7038</v>
      </c>
      <c r="P34" s="69">
        <f t="shared" si="3"/>
        <v>368</v>
      </c>
      <c r="Q34" s="69">
        <f t="shared" si="3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  <c r="AF34" s="66"/>
      <c r="AG34" s="66"/>
    </row>
    <row r="35" spans="1:33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6"/>
        <v>0</v>
      </c>
      <c r="O35" s="66">
        <f t="shared" si="6"/>
        <v>15254</v>
      </c>
      <c r="P35" s="69">
        <f t="shared" si="3"/>
        <v>0</v>
      </c>
      <c r="Q35" s="69">
        <f t="shared" si="3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  <c r="AF35" s="66"/>
      <c r="AG35" s="66"/>
    </row>
    <row r="36" spans="1:33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3"/>
        <v>1854.64</v>
      </c>
      <c r="Q36" s="69">
        <f t="shared" si="3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  <c r="AF36" s="66"/>
      <c r="AG36" s="66"/>
    </row>
    <row r="37" spans="1:33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3"/>
        <v>0</v>
      </c>
      <c r="Q37" s="69">
        <f t="shared" si="3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  <c r="AF37" s="66"/>
      <c r="AG37" s="66"/>
    </row>
    <row r="38" spans="1:33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3"/>
        <v>0</v>
      </c>
      <c r="Q38" s="74">
        <f t="shared" si="3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  <c r="AF38" s="73"/>
      <c r="AG38" s="73"/>
    </row>
    <row r="39" spans="1:33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7">ROUND(SUM(H16:H38),5)</f>
        <v>125929.22</v>
      </c>
      <c r="I39" s="63">
        <f t="shared" si="7"/>
        <v>120263</v>
      </c>
      <c r="J39" s="64">
        <f t="shared" si="7"/>
        <v>136830.26</v>
      </c>
      <c r="K39" s="64">
        <f t="shared" si="7"/>
        <v>203448</v>
      </c>
      <c r="L39" s="65">
        <f t="shared" si="7"/>
        <v>177591.3</v>
      </c>
      <c r="M39" s="65">
        <f t="shared" si="7"/>
        <v>186903</v>
      </c>
      <c r="N39" s="66">
        <f>ROUND(H39+J39+L39,5)</f>
        <v>440350.78</v>
      </c>
      <c r="O39" s="66">
        <f>ROUND(I39+K39+M39,5)</f>
        <v>510614</v>
      </c>
      <c r="P39" s="69">
        <f t="shared" si="3"/>
        <v>146783.59333333335</v>
      </c>
      <c r="Q39" s="69">
        <f t="shared" si="3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 t="shared" ref="AB39:AG39" si="8">ROUND(SUM(AB16:AB38),5)</f>
        <v>0</v>
      </c>
      <c r="AC39" s="66">
        <f t="shared" si="8"/>
        <v>0</v>
      </c>
      <c r="AD39" s="66">
        <f t="shared" si="8"/>
        <v>0</v>
      </c>
      <c r="AE39" s="66">
        <f t="shared" si="8"/>
        <v>0</v>
      </c>
      <c r="AF39" s="66">
        <f t="shared" si="8"/>
        <v>0</v>
      </c>
      <c r="AG39" s="66">
        <f t="shared" si="8"/>
        <v>0</v>
      </c>
    </row>
    <row r="40" spans="1:33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  <c r="AF40" s="66"/>
      <c r="AG40" s="66"/>
    </row>
    <row r="41" spans="1:33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9">ROUND(H41+J41+L41,5)</f>
        <v>17081.599999999999</v>
      </c>
      <c r="O41" s="66">
        <f t="shared" si="9"/>
        <v>44688</v>
      </c>
      <c r="P41" s="69">
        <f t="shared" si="3"/>
        <v>5693.8666666666659</v>
      </c>
      <c r="Q41" s="69">
        <f t="shared" si="3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  <c r="AF41" s="66"/>
      <c r="AG41" s="66"/>
    </row>
    <row r="42" spans="1:33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9"/>
        <v>1953.03</v>
      </c>
      <c r="O42" s="66">
        <f t="shared" si="9"/>
        <v>0</v>
      </c>
      <c r="P42" s="69">
        <f t="shared" si="3"/>
        <v>651.01</v>
      </c>
      <c r="Q42" s="69">
        <f t="shared" si="3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  <c r="AF42" s="66"/>
      <c r="AG42" s="66"/>
    </row>
    <row r="43" spans="1:33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9"/>
        <v>6637.98</v>
      </c>
      <c r="O43" s="66">
        <f t="shared" si="9"/>
        <v>16220</v>
      </c>
      <c r="P43" s="69">
        <f t="shared" si="3"/>
        <v>2212.66</v>
      </c>
      <c r="Q43" s="69">
        <f t="shared" si="3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  <c r="AF43" s="66"/>
      <c r="AG43" s="66"/>
    </row>
    <row r="44" spans="1:33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9"/>
        <v>0</v>
      </c>
      <c r="O44" s="73">
        <f t="shared" si="9"/>
        <v>0</v>
      </c>
      <c r="P44" s="74">
        <f t="shared" si="3"/>
        <v>0</v>
      </c>
      <c r="Q44" s="74">
        <f t="shared" si="3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  <c r="AF44" s="73"/>
      <c r="AG44" s="73"/>
    </row>
    <row r="45" spans="1:33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10">ROUND(SUM(H40:H44),5)</f>
        <v>5918.6</v>
      </c>
      <c r="I45" s="63">
        <f t="shared" si="10"/>
        <v>27950</v>
      </c>
      <c r="J45" s="64">
        <f t="shared" si="10"/>
        <v>10455</v>
      </c>
      <c r="K45" s="64">
        <f t="shared" si="10"/>
        <v>22248</v>
      </c>
      <c r="L45" s="65">
        <f t="shared" si="10"/>
        <v>9299.01</v>
      </c>
      <c r="M45" s="65">
        <f t="shared" si="10"/>
        <v>10710</v>
      </c>
      <c r="N45" s="66">
        <f t="shared" si="9"/>
        <v>25672.61</v>
      </c>
      <c r="O45" s="66">
        <f t="shared" si="9"/>
        <v>60908</v>
      </c>
      <c r="P45" s="69">
        <f t="shared" si="3"/>
        <v>8557.5366666666669</v>
      </c>
      <c r="Q45" s="69">
        <f t="shared" si="3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 t="shared" ref="AB45:AG45" si="11">ROUND(SUM(AB40:AB44),5)</f>
        <v>0</v>
      </c>
      <c r="AC45" s="66">
        <f t="shared" si="11"/>
        <v>0</v>
      </c>
      <c r="AD45" s="66">
        <f t="shared" si="11"/>
        <v>0</v>
      </c>
      <c r="AE45" s="66">
        <f t="shared" si="11"/>
        <v>0</v>
      </c>
      <c r="AF45" s="66">
        <f t="shared" si="11"/>
        <v>0</v>
      </c>
      <c r="AG45" s="66">
        <f t="shared" si="11"/>
        <v>0</v>
      </c>
    </row>
    <row r="46" spans="1:33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  <c r="AF46" s="66"/>
      <c r="AG46" s="66"/>
    </row>
    <row r="47" spans="1:33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12">ROUND(H47+J47+L47,5)</f>
        <v>87354.12</v>
      </c>
      <c r="O47" s="66">
        <f t="shared" si="12"/>
        <v>72146</v>
      </c>
      <c r="P47" s="69">
        <f t="shared" si="3"/>
        <v>29118.039999999997</v>
      </c>
      <c r="Q47" s="69">
        <f t="shared" si="3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  <c r="AF47" s="66"/>
      <c r="AG47" s="66"/>
    </row>
    <row r="48" spans="1:33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2"/>
        <v>12866.68</v>
      </c>
      <c r="O48" s="66">
        <f t="shared" si="12"/>
        <v>23176</v>
      </c>
      <c r="P48" s="69">
        <f t="shared" si="3"/>
        <v>4288.8933333333334</v>
      </c>
      <c r="Q48" s="69">
        <f t="shared" si="3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  <c r="AF48" s="66"/>
      <c r="AG48" s="66"/>
    </row>
    <row r="49" spans="1:33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2"/>
        <v>1104</v>
      </c>
      <c r="O49" s="66">
        <f t="shared" si="12"/>
        <v>19670</v>
      </c>
      <c r="P49" s="69">
        <f t="shared" si="3"/>
        <v>368</v>
      </c>
      <c r="Q49" s="69">
        <f t="shared" si="3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  <c r="AF49" s="66"/>
      <c r="AG49" s="66"/>
    </row>
    <row r="50" spans="1:33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2"/>
        <v>35352.550000000003</v>
      </c>
      <c r="O50" s="66">
        <f t="shared" si="12"/>
        <v>25225</v>
      </c>
      <c r="P50" s="69">
        <f t="shared" si="3"/>
        <v>11784.183333333334</v>
      </c>
      <c r="Q50" s="69">
        <f t="shared" si="3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  <c r="AF50" s="66"/>
      <c r="AG50" s="66"/>
    </row>
    <row r="51" spans="1:33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2"/>
        <v>3884.55</v>
      </c>
      <c r="O51" s="66">
        <f t="shared" si="12"/>
        <v>1190</v>
      </c>
      <c r="P51" s="69">
        <f t="shared" si="3"/>
        <v>1294.8500000000001</v>
      </c>
      <c r="Q51" s="69">
        <f t="shared" si="3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  <c r="AF51" s="66"/>
      <c r="AG51" s="66"/>
    </row>
    <row r="52" spans="1:33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2"/>
        <v>3960</v>
      </c>
      <c r="O52" s="66">
        <f t="shared" si="12"/>
        <v>11560</v>
      </c>
      <c r="P52" s="69">
        <f t="shared" si="3"/>
        <v>1320</v>
      </c>
      <c r="Q52" s="69">
        <f t="shared" si="3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  <c r="AF52" s="66"/>
      <c r="AG52" s="66"/>
    </row>
    <row r="53" spans="1:33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2"/>
        <v>546</v>
      </c>
      <c r="O53" s="66">
        <f t="shared" si="12"/>
        <v>10387</v>
      </c>
      <c r="P53" s="69">
        <f t="shared" si="3"/>
        <v>182</v>
      </c>
      <c r="Q53" s="69">
        <f t="shared" si="3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  <c r="AF53" s="66"/>
      <c r="AG53" s="66"/>
    </row>
    <row r="54" spans="1:33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2"/>
        <v>8740.36</v>
      </c>
      <c r="O54" s="66">
        <f t="shared" si="12"/>
        <v>19808</v>
      </c>
      <c r="P54" s="69">
        <f t="shared" si="3"/>
        <v>2913.4533333333334</v>
      </c>
      <c r="Q54" s="69">
        <f t="shared" si="3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  <c r="AF54" s="66"/>
      <c r="AG54" s="66"/>
    </row>
    <row r="55" spans="1:33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2"/>
        <v>594</v>
      </c>
      <c r="O55" s="66">
        <f t="shared" si="12"/>
        <v>24884</v>
      </c>
      <c r="P55" s="69">
        <f t="shared" si="3"/>
        <v>198</v>
      </c>
      <c r="Q55" s="69">
        <f t="shared" si="3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  <c r="AF55" s="66"/>
      <c r="AG55" s="66"/>
    </row>
    <row r="56" spans="1:33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2"/>
        <v>690</v>
      </c>
      <c r="O56" s="66">
        <f t="shared" si="12"/>
        <v>5419</v>
      </c>
      <c r="P56" s="69">
        <f t="shared" si="3"/>
        <v>230</v>
      </c>
      <c r="Q56" s="69">
        <f t="shared" si="3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  <c r="AF56" s="66"/>
      <c r="AG56" s="66"/>
    </row>
    <row r="57" spans="1:33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2"/>
        <v>1413.6</v>
      </c>
      <c r="O57" s="66">
        <f t="shared" si="12"/>
        <v>27552</v>
      </c>
      <c r="P57" s="69">
        <f t="shared" si="3"/>
        <v>471.2</v>
      </c>
      <c r="Q57" s="69">
        <f t="shared" si="3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  <c r="AF57" s="66"/>
      <c r="AG57" s="66"/>
    </row>
    <row r="58" spans="1:33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2"/>
        <v>174920.21</v>
      </c>
      <c r="O58" s="66">
        <f t="shared" si="12"/>
        <v>143746</v>
      </c>
      <c r="P58" s="69">
        <f t="shared" si="3"/>
        <v>58306.736666666664</v>
      </c>
      <c r="Q58" s="69">
        <f t="shared" si="3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  <c r="AF58" s="66"/>
      <c r="AG58" s="66"/>
    </row>
    <row r="59" spans="1:33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2"/>
        <v>12307.07</v>
      </c>
      <c r="O59" s="66">
        <f t="shared" si="12"/>
        <v>24217</v>
      </c>
      <c r="P59" s="69">
        <f t="shared" si="3"/>
        <v>4102.3566666666666</v>
      </c>
      <c r="Q59" s="69">
        <f t="shared" si="3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  <c r="AF59" s="66"/>
      <c r="AG59" s="66"/>
    </row>
    <row r="60" spans="1:33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2"/>
        <v>23322.21</v>
      </c>
      <c r="O60" s="66">
        <f t="shared" si="12"/>
        <v>22992</v>
      </c>
      <c r="P60" s="69">
        <f t="shared" si="3"/>
        <v>7774.07</v>
      </c>
      <c r="Q60" s="69">
        <f t="shared" si="3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  <c r="AF60" s="66"/>
      <c r="AG60" s="66"/>
    </row>
    <row r="61" spans="1:33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2"/>
        <v>4553.9799999999996</v>
      </c>
      <c r="O61" s="73">
        <f t="shared" si="12"/>
        <v>0</v>
      </c>
      <c r="P61" s="74">
        <f t="shared" si="3"/>
        <v>1517.9933333333331</v>
      </c>
      <c r="Q61" s="74">
        <f t="shared" si="3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  <c r="AF61" s="73"/>
      <c r="AG61" s="73"/>
    </row>
    <row r="62" spans="1:33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3">ROUND(SUM(H46:H61),5)</f>
        <v>137372.26</v>
      </c>
      <c r="I62" s="63">
        <f t="shared" si="13"/>
        <v>73450</v>
      </c>
      <c r="J62" s="64">
        <f t="shared" si="13"/>
        <v>111914.03</v>
      </c>
      <c r="K62" s="64">
        <f t="shared" si="13"/>
        <v>203796</v>
      </c>
      <c r="L62" s="65">
        <f t="shared" si="13"/>
        <v>122323.04</v>
      </c>
      <c r="M62" s="65">
        <f t="shared" si="13"/>
        <v>154726</v>
      </c>
      <c r="N62" s="66">
        <f t="shared" si="12"/>
        <v>371609.33</v>
      </c>
      <c r="O62" s="66">
        <f t="shared" si="12"/>
        <v>431972</v>
      </c>
      <c r="P62" s="69">
        <f t="shared" si="3"/>
        <v>123869.77666666667</v>
      </c>
      <c r="Q62" s="69">
        <f t="shared" si="3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 t="shared" ref="AB62:AG62" si="14">ROUND(SUM(AB46:AB61),5)</f>
        <v>0</v>
      </c>
      <c r="AC62" s="66">
        <f t="shared" si="14"/>
        <v>0</v>
      </c>
      <c r="AD62" s="66">
        <f t="shared" si="14"/>
        <v>0</v>
      </c>
      <c r="AE62" s="66">
        <f t="shared" si="14"/>
        <v>0</v>
      </c>
      <c r="AF62" s="66">
        <f t="shared" si="14"/>
        <v>0</v>
      </c>
      <c r="AG62" s="66">
        <f t="shared" si="14"/>
        <v>0</v>
      </c>
    </row>
    <row r="63" spans="1:33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2"/>
        <v>34181.74</v>
      </c>
      <c r="O63" s="66">
        <f t="shared" si="12"/>
        <v>66123.38</v>
      </c>
      <c r="P63" s="69">
        <f t="shared" si="3"/>
        <v>11393.913333333332</v>
      </c>
      <c r="Q63" s="69">
        <f t="shared" si="3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  <c r="AF63" s="66"/>
      <c r="AG63" s="66"/>
    </row>
    <row r="64" spans="1:33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  <c r="AF64" s="66"/>
      <c r="AG64" s="66"/>
    </row>
    <row r="65" spans="1:33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15">ROUND(H65+J65+L65,5)</f>
        <v>106817.3</v>
      </c>
      <c r="O65" s="66">
        <f t="shared" si="15"/>
        <v>56558</v>
      </c>
      <c r="P65" s="69">
        <f t="shared" si="3"/>
        <v>35605.76666666667</v>
      </c>
      <c r="Q65" s="69">
        <f t="shared" si="3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  <c r="AF65" s="66"/>
      <c r="AG65" s="66"/>
    </row>
    <row r="66" spans="1:33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15"/>
        <v>63970.64</v>
      </c>
      <c r="O66" s="66">
        <f t="shared" si="15"/>
        <v>68284</v>
      </c>
      <c r="P66" s="69">
        <f t="shared" si="3"/>
        <v>21323.546666666665</v>
      </c>
      <c r="Q66" s="69">
        <f t="shared" si="3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  <c r="AF66" s="66"/>
      <c r="AG66" s="66"/>
    </row>
    <row r="67" spans="1:33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15"/>
        <v>1794</v>
      </c>
      <c r="O67" s="66">
        <f t="shared" si="15"/>
        <v>15153</v>
      </c>
      <c r="P67" s="69">
        <f t="shared" si="3"/>
        <v>598</v>
      </c>
      <c r="Q67" s="69">
        <f t="shared" si="3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  <c r="AF67" s="66"/>
      <c r="AG67" s="66"/>
    </row>
    <row r="68" spans="1:33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15"/>
        <v>22842.29</v>
      </c>
      <c r="O68" s="66">
        <f t="shared" si="15"/>
        <v>61166</v>
      </c>
      <c r="P68" s="69">
        <f t="shared" si="3"/>
        <v>7614.0966666666673</v>
      </c>
      <c r="Q68" s="69">
        <f t="shared" si="3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  <c r="AF68" s="66"/>
      <c r="AG68" s="66"/>
    </row>
    <row r="69" spans="1:33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15"/>
        <v>9232</v>
      </c>
      <c r="O69" s="66">
        <f t="shared" si="15"/>
        <v>16972</v>
      </c>
      <c r="P69" s="69">
        <f t="shared" si="3"/>
        <v>3077.3333333333335</v>
      </c>
      <c r="Q69" s="69">
        <f t="shared" si="3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  <c r="AF69" s="66"/>
      <c r="AG69" s="66"/>
    </row>
    <row r="70" spans="1:33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15"/>
        <v>11879.44</v>
      </c>
      <c r="O70" s="73">
        <f t="shared" si="15"/>
        <v>43386</v>
      </c>
      <c r="P70" s="74">
        <f t="shared" si="3"/>
        <v>3959.8133333333335</v>
      </c>
      <c r="Q70" s="74">
        <f t="shared" si="3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  <c r="AF70" s="73"/>
      <c r="AG70" s="73"/>
    </row>
    <row r="71" spans="1:33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16">ROUND(SUM(H64:H70),5)</f>
        <v>53816.6</v>
      </c>
      <c r="I71" s="63">
        <f t="shared" si="16"/>
        <v>52052</v>
      </c>
      <c r="J71" s="64">
        <f t="shared" si="16"/>
        <v>74785.06</v>
      </c>
      <c r="K71" s="64">
        <f t="shared" si="16"/>
        <v>127356</v>
      </c>
      <c r="L71" s="65">
        <f t="shared" si="16"/>
        <v>87934.01</v>
      </c>
      <c r="M71" s="65">
        <f t="shared" si="16"/>
        <v>82111</v>
      </c>
      <c r="N71" s="66">
        <f t="shared" si="15"/>
        <v>216535.67</v>
      </c>
      <c r="O71" s="66">
        <f t="shared" si="15"/>
        <v>261519</v>
      </c>
      <c r="P71" s="69">
        <f t="shared" si="3"/>
        <v>72178.556666666671</v>
      </c>
      <c r="Q71" s="69">
        <f t="shared" si="3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 t="shared" ref="AB71:AG71" si="17">ROUND(SUM(AB64:AB70),5)</f>
        <v>0</v>
      </c>
      <c r="AC71" s="66">
        <f t="shared" si="17"/>
        <v>0</v>
      </c>
      <c r="AD71" s="66">
        <f t="shared" si="17"/>
        <v>0</v>
      </c>
      <c r="AE71" s="66">
        <f t="shared" si="17"/>
        <v>0</v>
      </c>
      <c r="AF71" s="66">
        <f t="shared" si="17"/>
        <v>0</v>
      </c>
      <c r="AG71" s="66">
        <f t="shared" si="17"/>
        <v>0</v>
      </c>
    </row>
    <row r="72" spans="1:33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  <c r="AF72" s="66"/>
      <c r="AG72" s="66"/>
    </row>
    <row r="73" spans="1:33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18">ROUND(H73+J73+L73,5)</f>
        <v>5364.31</v>
      </c>
      <c r="O73" s="66">
        <f t="shared" si="18"/>
        <v>9909</v>
      </c>
      <c r="P73" s="69">
        <f t="shared" si="3"/>
        <v>1788.1033333333335</v>
      </c>
      <c r="Q73" s="69">
        <f t="shared" si="3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  <c r="AF73" s="66"/>
      <c r="AG73" s="66"/>
    </row>
    <row r="74" spans="1:33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18"/>
        <v>46000.91</v>
      </c>
      <c r="O74" s="66">
        <f t="shared" si="18"/>
        <v>29903</v>
      </c>
      <c r="P74" s="69">
        <f t="shared" si="3"/>
        <v>15333.636666666667</v>
      </c>
      <c r="Q74" s="69">
        <f t="shared" si="3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  <c r="AF74" s="66"/>
      <c r="AG74" s="66"/>
    </row>
    <row r="75" spans="1:33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18"/>
        <v>0</v>
      </c>
      <c r="O75" s="66">
        <f t="shared" si="18"/>
        <v>31248</v>
      </c>
      <c r="P75" s="69">
        <f t="shared" ref="P75:Q137" si="19">N75/3</f>
        <v>0</v>
      </c>
      <c r="Q75" s="69">
        <f t="shared" si="19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  <c r="AF75" s="66"/>
      <c r="AG75" s="66"/>
    </row>
    <row r="76" spans="1:33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18"/>
        <v>29409.79</v>
      </c>
      <c r="O76" s="66">
        <f t="shared" si="18"/>
        <v>27007</v>
      </c>
      <c r="P76" s="69">
        <f t="shared" si="19"/>
        <v>9803.2633333333342</v>
      </c>
      <c r="Q76" s="69">
        <f t="shared" si="19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  <c r="AF76" s="66"/>
      <c r="AG76" s="66"/>
    </row>
    <row r="77" spans="1:33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18"/>
        <v>3458.77</v>
      </c>
      <c r="O77" s="66">
        <f t="shared" si="18"/>
        <v>7965</v>
      </c>
      <c r="P77" s="69">
        <f t="shared" si="19"/>
        <v>1152.9233333333334</v>
      </c>
      <c r="Q77" s="69">
        <f t="shared" si="19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  <c r="AF77" s="66"/>
      <c r="AG77" s="66"/>
    </row>
    <row r="78" spans="1:33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18"/>
        <v>21632.07</v>
      </c>
      <c r="O78" s="66">
        <f t="shared" si="18"/>
        <v>25676</v>
      </c>
      <c r="P78" s="69">
        <f t="shared" si="19"/>
        <v>7210.69</v>
      </c>
      <c r="Q78" s="69">
        <f t="shared" si="19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  <c r="AF78" s="66"/>
      <c r="AG78" s="66"/>
    </row>
    <row r="79" spans="1:33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18"/>
        <v>966</v>
      </c>
      <c r="O79" s="66">
        <f t="shared" si="18"/>
        <v>3588</v>
      </c>
      <c r="P79" s="69">
        <f t="shared" si="19"/>
        <v>322</v>
      </c>
      <c r="Q79" s="69">
        <f t="shared" si="19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  <c r="AF79" s="66"/>
      <c r="AG79" s="66"/>
    </row>
    <row r="80" spans="1:33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18"/>
        <v>0</v>
      </c>
      <c r="O80" s="66">
        <f t="shared" si="18"/>
        <v>3901</v>
      </c>
      <c r="P80" s="69">
        <f t="shared" si="19"/>
        <v>0</v>
      </c>
      <c r="Q80" s="69">
        <f t="shared" si="19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  <c r="AF80" s="66"/>
      <c r="AG80" s="66"/>
    </row>
    <row r="81" spans="1:33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19"/>
        <v>0</v>
      </c>
      <c r="Q81" s="69">
        <f t="shared" si="19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  <c r="AF81" s="66"/>
      <c r="AG81" s="66"/>
    </row>
    <row r="82" spans="1:33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0">ROUND(H82+J82+L82,5)</f>
        <v>0</v>
      </c>
      <c r="O82" s="66">
        <f t="shared" si="20"/>
        <v>0</v>
      </c>
      <c r="P82" s="69">
        <f t="shared" si="19"/>
        <v>0</v>
      </c>
      <c r="Q82" s="69">
        <f t="shared" si="19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  <c r="AF82" s="66"/>
      <c r="AG82" s="66"/>
    </row>
    <row r="83" spans="1:33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0"/>
        <v>0</v>
      </c>
      <c r="O83" s="73">
        <f t="shared" si="20"/>
        <v>0</v>
      </c>
      <c r="P83" s="74">
        <f t="shared" si="19"/>
        <v>0</v>
      </c>
      <c r="Q83" s="74">
        <f t="shared" si="19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  <c r="AF83" s="73"/>
      <c r="AG83" s="73"/>
    </row>
    <row r="84" spans="1:33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1">ROUND(SUM(H72:H83),5)</f>
        <v>39159.980000000003</v>
      </c>
      <c r="I84" s="63">
        <f t="shared" si="21"/>
        <v>39468</v>
      </c>
      <c r="J84" s="64">
        <f t="shared" si="21"/>
        <v>32291.99</v>
      </c>
      <c r="K84" s="64">
        <f t="shared" si="21"/>
        <v>31248</v>
      </c>
      <c r="L84" s="65">
        <f t="shared" si="21"/>
        <v>35379.879999999997</v>
      </c>
      <c r="M84" s="65">
        <f t="shared" si="21"/>
        <v>68481</v>
      </c>
      <c r="N84" s="66">
        <f t="shared" si="20"/>
        <v>106831.85</v>
      </c>
      <c r="O84" s="66">
        <f t="shared" si="20"/>
        <v>139197</v>
      </c>
      <c r="P84" s="69">
        <f t="shared" si="19"/>
        <v>35610.616666666669</v>
      </c>
      <c r="Q84" s="69">
        <f t="shared" si="19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 t="shared" ref="AB84:AG84" si="22">ROUND(SUM(AB72:AB83),5)</f>
        <v>0</v>
      </c>
      <c r="AC84" s="66">
        <f t="shared" si="22"/>
        <v>0</v>
      </c>
      <c r="AD84" s="66">
        <f t="shared" si="22"/>
        <v>0</v>
      </c>
      <c r="AE84" s="66">
        <f t="shared" si="22"/>
        <v>0</v>
      </c>
      <c r="AF84" s="66">
        <f t="shared" si="22"/>
        <v>0</v>
      </c>
      <c r="AG84" s="66">
        <f t="shared" si="22"/>
        <v>0</v>
      </c>
    </row>
    <row r="85" spans="1:33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  <c r="AF85" s="66"/>
      <c r="AG85" s="66"/>
    </row>
    <row r="86" spans="1:33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23">ROUND(H86+J86+L86,5)</f>
        <v>41055.360000000001</v>
      </c>
      <c r="O86" s="66">
        <f t="shared" si="23"/>
        <v>61593</v>
      </c>
      <c r="P86" s="69">
        <f t="shared" si="19"/>
        <v>13685.12</v>
      </c>
      <c r="Q86" s="69">
        <f t="shared" si="19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  <c r="AF86" s="66"/>
      <c r="AG86" s="66"/>
    </row>
    <row r="87" spans="1:33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23"/>
        <v>4557.07</v>
      </c>
      <c r="O87" s="66">
        <f t="shared" si="23"/>
        <v>5852</v>
      </c>
      <c r="P87" s="69">
        <f t="shared" si="19"/>
        <v>1519.0233333333333</v>
      </c>
      <c r="Q87" s="69">
        <f t="shared" si="19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  <c r="AF87" s="66"/>
      <c r="AG87" s="66"/>
    </row>
    <row r="88" spans="1:33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23"/>
        <v>9699</v>
      </c>
      <c r="O88" s="66">
        <f t="shared" si="23"/>
        <v>58996</v>
      </c>
      <c r="P88" s="69">
        <f t="shared" si="19"/>
        <v>3233</v>
      </c>
      <c r="Q88" s="69">
        <f t="shared" si="19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  <c r="AF88" s="66"/>
      <c r="AG88" s="66"/>
    </row>
    <row r="89" spans="1:33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23"/>
        <v>4967.9799999999996</v>
      </c>
      <c r="O89" s="73">
        <f t="shared" si="23"/>
        <v>15466</v>
      </c>
      <c r="P89" s="74">
        <f t="shared" si="19"/>
        <v>1655.9933333333331</v>
      </c>
      <c r="Q89" s="74">
        <f t="shared" si="19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  <c r="AF89" s="73"/>
      <c r="AG89" s="73"/>
    </row>
    <row r="90" spans="1:33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24">ROUND(SUM(H85:H89),5)</f>
        <v>20271.38</v>
      </c>
      <c r="I90" s="63">
        <f t="shared" si="24"/>
        <v>42055</v>
      </c>
      <c r="J90" s="64">
        <f t="shared" si="24"/>
        <v>14973.03</v>
      </c>
      <c r="K90" s="64">
        <f t="shared" si="24"/>
        <v>58944</v>
      </c>
      <c r="L90" s="65">
        <f t="shared" si="24"/>
        <v>25035</v>
      </c>
      <c r="M90" s="65">
        <f t="shared" si="24"/>
        <v>40908</v>
      </c>
      <c r="N90" s="66">
        <f t="shared" si="23"/>
        <v>60279.41</v>
      </c>
      <c r="O90" s="66">
        <f t="shared" si="23"/>
        <v>141907</v>
      </c>
      <c r="P90" s="69">
        <f t="shared" si="19"/>
        <v>20093.136666666669</v>
      </c>
      <c r="Q90" s="69">
        <f t="shared" si="19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 t="shared" ref="AB90:AG90" si="25">ROUND(SUM(AB85:AB89),5)</f>
        <v>0</v>
      </c>
      <c r="AC90" s="66">
        <f t="shared" si="25"/>
        <v>0</v>
      </c>
      <c r="AD90" s="66">
        <f t="shared" si="25"/>
        <v>0</v>
      </c>
      <c r="AE90" s="66">
        <f t="shared" si="25"/>
        <v>0</v>
      </c>
      <c r="AF90" s="66">
        <f t="shared" si="25"/>
        <v>0</v>
      </c>
      <c r="AG90" s="66">
        <f t="shared" si="25"/>
        <v>0</v>
      </c>
    </row>
    <row r="91" spans="1:33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  <c r="AF91" s="66"/>
      <c r="AG91" s="66"/>
    </row>
    <row r="92" spans="1:33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26">ROUND(H92+J92+L92,5)</f>
        <v>108862.85</v>
      </c>
      <c r="O92" s="66">
        <f t="shared" si="26"/>
        <v>69579</v>
      </c>
      <c r="P92" s="69">
        <f t="shared" si="19"/>
        <v>36287.616666666669</v>
      </c>
      <c r="Q92" s="69">
        <f t="shared" si="19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  <c r="AF92" s="66"/>
      <c r="AG92" s="66"/>
    </row>
    <row r="93" spans="1:33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26"/>
        <v>14518.12</v>
      </c>
      <c r="O93" s="66">
        <f t="shared" si="26"/>
        <v>19733</v>
      </c>
      <c r="P93" s="69">
        <f t="shared" si="19"/>
        <v>4839.3733333333339</v>
      </c>
      <c r="Q93" s="69">
        <f t="shared" si="19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  <c r="AF93" s="66"/>
      <c r="AG93" s="66"/>
    </row>
    <row r="94" spans="1:33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26"/>
        <v>43484.49</v>
      </c>
      <c r="O94" s="66">
        <f t="shared" si="26"/>
        <v>62432</v>
      </c>
      <c r="P94" s="69">
        <f t="shared" si="19"/>
        <v>14494.83</v>
      </c>
      <c r="Q94" s="69">
        <f t="shared" si="19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  <c r="AF94" s="66"/>
      <c r="AG94" s="66"/>
    </row>
    <row r="95" spans="1:33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26"/>
        <v>4211.0600000000004</v>
      </c>
      <c r="O95" s="66">
        <f t="shared" si="26"/>
        <v>13454</v>
      </c>
      <c r="P95" s="69">
        <f t="shared" si="19"/>
        <v>1403.6866666666667</v>
      </c>
      <c r="Q95" s="69">
        <f t="shared" si="19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  <c r="AF95" s="66"/>
      <c r="AG95" s="66"/>
    </row>
    <row r="96" spans="1:33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26"/>
        <v>49443.53</v>
      </c>
      <c r="O96" s="66">
        <f t="shared" si="26"/>
        <v>34119</v>
      </c>
      <c r="P96" s="69">
        <f t="shared" si="19"/>
        <v>16481.176666666666</v>
      </c>
      <c r="Q96" s="69">
        <f t="shared" si="19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  <c r="AF96" s="66"/>
      <c r="AG96" s="66"/>
    </row>
    <row r="97" spans="1:33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26"/>
        <v>5328.03</v>
      </c>
      <c r="O97" s="66">
        <f t="shared" si="26"/>
        <v>7526</v>
      </c>
      <c r="P97" s="69">
        <f t="shared" si="19"/>
        <v>1776.01</v>
      </c>
      <c r="Q97" s="69">
        <f t="shared" si="19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  <c r="AF97" s="66"/>
      <c r="AG97" s="66"/>
    </row>
    <row r="98" spans="1:33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26"/>
        <v>63633.29</v>
      </c>
      <c r="O98" s="66">
        <f t="shared" si="26"/>
        <v>69145</v>
      </c>
      <c r="P98" s="69">
        <f t="shared" si="19"/>
        <v>21211.096666666668</v>
      </c>
      <c r="Q98" s="69">
        <f t="shared" si="19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  <c r="AF98" s="66"/>
      <c r="AG98" s="66"/>
    </row>
    <row r="99" spans="1:33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26"/>
        <v>7554.05</v>
      </c>
      <c r="O99" s="66">
        <f t="shared" si="26"/>
        <v>16058</v>
      </c>
      <c r="P99" s="69">
        <f t="shared" si="19"/>
        <v>2518.0166666666669</v>
      </c>
      <c r="Q99" s="69">
        <f t="shared" si="19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  <c r="AF99" s="66"/>
      <c r="AG99" s="66"/>
    </row>
    <row r="100" spans="1:33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26"/>
        <v>5514</v>
      </c>
      <c r="O100" s="66">
        <f t="shared" si="26"/>
        <v>12319</v>
      </c>
      <c r="P100" s="69">
        <f t="shared" si="19"/>
        <v>1838</v>
      </c>
      <c r="Q100" s="69">
        <f t="shared" si="19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  <c r="AF100" s="66"/>
      <c r="AG100" s="66"/>
    </row>
    <row r="101" spans="1:33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  <c r="AF101" s="73"/>
      <c r="AG101" s="73"/>
    </row>
    <row r="102" spans="1:33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27">ROUND(SUM(H91:H100),5)</f>
        <v>81944.17</v>
      </c>
      <c r="I102" s="63">
        <f t="shared" si="27"/>
        <v>70005</v>
      </c>
      <c r="J102" s="64">
        <f t="shared" si="27"/>
        <v>112983.21</v>
      </c>
      <c r="K102" s="64">
        <f t="shared" si="27"/>
        <v>122376</v>
      </c>
      <c r="L102" s="65">
        <f t="shared" si="27"/>
        <v>107622.04</v>
      </c>
      <c r="M102" s="65">
        <f t="shared" si="27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19"/>
        <v>100849.80666666666</v>
      </c>
      <c r="Q102" s="69">
        <f t="shared" si="19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 t="shared" ref="AB102:AG102" si="28">ROUND(SUM(AB91:AB101),5)</f>
        <v>0</v>
      </c>
      <c r="AC102" s="66">
        <f t="shared" si="28"/>
        <v>0</v>
      </c>
      <c r="AD102" s="66">
        <f t="shared" si="28"/>
        <v>0</v>
      </c>
      <c r="AE102" s="66">
        <f t="shared" si="28"/>
        <v>0</v>
      </c>
      <c r="AF102" s="66">
        <f t="shared" si="28"/>
        <v>0</v>
      </c>
      <c r="AG102" s="66">
        <f t="shared" si="28"/>
        <v>0</v>
      </c>
    </row>
    <row r="103" spans="1:33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19"/>
        <v>0</v>
      </c>
      <c r="Q103" s="69">
        <f t="shared" si="19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  <c r="AF103" s="66"/>
      <c r="AG103" s="66"/>
    </row>
    <row r="104" spans="1:33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29">ROUND(H104+J104+L104,5)</f>
        <v>74439.240000000005</v>
      </c>
      <c r="O104" s="66">
        <f t="shared" si="29"/>
        <v>63264</v>
      </c>
      <c r="P104" s="69">
        <f t="shared" si="19"/>
        <v>24813.08</v>
      </c>
      <c r="Q104" s="69">
        <f t="shared" si="19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  <c r="AF104" s="66"/>
      <c r="AG104" s="66"/>
    </row>
    <row r="105" spans="1:33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29"/>
        <v>13570.83</v>
      </c>
      <c r="O105" s="66">
        <f t="shared" si="29"/>
        <v>26229</v>
      </c>
      <c r="P105" s="69">
        <f t="shared" si="19"/>
        <v>4523.6099999999997</v>
      </c>
      <c r="Q105" s="69">
        <f t="shared" si="19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  <c r="AF105" s="66"/>
      <c r="AG105" s="66"/>
    </row>
    <row r="106" spans="1:33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29"/>
        <v>31132.720000000001</v>
      </c>
      <c r="O106" s="66">
        <f t="shared" si="29"/>
        <v>23118</v>
      </c>
      <c r="P106" s="69">
        <f t="shared" si="19"/>
        <v>10377.573333333334</v>
      </c>
      <c r="Q106" s="69">
        <f t="shared" si="19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  <c r="AF106" s="66"/>
      <c r="AG106" s="66"/>
    </row>
    <row r="107" spans="1:33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29"/>
        <v>5105.97</v>
      </c>
      <c r="O107" s="66">
        <f t="shared" si="29"/>
        <v>7489</v>
      </c>
      <c r="P107" s="69">
        <f t="shared" si="19"/>
        <v>1701.99</v>
      </c>
      <c r="Q107" s="69">
        <f t="shared" si="19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  <c r="AF107" s="66"/>
      <c r="AG107" s="66"/>
    </row>
    <row r="108" spans="1:33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29"/>
        <v>60762.3</v>
      </c>
      <c r="O108" s="66">
        <f t="shared" si="29"/>
        <v>41781</v>
      </c>
      <c r="P108" s="69">
        <f t="shared" si="19"/>
        <v>20254.100000000002</v>
      </c>
      <c r="Q108" s="69">
        <f t="shared" si="19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  <c r="AF108" s="66"/>
      <c r="AG108" s="66"/>
    </row>
    <row r="109" spans="1:33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29"/>
        <v>20355.89</v>
      </c>
      <c r="O109" s="66">
        <f t="shared" si="29"/>
        <v>5382</v>
      </c>
      <c r="P109" s="69">
        <f t="shared" si="19"/>
        <v>6785.2966666666662</v>
      </c>
      <c r="Q109" s="69">
        <f t="shared" si="19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  <c r="AF109" s="66"/>
      <c r="AG109" s="66"/>
    </row>
    <row r="110" spans="1:33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29"/>
        <v>3399.97</v>
      </c>
      <c r="O110" s="66">
        <f t="shared" si="29"/>
        <v>0</v>
      </c>
      <c r="P110" s="69">
        <f t="shared" si="19"/>
        <v>1133.3233333333333</v>
      </c>
      <c r="Q110" s="69">
        <f t="shared" si="19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  <c r="AF110" s="66"/>
      <c r="AG110" s="66"/>
    </row>
    <row r="111" spans="1:33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30">ROUND(SUM(H103:H110),5)</f>
        <v>59018.03</v>
      </c>
      <c r="I111" s="75">
        <f t="shared" si="30"/>
        <v>31525</v>
      </c>
      <c r="J111" s="76">
        <f t="shared" si="30"/>
        <v>66518.98</v>
      </c>
      <c r="K111" s="76">
        <f t="shared" si="30"/>
        <v>44976</v>
      </c>
      <c r="L111" s="77">
        <f t="shared" si="30"/>
        <v>83229.91</v>
      </c>
      <c r="M111" s="77">
        <f t="shared" si="30"/>
        <v>90762</v>
      </c>
      <c r="N111" s="78">
        <f t="shared" si="29"/>
        <v>208766.92</v>
      </c>
      <c r="O111" s="78">
        <f t="shared" si="29"/>
        <v>167263</v>
      </c>
      <c r="P111" s="79">
        <f t="shared" si="19"/>
        <v>69588.973333333342</v>
      </c>
      <c r="Q111" s="79">
        <f t="shared" si="19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 t="shared" ref="AB111:AG111" si="31">ROUND(SUM(AB103:AB110),5)</f>
        <v>0</v>
      </c>
      <c r="AC111" s="78">
        <f t="shared" si="31"/>
        <v>0</v>
      </c>
      <c r="AD111" s="78">
        <f t="shared" si="31"/>
        <v>0</v>
      </c>
      <c r="AE111" s="78">
        <f t="shared" si="31"/>
        <v>0</v>
      </c>
      <c r="AF111" s="78">
        <f t="shared" si="31"/>
        <v>0</v>
      </c>
      <c r="AG111" s="78">
        <f t="shared" si="31"/>
        <v>0</v>
      </c>
    </row>
    <row r="112" spans="1:33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19"/>
        <v>0</v>
      </c>
      <c r="Q112" s="69">
        <f t="shared" si="19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  <c r="AF112" s="66"/>
      <c r="AG112" s="66"/>
    </row>
    <row r="113" spans="1:36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32">ROUND(H113+J113+L113,5)</f>
        <v>453828.9</v>
      </c>
      <c r="O113" s="66">
        <f t="shared" si="32"/>
        <v>406218</v>
      </c>
      <c r="P113" s="69">
        <f t="shared" si="19"/>
        <v>151276.30000000002</v>
      </c>
      <c r="Q113" s="69">
        <f t="shared" si="19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</row>
    <row r="114" spans="1:36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32"/>
        <v>0</v>
      </c>
      <c r="O114" s="73">
        <f t="shared" si="32"/>
        <v>0</v>
      </c>
      <c r="P114" s="74">
        <f t="shared" si="19"/>
        <v>0</v>
      </c>
      <c r="Q114" s="74">
        <f t="shared" si="19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</row>
    <row r="115" spans="1:36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33">ROUND(SUM(H112:H114),5)</f>
        <v>57491.4</v>
      </c>
      <c r="I115" s="63">
        <f t="shared" si="33"/>
        <v>406218</v>
      </c>
      <c r="J115" s="64">
        <f t="shared" si="33"/>
        <v>150471.5</v>
      </c>
      <c r="K115" s="64">
        <f t="shared" si="33"/>
        <v>0</v>
      </c>
      <c r="L115" s="65">
        <f t="shared" si="33"/>
        <v>245866</v>
      </c>
      <c r="M115" s="65">
        <f t="shared" si="33"/>
        <v>0</v>
      </c>
      <c r="N115" s="66">
        <f t="shared" si="32"/>
        <v>453828.9</v>
      </c>
      <c r="O115" s="66">
        <f t="shared" si="32"/>
        <v>406218</v>
      </c>
      <c r="P115" s="69">
        <f t="shared" si="19"/>
        <v>151276.30000000002</v>
      </c>
      <c r="Q115" s="69">
        <f t="shared" si="19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</row>
    <row r="116" spans="1:36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34">ROUND(H8+H15+H39+H45+SUM(H62:H63)+H71+H84+H90+H102+H111+SUM(H115:H115),5)</f>
        <v>760409.73</v>
      </c>
      <c r="I116" s="75">
        <f t="shared" si="34"/>
        <v>912984</v>
      </c>
      <c r="J116" s="76">
        <f t="shared" si="34"/>
        <v>855809.22</v>
      </c>
      <c r="K116" s="76">
        <f t="shared" si="34"/>
        <v>904615.38</v>
      </c>
      <c r="L116" s="77">
        <f t="shared" si="34"/>
        <v>1036241.61</v>
      </c>
      <c r="M116" s="77">
        <f t="shared" si="34"/>
        <v>926829</v>
      </c>
      <c r="N116" s="78">
        <f t="shared" si="32"/>
        <v>2652460.56</v>
      </c>
      <c r="O116" s="78">
        <f t="shared" si="32"/>
        <v>2744428.38</v>
      </c>
      <c r="P116" s="79">
        <f t="shared" si="19"/>
        <v>884153.52</v>
      </c>
      <c r="Q116" s="79">
        <f t="shared" si="19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 t="shared" ref="AB116:AF116" si="35">ROUND(AB8+AB15+AB39+AB45+SUM(AB62:AB63)+AB71+AB84+AB90+AB102+AB111+SUM(AB115:AB115),5)</f>
        <v>960784.8</v>
      </c>
      <c r="AC116" s="80">
        <f t="shared" si="35"/>
        <v>960784.8</v>
      </c>
      <c r="AD116" s="80">
        <f t="shared" si="35"/>
        <v>1026054.2</v>
      </c>
      <c r="AE116" s="80">
        <f t="shared" si="35"/>
        <v>1026054.2</v>
      </c>
      <c r="AF116" s="80">
        <f t="shared" si="35"/>
        <v>1026054.2</v>
      </c>
      <c r="AG116" s="80">
        <f>ROUND(AG8+AG15+AG39+AG45+SUM(AG62:AG63)+AG71+AG84+AG90+AG102+AG111+SUM(AG115:AG115),0)</f>
        <v>1026054</v>
      </c>
      <c r="AI116" s="176" t="s">
        <v>971</v>
      </c>
      <c r="AJ116" s="112"/>
    </row>
    <row r="117" spans="1:36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19"/>
        <v>0</v>
      </c>
      <c r="Q117" s="69">
        <f t="shared" si="19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  <c r="AF117" s="66"/>
      <c r="AG117" s="66"/>
    </row>
    <row r="118" spans="1:36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19"/>
        <v>0</v>
      </c>
      <c r="Q118" s="69">
        <f t="shared" si="19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  <c r="AG118" s="66">
        <v>1108895</v>
      </c>
    </row>
    <row r="119" spans="1:36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36">ROUND(H119+J119+L119,5)</f>
        <v>488400</v>
      </c>
      <c r="O119" s="66">
        <f t="shared" si="36"/>
        <v>485585</v>
      </c>
      <c r="P119" s="69">
        <f t="shared" si="19"/>
        <v>162800</v>
      </c>
      <c r="Q119" s="69">
        <f t="shared" si="19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  <c r="AF119" s="66"/>
      <c r="AG119" s="66"/>
    </row>
    <row r="120" spans="1:36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36"/>
        <v>399075</v>
      </c>
      <c r="O120" s="66">
        <f t="shared" si="36"/>
        <v>126010</v>
      </c>
      <c r="P120" s="69">
        <f t="shared" si="19"/>
        <v>133025</v>
      </c>
      <c r="Q120" s="69">
        <f t="shared" si="19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  <c r="AF120" s="66"/>
      <c r="AG120" s="66"/>
    </row>
    <row r="121" spans="1:36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36"/>
        <v>265</v>
      </c>
      <c r="O121" s="66">
        <f t="shared" si="36"/>
        <v>0</v>
      </c>
      <c r="P121" s="69">
        <f t="shared" si="19"/>
        <v>88.333333333333329</v>
      </c>
      <c r="Q121" s="69">
        <f t="shared" si="19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  <c r="AF121" s="66"/>
      <c r="AG121" s="66"/>
    </row>
    <row r="122" spans="1:36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36"/>
        <v>265</v>
      </c>
      <c r="O122" s="66">
        <f t="shared" si="36"/>
        <v>91390</v>
      </c>
      <c r="P122" s="69">
        <f t="shared" si="19"/>
        <v>88.333333333333329</v>
      </c>
      <c r="Q122" s="69">
        <f t="shared" si="19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  <c r="AF122" s="66"/>
      <c r="AG122" s="66"/>
    </row>
    <row r="123" spans="1:36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36"/>
        <v>98830</v>
      </c>
      <c r="O123" s="66">
        <f t="shared" si="36"/>
        <v>125165</v>
      </c>
      <c r="P123" s="69">
        <f t="shared" si="19"/>
        <v>32943.333333333336</v>
      </c>
      <c r="Q123" s="69">
        <f t="shared" si="19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  <c r="AF123" s="66"/>
      <c r="AG123" s="66"/>
    </row>
    <row r="124" spans="1:36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37">ROUND(SUM(H118:H123),5)</f>
        <v>322815</v>
      </c>
      <c r="I124" s="75">
        <f t="shared" si="37"/>
        <v>280085</v>
      </c>
      <c r="J124" s="76">
        <f t="shared" si="37"/>
        <v>327395</v>
      </c>
      <c r="K124" s="76">
        <f t="shared" si="37"/>
        <v>231075</v>
      </c>
      <c r="L124" s="77">
        <f t="shared" si="37"/>
        <v>336625</v>
      </c>
      <c r="M124" s="77">
        <f t="shared" si="37"/>
        <v>316990</v>
      </c>
      <c r="N124" s="78">
        <f t="shared" si="36"/>
        <v>986835</v>
      </c>
      <c r="O124" s="78">
        <f t="shared" si="36"/>
        <v>828150</v>
      </c>
      <c r="P124" s="79">
        <f t="shared" si="19"/>
        <v>328945</v>
      </c>
      <c r="Q124" s="79">
        <f t="shared" si="19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 t="shared" ref="AB124:AG124" si="38">ROUND(SUM(AB118:AB123),5)</f>
        <v>1043950</v>
      </c>
      <c r="AC124" s="78">
        <f t="shared" si="38"/>
        <v>1043950</v>
      </c>
      <c r="AD124" s="78">
        <f t="shared" si="38"/>
        <v>1043950</v>
      </c>
      <c r="AE124" s="78">
        <f t="shared" si="38"/>
        <v>1043950</v>
      </c>
      <c r="AF124" s="78">
        <f t="shared" si="38"/>
        <v>1069055</v>
      </c>
      <c r="AG124" s="78">
        <f t="shared" si="38"/>
        <v>1108895</v>
      </c>
    </row>
    <row r="125" spans="1:36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19"/>
        <v>0</v>
      </c>
      <c r="Q125" s="69">
        <f t="shared" si="19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  <c r="AF125" s="66"/>
      <c r="AG125" s="66"/>
    </row>
    <row r="126" spans="1:36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39">ROUND(H126+J126+L126,5)</f>
        <v>294615</v>
      </c>
      <c r="O126" s="66">
        <f t="shared" si="39"/>
        <v>236035</v>
      </c>
      <c r="P126" s="69">
        <f t="shared" si="19"/>
        <v>98205</v>
      </c>
      <c r="Q126" s="69">
        <f t="shared" si="19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  <c r="AF126" s="66"/>
      <c r="AG126" s="66"/>
    </row>
    <row r="127" spans="1:36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39"/>
        <v>96940</v>
      </c>
      <c r="O127" s="66">
        <f t="shared" si="39"/>
        <v>135795</v>
      </c>
      <c r="P127" s="69">
        <f t="shared" si="19"/>
        <v>32313.333333333332</v>
      </c>
      <c r="Q127" s="69">
        <f t="shared" si="19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  <c r="AF127" s="66"/>
      <c r="AG127" s="66"/>
    </row>
    <row r="128" spans="1:36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39"/>
        <v>69790</v>
      </c>
      <c r="O128" s="66">
        <f t="shared" si="39"/>
        <v>111720</v>
      </c>
      <c r="P128" s="69">
        <f t="shared" si="19"/>
        <v>23263.333333333332</v>
      </c>
      <c r="Q128" s="69">
        <f t="shared" si="19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  <c r="AF128" s="66"/>
      <c r="AG128" s="66"/>
    </row>
    <row r="129" spans="1:33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39"/>
        <v>81000</v>
      </c>
      <c r="O129" s="73">
        <f t="shared" si="39"/>
        <v>99880</v>
      </c>
      <c r="P129" s="74">
        <f t="shared" si="19"/>
        <v>27000</v>
      </c>
      <c r="Q129" s="74">
        <f t="shared" si="19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  <c r="AF129" s="73"/>
      <c r="AG129" s="73"/>
    </row>
    <row r="130" spans="1:33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40">ROUND(SUM(H125:H129),5)</f>
        <v>172910</v>
      </c>
      <c r="I130" s="63">
        <f t="shared" si="40"/>
        <v>222395</v>
      </c>
      <c r="J130" s="64">
        <f t="shared" si="40"/>
        <v>180035</v>
      </c>
      <c r="K130" s="64">
        <f t="shared" si="40"/>
        <v>178545</v>
      </c>
      <c r="L130" s="65">
        <f t="shared" si="40"/>
        <v>189400</v>
      </c>
      <c r="M130" s="65">
        <f t="shared" si="40"/>
        <v>182490</v>
      </c>
      <c r="N130" s="66">
        <f t="shared" si="39"/>
        <v>542345</v>
      </c>
      <c r="O130" s="66">
        <f t="shared" si="39"/>
        <v>583430</v>
      </c>
      <c r="P130" s="69">
        <f t="shared" si="19"/>
        <v>180781.66666666666</v>
      </c>
      <c r="Q130" s="69">
        <f t="shared" si="19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 t="shared" ref="AB130:AG130" si="41">ROUND(SUM(AB125:AB129),5)</f>
        <v>0</v>
      </c>
      <c r="AC130" s="66">
        <f t="shared" si="41"/>
        <v>0</v>
      </c>
      <c r="AD130" s="66">
        <f t="shared" si="41"/>
        <v>0</v>
      </c>
      <c r="AE130" s="66">
        <f t="shared" si="41"/>
        <v>0</v>
      </c>
      <c r="AF130" s="66">
        <f t="shared" si="41"/>
        <v>0</v>
      </c>
      <c r="AG130" s="66">
        <f t="shared" si="41"/>
        <v>0</v>
      </c>
    </row>
    <row r="131" spans="1:33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19"/>
        <v>0</v>
      </c>
      <c r="Q131" s="69">
        <f t="shared" si="19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  <c r="AF131" s="66"/>
      <c r="AG131" s="66"/>
    </row>
    <row r="132" spans="1:33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42">ROUND(H132+J132+L132,5)</f>
        <v>59355</v>
      </c>
      <c r="O132" s="66">
        <f t="shared" si="42"/>
        <v>117110</v>
      </c>
      <c r="P132" s="69">
        <f t="shared" si="19"/>
        <v>19785</v>
      </c>
      <c r="Q132" s="69">
        <f t="shared" si="19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  <c r="AF132" s="66"/>
      <c r="AG132" s="66"/>
    </row>
    <row r="133" spans="1:33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42"/>
        <v>22765</v>
      </c>
      <c r="O133" s="66">
        <f t="shared" si="42"/>
        <v>58385</v>
      </c>
      <c r="P133" s="69">
        <f t="shared" si="19"/>
        <v>7588.333333333333</v>
      </c>
      <c r="Q133" s="69">
        <f t="shared" si="19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  <c r="AF133" s="66"/>
      <c r="AG133" s="66"/>
    </row>
    <row r="134" spans="1:33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42"/>
        <v>55100</v>
      </c>
      <c r="O134" s="73">
        <f t="shared" si="42"/>
        <v>63285</v>
      </c>
      <c r="P134" s="74">
        <f t="shared" si="19"/>
        <v>18366.666666666668</v>
      </c>
      <c r="Q134" s="74">
        <f t="shared" si="19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  <c r="AF134" s="73"/>
      <c r="AG134" s="73"/>
    </row>
    <row r="135" spans="1:33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43">ROUND(SUM(H131:H134),5)</f>
        <v>47660</v>
      </c>
      <c r="I135" s="63">
        <f t="shared" si="43"/>
        <v>89480</v>
      </c>
      <c r="J135" s="64">
        <f t="shared" si="43"/>
        <v>50325</v>
      </c>
      <c r="K135" s="64">
        <f t="shared" si="43"/>
        <v>95015</v>
      </c>
      <c r="L135" s="65">
        <f t="shared" si="43"/>
        <v>39235</v>
      </c>
      <c r="M135" s="65">
        <f t="shared" si="43"/>
        <v>54285</v>
      </c>
      <c r="N135" s="66">
        <f t="shared" si="42"/>
        <v>137220</v>
      </c>
      <c r="O135" s="66">
        <f t="shared" si="42"/>
        <v>238780</v>
      </c>
      <c r="P135" s="69">
        <f t="shared" si="19"/>
        <v>45740</v>
      </c>
      <c r="Q135" s="69">
        <f t="shared" si="19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 t="shared" ref="AB135:AG135" si="44">ROUND(SUM(AB131:AB134),5)</f>
        <v>0</v>
      </c>
      <c r="AC135" s="66">
        <f t="shared" si="44"/>
        <v>0</v>
      </c>
      <c r="AD135" s="66">
        <f t="shared" si="44"/>
        <v>0</v>
      </c>
      <c r="AE135" s="66">
        <f t="shared" si="44"/>
        <v>0</v>
      </c>
      <c r="AF135" s="66">
        <f t="shared" si="44"/>
        <v>0</v>
      </c>
      <c r="AG135" s="66">
        <f t="shared" si="44"/>
        <v>0</v>
      </c>
    </row>
    <row r="136" spans="1:33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19"/>
        <v>0</v>
      </c>
      <c r="Q136" s="69">
        <f t="shared" si="19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  <c r="AF136" s="66"/>
      <c r="AG136" s="66"/>
    </row>
    <row r="137" spans="1:33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45">ROUND(H137+J137+L137,5)</f>
        <v>139495</v>
      </c>
      <c r="O137" s="66">
        <f t="shared" si="45"/>
        <v>160315</v>
      </c>
      <c r="P137" s="69">
        <f t="shared" si="19"/>
        <v>46498.333333333336</v>
      </c>
      <c r="Q137" s="69">
        <f t="shared" si="19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  <c r="AF137" s="66"/>
      <c r="AG137" s="66"/>
    </row>
    <row r="138" spans="1:33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45"/>
        <v>11925</v>
      </c>
      <c r="O138" s="66">
        <f t="shared" si="45"/>
        <v>57525</v>
      </c>
      <c r="P138" s="69">
        <f t="shared" ref="P138:Q198" si="46">N138/3</f>
        <v>3975</v>
      </c>
      <c r="Q138" s="69">
        <f t="shared" si="46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  <c r="AF138" s="66"/>
      <c r="AG138" s="66"/>
    </row>
    <row r="139" spans="1:33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45"/>
        <v>54560</v>
      </c>
      <c r="O139" s="66">
        <f t="shared" si="45"/>
        <v>80605</v>
      </c>
      <c r="P139" s="69">
        <f t="shared" si="46"/>
        <v>18186.666666666668</v>
      </c>
      <c r="Q139" s="69">
        <f t="shared" si="46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  <c r="AF139" s="66"/>
      <c r="AG139" s="66"/>
    </row>
    <row r="140" spans="1:33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45"/>
        <v>35915</v>
      </c>
      <c r="O140" s="73">
        <f t="shared" si="45"/>
        <v>52710</v>
      </c>
      <c r="P140" s="74">
        <f t="shared" si="46"/>
        <v>11971.666666666666</v>
      </c>
      <c r="Q140" s="74">
        <f t="shared" si="46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  <c r="AF140" s="73"/>
      <c r="AG140" s="73"/>
    </row>
    <row r="141" spans="1:33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47">ROUND(SUM(H136:H140),5)</f>
        <v>92055</v>
      </c>
      <c r="I141" s="63">
        <f t="shared" si="47"/>
        <v>121215</v>
      </c>
      <c r="J141" s="64">
        <f t="shared" si="47"/>
        <v>73370</v>
      </c>
      <c r="K141" s="64">
        <f t="shared" si="47"/>
        <v>124725</v>
      </c>
      <c r="L141" s="65">
        <f t="shared" si="47"/>
        <v>76470</v>
      </c>
      <c r="M141" s="65">
        <f t="shared" si="47"/>
        <v>105215</v>
      </c>
      <c r="N141" s="66">
        <f t="shared" si="45"/>
        <v>241895</v>
      </c>
      <c r="O141" s="66">
        <f t="shared" si="45"/>
        <v>351155</v>
      </c>
      <c r="P141" s="69">
        <f t="shared" si="46"/>
        <v>80631.666666666672</v>
      </c>
      <c r="Q141" s="69">
        <f t="shared" si="46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 t="shared" ref="AB141:AG141" si="48">ROUND(SUM(AB136:AB140),5)</f>
        <v>0</v>
      </c>
      <c r="AC141" s="66">
        <f t="shared" si="48"/>
        <v>0</v>
      </c>
      <c r="AD141" s="66">
        <f t="shared" si="48"/>
        <v>0</v>
      </c>
      <c r="AE141" s="66">
        <f t="shared" si="48"/>
        <v>0</v>
      </c>
      <c r="AF141" s="66">
        <f t="shared" si="48"/>
        <v>0</v>
      </c>
      <c r="AG141" s="66">
        <f t="shared" si="48"/>
        <v>0</v>
      </c>
    </row>
    <row r="142" spans="1:33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46"/>
        <v>0</v>
      </c>
      <c r="Q142" s="69">
        <f t="shared" si="46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  <c r="AF142" s="66"/>
      <c r="AG142" s="66"/>
    </row>
    <row r="143" spans="1:33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46"/>
        <v>-129721.66666666667</v>
      </c>
      <c r="Q143" s="74">
        <f t="shared" si="46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  <c r="AG143" s="73">
        <f>ROUND(-121383.54, 0)</f>
        <v>-121384</v>
      </c>
    </row>
    <row r="144" spans="1:33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49">ROUND(SUM(H142:H143),5)</f>
        <v>-125650</v>
      </c>
      <c r="I144" s="63">
        <f t="shared" si="49"/>
        <v>-126150</v>
      </c>
      <c r="J144" s="64">
        <f t="shared" si="49"/>
        <v>-133460</v>
      </c>
      <c r="K144" s="64">
        <f t="shared" si="49"/>
        <v>-130115.02</v>
      </c>
      <c r="L144" s="65">
        <f t="shared" si="49"/>
        <v>-130055</v>
      </c>
      <c r="M144" s="65">
        <f t="shared" si="49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46"/>
        <v>-129721.66666666667</v>
      </c>
      <c r="Q144" s="69">
        <f t="shared" si="46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 t="shared" ref="AB144:AG144" si="50">ROUND(SUM(AB142:AB143),5)</f>
        <v>-116261.69</v>
      </c>
      <c r="AC144" s="66">
        <f t="shared" si="50"/>
        <v>-116261.69</v>
      </c>
      <c r="AD144" s="66">
        <f t="shared" si="50"/>
        <v>-116261.69</v>
      </c>
      <c r="AE144" s="66">
        <f t="shared" si="50"/>
        <v>-116261.69</v>
      </c>
      <c r="AF144" s="66">
        <f t="shared" si="50"/>
        <v>-118175</v>
      </c>
      <c r="AG144" s="66">
        <f t="shared" si="50"/>
        <v>-121384</v>
      </c>
    </row>
    <row r="145" spans="1:35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46"/>
        <v>0</v>
      </c>
      <c r="Q145" s="69">
        <f t="shared" si="46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F145" s="66"/>
      <c r="AG145" s="66"/>
      <c r="AI145" s="173"/>
    </row>
    <row r="146" spans="1:35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51">ROUND(H146+J146+L146,5)</f>
        <v>15355</v>
      </c>
      <c r="O146" s="66">
        <f t="shared" si="51"/>
        <v>40980</v>
      </c>
      <c r="P146" s="69">
        <f t="shared" si="46"/>
        <v>5118.333333333333</v>
      </c>
      <c r="Q146" s="69">
        <f t="shared" si="46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  <c r="AF146" s="66"/>
      <c r="AG146" s="66"/>
    </row>
    <row r="147" spans="1:35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51"/>
        <v>11325</v>
      </c>
      <c r="O147" s="66">
        <f t="shared" si="51"/>
        <v>40155</v>
      </c>
      <c r="P147" s="69">
        <f t="shared" si="46"/>
        <v>3775</v>
      </c>
      <c r="Q147" s="69">
        <f t="shared" si="46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  <c r="AF147" s="66"/>
      <c r="AG147" s="66"/>
    </row>
    <row r="148" spans="1:35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51"/>
        <v>13910</v>
      </c>
      <c r="O148" s="66">
        <f t="shared" si="51"/>
        <v>41310</v>
      </c>
      <c r="P148" s="69">
        <f t="shared" si="46"/>
        <v>4636.666666666667</v>
      </c>
      <c r="Q148" s="69">
        <f t="shared" si="46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  <c r="AF148" s="66"/>
      <c r="AG148" s="66"/>
    </row>
    <row r="149" spans="1:35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51"/>
        <v>14095</v>
      </c>
      <c r="O149" s="66">
        <f t="shared" si="51"/>
        <v>40355</v>
      </c>
      <c r="P149" s="69">
        <f t="shared" si="46"/>
        <v>4698.333333333333</v>
      </c>
      <c r="Q149" s="69">
        <f t="shared" si="46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  <c r="AF149" s="66"/>
      <c r="AG149" s="66"/>
    </row>
    <row r="150" spans="1:35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51"/>
        <v>25215</v>
      </c>
      <c r="O150" s="73">
        <f t="shared" si="51"/>
        <v>66355</v>
      </c>
      <c r="P150" s="74">
        <f t="shared" si="46"/>
        <v>8405</v>
      </c>
      <c r="Q150" s="74">
        <f t="shared" si="46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  <c r="AF150" s="73"/>
      <c r="AG150" s="73"/>
    </row>
    <row r="151" spans="1:35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52">ROUND(SUM(H145:H150),5)</f>
        <v>28635</v>
      </c>
      <c r="I151" s="63">
        <f t="shared" si="52"/>
        <v>84725</v>
      </c>
      <c r="J151" s="64">
        <f t="shared" si="52"/>
        <v>25420</v>
      </c>
      <c r="K151" s="64">
        <f t="shared" si="52"/>
        <v>100435</v>
      </c>
      <c r="L151" s="65">
        <f t="shared" si="52"/>
        <v>25845</v>
      </c>
      <c r="M151" s="65">
        <f t="shared" si="52"/>
        <v>43995</v>
      </c>
      <c r="N151" s="66">
        <f t="shared" si="51"/>
        <v>79900</v>
      </c>
      <c r="O151" s="66">
        <f t="shared" si="51"/>
        <v>229155</v>
      </c>
      <c r="P151" s="69">
        <f t="shared" si="46"/>
        <v>26633.333333333332</v>
      </c>
      <c r="Q151" s="69">
        <f t="shared" si="46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 t="shared" ref="AB151:AG151" si="53">ROUND(SUM(AB145:AB150),5)</f>
        <v>0</v>
      </c>
      <c r="AC151" s="66">
        <f t="shared" si="53"/>
        <v>0</v>
      </c>
      <c r="AD151" s="66">
        <f t="shared" si="53"/>
        <v>0</v>
      </c>
      <c r="AE151" s="66">
        <f t="shared" si="53"/>
        <v>0</v>
      </c>
      <c r="AF151" s="66">
        <f t="shared" si="53"/>
        <v>0</v>
      </c>
      <c r="AG151" s="66">
        <f t="shared" si="53"/>
        <v>0</v>
      </c>
    </row>
    <row r="152" spans="1:35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46"/>
        <v>0</v>
      </c>
      <c r="Q152" s="69">
        <f t="shared" si="46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  <c r="AF152" s="66"/>
      <c r="AG152" s="66"/>
    </row>
    <row r="153" spans="1:35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54">ROUND(H153+J153+L153,5)</f>
        <v>158780</v>
      </c>
      <c r="O153" s="66">
        <f t="shared" si="54"/>
        <v>106120</v>
      </c>
      <c r="P153" s="69">
        <f t="shared" si="46"/>
        <v>52926.666666666664</v>
      </c>
      <c r="Q153" s="69">
        <f t="shared" si="46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  <c r="AF153" s="66"/>
      <c r="AG153" s="66"/>
    </row>
    <row r="154" spans="1:35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54"/>
        <v>0</v>
      </c>
      <c r="O154" s="66">
        <f t="shared" si="54"/>
        <v>0</v>
      </c>
      <c r="P154" s="69">
        <f t="shared" si="46"/>
        <v>0</v>
      </c>
      <c r="Q154" s="69">
        <f t="shared" si="46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  <c r="AF154" s="66"/>
      <c r="AG154" s="66"/>
    </row>
    <row r="155" spans="1:35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54"/>
        <v>20005</v>
      </c>
      <c r="O155" s="73">
        <f t="shared" si="54"/>
        <v>57720</v>
      </c>
      <c r="P155" s="74">
        <f t="shared" si="46"/>
        <v>6668.333333333333</v>
      </c>
      <c r="Q155" s="74">
        <f t="shared" si="46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  <c r="AF155" s="73"/>
      <c r="AG155" s="73"/>
    </row>
    <row r="156" spans="1:35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55">ROUND(SUM(H152:H155),5)</f>
        <v>49410</v>
      </c>
      <c r="I156" s="63">
        <f t="shared" si="55"/>
        <v>53770</v>
      </c>
      <c r="J156" s="64">
        <f t="shared" si="55"/>
        <v>64775</v>
      </c>
      <c r="K156" s="64">
        <f t="shared" si="55"/>
        <v>53565</v>
      </c>
      <c r="L156" s="65">
        <f t="shared" si="55"/>
        <v>64600</v>
      </c>
      <c r="M156" s="65">
        <f t="shared" si="55"/>
        <v>56505</v>
      </c>
      <c r="N156" s="66">
        <f t="shared" si="54"/>
        <v>178785</v>
      </c>
      <c r="O156" s="66">
        <f t="shared" si="54"/>
        <v>163840</v>
      </c>
      <c r="P156" s="69">
        <f t="shared" si="46"/>
        <v>59595</v>
      </c>
      <c r="Q156" s="69">
        <f t="shared" si="46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 t="shared" ref="AB156:AG156" si="56">ROUND(SUM(AB152:AB155),5)</f>
        <v>0</v>
      </c>
      <c r="AC156" s="66">
        <f t="shared" si="56"/>
        <v>0</v>
      </c>
      <c r="AD156" s="66">
        <f t="shared" si="56"/>
        <v>0</v>
      </c>
      <c r="AE156" s="66">
        <f t="shared" si="56"/>
        <v>0</v>
      </c>
      <c r="AF156" s="66">
        <f t="shared" si="56"/>
        <v>0</v>
      </c>
      <c r="AG156" s="66">
        <f t="shared" si="56"/>
        <v>0</v>
      </c>
    </row>
    <row r="157" spans="1:35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46"/>
        <v>0</v>
      </c>
      <c r="Q157" s="69">
        <f t="shared" si="46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  <c r="AF157" s="66"/>
      <c r="AG157" s="66"/>
    </row>
    <row r="158" spans="1:35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46"/>
        <v>44666.666666666664</v>
      </c>
      <c r="Q158" s="74">
        <f t="shared" si="46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  <c r="AF158" s="73"/>
      <c r="AG158" s="73"/>
    </row>
    <row r="159" spans="1:35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57">ROUND(SUM(H157:H158),5)</f>
        <v>40160</v>
      </c>
      <c r="I159" s="63">
        <f t="shared" si="57"/>
        <v>39540</v>
      </c>
      <c r="J159" s="64">
        <f t="shared" si="57"/>
        <v>42655</v>
      </c>
      <c r="K159" s="64">
        <f t="shared" si="57"/>
        <v>40060</v>
      </c>
      <c r="L159" s="65">
        <f t="shared" si="57"/>
        <v>51185</v>
      </c>
      <c r="M159" s="65">
        <f t="shared" si="57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46"/>
        <v>44666.666666666664</v>
      </c>
      <c r="Q159" s="69">
        <f t="shared" si="46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 t="shared" ref="AB159:AG159" si="58">ROUND(SUM(AB157:AB158),5)</f>
        <v>0</v>
      </c>
      <c r="AC159" s="66">
        <f t="shared" si="58"/>
        <v>0</v>
      </c>
      <c r="AD159" s="66">
        <f t="shared" si="58"/>
        <v>0</v>
      </c>
      <c r="AE159" s="66">
        <f t="shared" si="58"/>
        <v>0</v>
      </c>
      <c r="AF159" s="66">
        <f t="shared" si="58"/>
        <v>0</v>
      </c>
      <c r="AG159" s="66">
        <f t="shared" si="58"/>
        <v>0</v>
      </c>
    </row>
    <row r="160" spans="1:35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46"/>
        <v>0</v>
      </c>
      <c r="Q160" s="69">
        <f t="shared" si="46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  <c r="AF160" s="66"/>
      <c r="AG160" s="66"/>
    </row>
    <row r="161" spans="1:41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59">ROUND(H161+J161+L161,5)</f>
        <v>246750</v>
      </c>
      <c r="O161" s="66">
        <f t="shared" si="59"/>
        <v>185670</v>
      </c>
      <c r="P161" s="69">
        <f t="shared" si="46"/>
        <v>82250</v>
      </c>
      <c r="Q161" s="69">
        <f t="shared" si="46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  <c r="AF161" s="66"/>
      <c r="AG161" s="66"/>
    </row>
    <row r="162" spans="1:41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59"/>
        <v>151865</v>
      </c>
      <c r="O162" s="66">
        <f t="shared" si="59"/>
        <v>108245</v>
      </c>
      <c r="P162" s="69">
        <f t="shared" si="46"/>
        <v>50621.666666666664</v>
      </c>
      <c r="Q162" s="69">
        <f t="shared" si="46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  <c r="AF162" s="66"/>
      <c r="AG162" s="66"/>
    </row>
    <row r="163" spans="1:41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59"/>
        <v>110740</v>
      </c>
      <c r="O163" s="73">
        <f t="shared" si="59"/>
        <v>97550</v>
      </c>
      <c r="P163" s="74">
        <f t="shared" si="46"/>
        <v>36913.333333333336</v>
      </c>
      <c r="Q163" s="74">
        <f t="shared" si="46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  <c r="AF163" s="73"/>
      <c r="AG163" s="73"/>
    </row>
    <row r="164" spans="1:41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60">ROUND(SUM(H160:H163),5)</f>
        <v>154940</v>
      </c>
      <c r="I164" s="63">
        <f t="shared" si="60"/>
        <v>123940</v>
      </c>
      <c r="J164" s="64">
        <f t="shared" si="60"/>
        <v>167910</v>
      </c>
      <c r="K164" s="64">
        <f t="shared" si="60"/>
        <v>108130</v>
      </c>
      <c r="L164" s="65">
        <f t="shared" si="60"/>
        <v>186505</v>
      </c>
      <c r="M164" s="65">
        <f t="shared" si="60"/>
        <v>159395</v>
      </c>
      <c r="N164" s="66">
        <f t="shared" si="59"/>
        <v>509355</v>
      </c>
      <c r="O164" s="66">
        <f t="shared" si="59"/>
        <v>391465</v>
      </c>
      <c r="P164" s="69">
        <f t="shared" si="46"/>
        <v>169785</v>
      </c>
      <c r="Q164" s="69">
        <f t="shared" si="46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 t="shared" ref="AB164:AG164" si="61">ROUND(SUM(AB160:AB163),5)</f>
        <v>0</v>
      </c>
      <c r="AC164" s="66">
        <f t="shared" si="61"/>
        <v>0</v>
      </c>
      <c r="AD164" s="66">
        <f t="shared" si="61"/>
        <v>0</v>
      </c>
      <c r="AE164" s="66">
        <f t="shared" si="61"/>
        <v>0</v>
      </c>
      <c r="AF164" s="66">
        <f t="shared" si="61"/>
        <v>0</v>
      </c>
      <c r="AG164" s="66">
        <f t="shared" si="61"/>
        <v>0</v>
      </c>
    </row>
    <row r="165" spans="1:41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46"/>
        <v>0</v>
      </c>
      <c r="Q165" s="69">
        <f t="shared" si="46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  <c r="AF165" s="66"/>
      <c r="AG165" s="66"/>
    </row>
    <row r="166" spans="1:41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62">ROUND(H166+J166+L166,5)</f>
        <v>223285</v>
      </c>
      <c r="O166" s="66">
        <f t="shared" si="62"/>
        <v>112600</v>
      </c>
      <c r="P166" s="69">
        <f t="shared" si="46"/>
        <v>74428.333333333328</v>
      </c>
      <c r="Q166" s="69">
        <f t="shared" si="46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  <c r="AF166" s="66"/>
      <c r="AG166" s="66"/>
    </row>
    <row r="167" spans="1:41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62"/>
        <v>1035</v>
      </c>
      <c r="O167" s="73">
        <f t="shared" si="62"/>
        <v>10779.56</v>
      </c>
      <c r="P167" s="74">
        <f t="shared" si="46"/>
        <v>345</v>
      </c>
      <c r="Q167" s="74">
        <f t="shared" si="46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  <c r="AF167" s="73"/>
      <c r="AG167" s="73"/>
    </row>
    <row r="168" spans="1:41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63">ROUND(SUM(H165:H167),5)</f>
        <v>66205</v>
      </c>
      <c r="I168" s="63">
        <f t="shared" si="63"/>
        <v>36000</v>
      </c>
      <c r="J168" s="64">
        <f t="shared" si="63"/>
        <v>76590</v>
      </c>
      <c r="K168" s="64">
        <f t="shared" si="63"/>
        <v>32349.56</v>
      </c>
      <c r="L168" s="65">
        <f t="shared" si="63"/>
        <v>81525</v>
      </c>
      <c r="M168" s="65">
        <f t="shared" si="63"/>
        <v>55030</v>
      </c>
      <c r="N168" s="66">
        <f t="shared" si="62"/>
        <v>224320</v>
      </c>
      <c r="O168" s="66">
        <f t="shared" si="62"/>
        <v>123379.56</v>
      </c>
      <c r="P168" s="69">
        <f t="shared" si="46"/>
        <v>74773.333333333328</v>
      </c>
      <c r="Q168" s="69">
        <f t="shared" si="46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 t="shared" ref="AB168:AG168" si="64">ROUND(SUM(AB165:AB167),5)</f>
        <v>0</v>
      </c>
      <c r="AC168" s="66">
        <f t="shared" si="64"/>
        <v>0</v>
      </c>
      <c r="AD168" s="66">
        <f t="shared" si="64"/>
        <v>0</v>
      </c>
      <c r="AE168" s="66">
        <f t="shared" si="64"/>
        <v>0</v>
      </c>
      <c r="AF168" s="66">
        <f t="shared" si="64"/>
        <v>0</v>
      </c>
      <c r="AG168" s="66">
        <f t="shared" si="64"/>
        <v>0</v>
      </c>
    </row>
    <row r="169" spans="1:41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62"/>
        <v>0</v>
      </c>
      <c r="O169" s="73">
        <f t="shared" si="62"/>
        <v>0</v>
      </c>
      <c r="P169" s="74">
        <f t="shared" si="46"/>
        <v>0</v>
      </c>
      <c r="Q169" s="74">
        <f t="shared" si="46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  <c r="AG169" s="73">
        <v>0</v>
      </c>
    </row>
    <row r="170" spans="1:41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65">ROUND(H117+H124+H130+H135+H141+H144+H151+H156+H159+H164+SUM(H168:H169),5)</f>
        <v>849140</v>
      </c>
      <c r="I170" s="63">
        <f t="shared" si="65"/>
        <v>925000</v>
      </c>
      <c r="J170" s="64">
        <f t="shared" si="65"/>
        <v>875015</v>
      </c>
      <c r="K170" s="64">
        <f t="shared" si="65"/>
        <v>833784.54</v>
      </c>
      <c r="L170" s="65">
        <f t="shared" si="65"/>
        <v>921335</v>
      </c>
      <c r="M170" s="65">
        <f t="shared" si="65"/>
        <v>890121</v>
      </c>
      <c r="N170" s="66">
        <f t="shared" si="62"/>
        <v>2645490</v>
      </c>
      <c r="O170" s="66">
        <f t="shared" si="62"/>
        <v>2648905.54</v>
      </c>
      <c r="P170" s="69">
        <f t="shared" si="46"/>
        <v>881830</v>
      </c>
      <c r="Q170" s="69">
        <f t="shared" si="46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 t="shared" ref="AB170:AG170" si="66">ROUND(AB117+AB124+AB130+AB135+AB141+AB144+AB151+AB156+AB159+AB164+SUM(AB168:AB169),5)</f>
        <v>927688.31</v>
      </c>
      <c r="AC170" s="80">
        <f t="shared" si="66"/>
        <v>927688.31</v>
      </c>
      <c r="AD170" s="80">
        <f t="shared" si="66"/>
        <v>927688.31</v>
      </c>
      <c r="AE170" s="80">
        <f t="shared" si="66"/>
        <v>927688.31</v>
      </c>
      <c r="AF170" s="80">
        <f t="shared" si="66"/>
        <v>950880</v>
      </c>
      <c r="AG170" s="80">
        <f t="shared" si="66"/>
        <v>987511</v>
      </c>
      <c r="AH170" s="173"/>
      <c r="AI170" s="176" t="s">
        <v>988</v>
      </c>
      <c r="AO170" s="318" t="s">
        <v>996</v>
      </c>
    </row>
    <row r="171" spans="1:41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46"/>
        <v>0</v>
      </c>
      <c r="Q171" s="69">
        <f t="shared" si="46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  <c r="AF171" s="66"/>
      <c r="AG171" s="66"/>
      <c r="AO171" s="318"/>
    </row>
    <row r="172" spans="1:41" ht="58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67">ROUND(H172+J172+L172,5)</f>
        <v>322169.82</v>
      </c>
      <c r="O172" s="66">
        <f t="shared" si="67"/>
        <v>137000</v>
      </c>
      <c r="P172" s="69">
        <f t="shared" si="46"/>
        <v>107389.94</v>
      </c>
      <c r="Q172" s="69">
        <f t="shared" si="46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G172" s="66">
        <f>130000+264250+77125</f>
        <v>471375</v>
      </c>
      <c r="AH172" s="206" t="s">
        <v>1000</v>
      </c>
      <c r="AI172" s="102" t="s">
        <v>945</v>
      </c>
      <c r="AL172" s="62" t="s">
        <v>947</v>
      </c>
      <c r="AM172" s="159">
        <v>30000</v>
      </c>
      <c r="AO172" s="171">
        <f>AM172/5</f>
        <v>6000</v>
      </c>
    </row>
    <row r="173" spans="1:41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67"/>
        <v>242478.99</v>
      </c>
      <c r="O173" s="66">
        <f t="shared" si="67"/>
        <v>253000</v>
      </c>
      <c r="P173" s="69">
        <f>N173/3</f>
        <v>80826.33</v>
      </c>
      <c r="Q173" s="69">
        <f t="shared" si="46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 t="shared" ref="AB173:AG173" si="68">26750+29750+19500+10625</f>
        <v>86625</v>
      </c>
      <c r="AC173" s="66">
        <f t="shared" si="68"/>
        <v>86625</v>
      </c>
      <c r="AD173" s="66">
        <f t="shared" si="68"/>
        <v>86625</v>
      </c>
      <c r="AE173" s="66">
        <f t="shared" si="68"/>
        <v>86625</v>
      </c>
      <c r="AF173" s="66">
        <f t="shared" si="68"/>
        <v>86625</v>
      </c>
      <c r="AG173" s="66">
        <f t="shared" si="68"/>
        <v>86625</v>
      </c>
      <c r="AH173" s="200"/>
      <c r="AL173" s="62">
        <v>307</v>
      </c>
      <c r="AM173" s="159">
        <v>30000</v>
      </c>
      <c r="AN173" s="46" t="s">
        <v>957</v>
      </c>
      <c r="AO173" s="171">
        <f>AM173/5</f>
        <v>6000</v>
      </c>
    </row>
    <row r="174" spans="1:41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67"/>
        <v>7072</v>
      </c>
      <c r="O174" s="66">
        <f t="shared" si="67"/>
        <v>8000</v>
      </c>
      <c r="P174" s="69">
        <f t="shared" si="46"/>
        <v>2357.3333333333335</v>
      </c>
      <c r="Q174" s="69">
        <f t="shared" si="46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L174" s="62">
        <v>308</v>
      </c>
      <c r="AM174" s="159">
        <v>64250</v>
      </c>
      <c r="AN174" s="46" t="s">
        <v>957</v>
      </c>
      <c r="AO174" s="171">
        <f t="shared" ref="AO174:AO179" si="69">AM174/5</f>
        <v>12850</v>
      </c>
    </row>
    <row r="175" spans="1:41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67"/>
        <v>0</v>
      </c>
      <c r="O175" s="66">
        <f t="shared" si="67"/>
        <v>0</v>
      </c>
      <c r="P175" s="69">
        <f t="shared" si="46"/>
        <v>0</v>
      </c>
      <c r="Q175" s="69">
        <f t="shared" si="46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L175" s="62">
        <v>251</v>
      </c>
      <c r="AM175" s="159">
        <v>20000</v>
      </c>
      <c r="AO175" s="171">
        <f t="shared" si="69"/>
        <v>4000</v>
      </c>
    </row>
    <row r="176" spans="1:41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67"/>
        <v>11385</v>
      </c>
      <c r="O176" s="66">
        <f t="shared" si="67"/>
        <v>39800</v>
      </c>
      <c r="P176" s="69">
        <f t="shared" si="46"/>
        <v>3795</v>
      </c>
      <c r="Q176" s="69">
        <f t="shared" si="46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G176" s="66">
        <f>ROUND(7425*1.5, 0)</f>
        <v>11138</v>
      </c>
      <c r="AI176" s="110" t="s">
        <v>989</v>
      </c>
      <c r="AL176" s="62">
        <v>503</v>
      </c>
      <c r="AM176" s="159">
        <v>20000</v>
      </c>
      <c r="AO176" s="171">
        <f t="shared" si="69"/>
        <v>4000</v>
      </c>
    </row>
    <row r="177" spans="1:41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67"/>
        <v>0</v>
      </c>
      <c r="O177" s="66">
        <f t="shared" si="67"/>
        <v>15000</v>
      </c>
      <c r="P177" s="69">
        <f t="shared" si="46"/>
        <v>0</v>
      </c>
      <c r="Q177" s="69">
        <f t="shared" si="46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I177" s="147"/>
      <c r="AL177" s="62" t="s">
        <v>949</v>
      </c>
      <c r="AM177" s="159">
        <v>50000</v>
      </c>
      <c r="AO177" s="171">
        <f t="shared" si="69"/>
        <v>10000</v>
      </c>
    </row>
    <row r="178" spans="1:41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67"/>
        <v>3000</v>
      </c>
      <c r="O178" s="66">
        <f t="shared" si="67"/>
        <v>11000</v>
      </c>
      <c r="P178" s="69">
        <f t="shared" si="46"/>
        <v>1000</v>
      </c>
      <c r="Q178" s="69">
        <f t="shared" si="46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I178" s="147"/>
      <c r="AJ178" s="111"/>
      <c r="AL178" s="62" t="s">
        <v>950</v>
      </c>
      <c r="AM178" s="159">
        <v>50000</v>
      </c>
      <c r="AO178" s="171">
        <f t="shared" si="69"/>
        <v>10000</v>
      </c>
    </row>
    <row r="179" spans="1:41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67"/>
        <v>56296.39</v>
      </c>
      <c r="O179" s="66">
        <f t="shared" si="67"/>
        <v>28065</v>
      </c>
      <c r="P179" s="69">
        <f t="shared" si="46"/>
        <v>18765.463333333333</v>
      </c>
      <c r="Q179" s="69">
        <f t="shared" si="46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G179" s="66">
        <v>16325</v>
      </c>
      <c r="AI179" s="182"/>
      <c r="AJ179" s="111"/>
      <c r="AL179" s="62" t="s">
        <v>951</v>
      </c>
      <c r="AM179" s="159">
        <v>30000</v>
      </c>
      <c r="AO179" s="171">
        <f t="shared" si="69"/>
        <v>6000</v>
      </c>
    </row>
    <row r="180" spans="1:41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67"/>
        <v>9375</v>
      </c>
      <c r="O180" s="66">
        <f t="shared" si="67"/>
        <v>18070</v>
      </c>
      <c r="P180" s="69">
        <f t="shared" si="46"/>
        <v>3125</v>
      </c>
      <c r="Q180" s="69">
        <f t="shared" si="46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G180" s="66">
        <v>10050</v>
      </c>
      <c r="AK180" s="171"/>
      <c r="AL180" s="203" t="s">
        <v>999</v>
      </c>
      <c r="AM180" s="170">
        <f>SUM(AM172:AM179)</f>
        <v>294250</v>
      </c>
      <c r="AO180" s="171"/>
    </row>
    <row r="181" spans="1:41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67"/>
        <v>5322.15</v>
      </c>
      <c r="O181" s="66">
        <f t="shared" si="67"/>
        <v>4200</v>
      </c>
      <c r="P181" s="69">
        <f t="shared" si="46"/>
        <v>1774.05</v>
      </c>
      <c r="Q181" s="69">
        <f t="shared" si="46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G181" s="66">
        <v>1200</v>
      </c>
      <c r="AK181" s="46" t="s">
        <v>998</v>
      </c>
      <c r="AL181" s="204" t="s">
        <v>948</v>
      </c>
      <c r="AM181" s="201">
        <f>AF172-AM180</f>
        <v>100000</v>
      </c>
    </row>
    <row r="182" spans="1:41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70">ROUND(SUM(H171:H181),5)</f>
        <v>94478.28</v>
      </c>
      <c r="I182" s="83">
        <f t="shared" si="70"/>
        <v>186755</v>
      </c>
      <c r="J182" s="84">
        <f t="shared" si="70"/>
        <v>252523.42</v>
      </c>
      <c r="K182" s="84">
        <f t="shared" si="70"/>
        <v>146000</v>
      </c>
      <c r="L182" s="85">
        <f t="shared" si="70"/>
        <v>310097.65000000002</v>
      </c>
      <c r="M182" s="85">
        <f t="shared" si="70"/>
        <v>181380</v>
      </c>
      <c r="N182" s="86">
        <f t="shared" si="67"/>
        <v>657099.35</v>
      </c>
      <c r="O182" s="86">
        <f t="shared" si="67"/>
        <v>514135</v>
      </c>
      <c r="P182" s="87">
        <f t="shared" si="46"/>
        <v>219033.11666666667</v>
      </c>
      <c r="Q182" s="87">
        <f t="shared" si="46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 t="shared" ref="AB182:AG182" si="71">ROUND(SUM(AB171:AB181),5)</f>
        <v>385875</v>
      </c>
      <c r="AC182" s="88">
        <f t="shared" si="71"/>
        <v>385875</v>
      </c>
      <c r="AD182" s="88">
        <f t="shared" si="71"/>
        <v>385875</v>
      </c>
      <c r="AE182" s="88">
        <f t="shared" si="71"/>
        <v>385875</v>
      </c>
      <c r="AF182" s="88">
        <f t="shared" si="71"/>
        <v>515875</v>
      </c>
      <c r="AG182" s="88">
        <f t="shared" si="71"/>
        <v>596713</v>
      </c>
    </row>
    <row r="183" spans="1:41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72">ROUND(H7+H116+H170+H182,5)</f>
        <v>1704028.01</v>
      </c>
      <c r="I183" s="63">
        <f t="shared" si="72"/>
        <v>2024739</v>
      </c>
      <c r="J183" s="64">
        <f t="shared" si="72"/>
        <v>1983347.64</v>
      </c>
      <c r="K183" s="64">
        <f t="shared" si="72"/>
        <v>1884399.92</v>
      </c>
      <c r="L183" s="65">
        <f t="shared" si="72"/>
        <v>2267674.2599999998</v>
      </c>
      <c r="M183" s="65">
        <f t="shared" si="72"/>
        <v>1998330</v>
      </c>
      <c r="N183" s="66">
        <f t="shared" si="67"/>
        <v>5955049.9100000001</v>
      </c>
      <c r="O183" s="66">
        <f t="shared" si="67"/>
        <v>5907468.9199999999</v>
      </c>
      <c r="P183" s="69">
        <f t="shared" si="46"/>
        <v>1985016.6366666667</v>
      </c>
      <c r="Q183" s="69">
        <f t="shared" si="46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 t="shared" ref="AB183:AG183" si="73">ROUND(AB7+AB116+AB170+AB182,5)</f>
        <v>2274348.11</v>
      </c>
      <c r="AC183" s="66">
        <f t="shared" si="73"/>
        <v>2274348.11</v>
      </c>
      <c r="AD183" s="66">
        <f t="shared" si="73"/>
        <v>2339617.5099999998</v>
      </c>
      <c r="AE183" s="66">
        <f t="shared" si="73"/>
        <v>2339617.5099999998</v>
      </c>
      <c r="AF183" s="66">
        <f t="shared" si="73"/>
        <v>2492809.2000000002</v>
      </c>
      <c r="AG183" s="66">
        <f t="shared" si="73"/>
        <v>2610278</v>
      </c>
      <c r="AI183" s="177"/>
      <c r="AL183" s="46" t="s">
        <v>959</v>
      </c>
      <c r="AM183" s="111">
        <f>2800*5</f>
        <v>14000</v>
      </c>
      <c r="AO183" s="112">
        <f>AM183/5</f>
        <v>2800</v>
      </c>
    </row>
    <row r="184" spans="1:41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46"/>
        <v>0</v>
      </c>
      <c r="Q184" s="69">
        <f t="shared" si="46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  <c r="AF184" s="66"/>
      <c r="AG184" s="66"/>
      <c r="AI184" s="178"/>
      <c r="AL184" s="46" t="s">
        <v>960</v>
      </c>
      <c r="AM184" s="111">
        <v>10000</v>
      </c>
      <c r="AO184" s="112">
        <f>AM184/5</f>
        <v>2000</v>
      </c>
    </row>
    <row r="185" spans="1:41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74">ROUND(H185+J185+L185,5)</f>
        <v>465847.8</v>
      </c>
      <c r="O185" s="66">
        <f t="shared" si="74"/>
        <v>521768</v>
      </c>
      <c r="P185" s="69">
        <f t="shared" si="46"/>
        <v>155282.6</v>
      </c>
      <c r="Q185" s="69">
        <f t="shared" si="46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 t="shared" ref="AB185:AG185" si="75">ROUND(94796.75, 0)</f>
        <v>94797</v>
      </c>
      <c r="AC185" s="66">
        <f t="shared" si="75"/>
        <v>94797</v>
      </c>
      <c r="AD185" s="66">
        <f t="shared" si="75"/>
        <v>94797</v>
      </c>
      <c r="AE185" s="66">
        <f t="shared" si="75"/>
        <v>94797</v>
      </c>
      <c r="AF185" s="66">
        <f t="shared" si="75"/>
        <v>94797</v>
      </c>
      <c r="AG185" s="66">
        <f t="shared" si="75"/>
        <v>94797</v>
      </c>
      <c r="AI185" s="179"/>
      <c r="AL185" s="46" t="s">
        <v>961</v>
      </c>
      <c r="AM185" s="111">
        <v>20000</v>
      </c>
      <c r="AO185" s="112">
        <f>AM185/5</f>
        <v>4000</v>
      </c>
    </row>
    <row r="186" spans="1:41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74"/>
        <v>77592.62</v>
      </c>
      <c r="O186" s="66">
        <f t="shared" si="74"/>
        <v>92000</v>
      </c>
      <c r="P186" s="69">
        <f t="shared" si="46"/>
        <v>25864.206666666665</v>
      </c>
      <c r="Q186" s="69">
        <f t="shared" si="46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G186" s="66">
        <v>15000</v>
      </c>
      <c r="AJ186" s="111"/>
      <c r="AL186" s="204" t="s">
        <v>963</v>
      </c>
      <c r="AM186" s="205">
        <v>33125</v>
      </c>
      <c r="AN186" s="112"/>
    </row>
    <row r="187" spans="1:41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74"/>
        <v>15133.13</v>
      </c>
      <c r="O187" s="66">
        <f t="shared" si="74"/>
        <v>61000</v>
      </c>
      <c r="P187" s="69">
        <f t="shared" si="46"/>
        <v>5044.3766666666661</v>
      </c>
      <c r="Q187" s="69">
        <f t="shared" si="46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  <c r="AG187" s="66">
        <v>5000</v>
      </c>
      <c r="AM187" s="111"/>
    </row>
    <row r="188" spans="1:41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76">ROUND(SUM(H184:H187),5)</f>
        <v>213369.38</v>
      </c>
      <c r="I188" s="75">
        <f t="shared" si="76"/>
        <v>213000</v>
      </c>
      <c r="J188" s="76">
        <f t="shared" si="76"/>
        <v>193755.57</v>
      </c>
      <c r="K188" s="76">
        <f t="shared" si="76"/>
        <v>240000</v>
      </c>
      <c r="L188" s="77">
        <f t="shared" si="76"/>
        <v>151448.6</v>
      </c>
      <c r="M188" s="77">
        <f t="shared" si="76"/>
        <v>221768</v>
      </c>
      <c r="N188" s="78">
        <f t="shared" si="74"/>
        <v>558573.55000000005</v>
      </c>
      <c r="O188" s="78">
        <f t="shared" si="74"/>
        <v>674768</v>
      </c>
      <c r="P188" s="79">
        <f t="shared" si="46"/>
        <v>186191.18333333335</v>
      </c>
      <c r="Q188" s="79">
        <f t="shared" si="46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 t="shared" ref="AB188:AG188" si="77">ROUND(SUM(AB184:AB187),5)</f>
        <v>124797</v>
      </c>
      <c r="AC188" s="80">
        <f t="shared" si="77"/>
        <v>124797</v>
      </c>
      <c r="AD188" s="80">
        <f t="shared" si="77"/>
        <v>124797</v>
      </c>
      <c r="AE188" s="80">
        <f t="shared" si="77"/>
        <v>114797</v>
      </c>
      <c r="AF188" s="80">
        <f t="shared" si="77"/>
        <v>114797</v>
      </c>
      <c r="AG188" s="80">
        <f t="shared" si="77"/>
        <v>114797</v>
      </c>
      <c r="AI188" s="147"/>
      <c r="AL188" s="198" t="s">
        <v>840</v>
      </c>
      <c r="AM188" s="199">
        <f>SUM(AM180:AM186)</f>
        <v>471375</v>
      </c>
    </row>
    <row r="189" spans="1:41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46"/>
        <v>0</v>
      </c>
      <c r="Q189" s="69">
        <f t="shared" si="46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66"/>
      <c r="AG189" s="66"/>
      <c r="AL189" s="198" t="s">
        <v>997</v>
      </c>
      <c r="AM189" s="199">
        <f>AM188-AM186-AM181</f>
        <v>338250</v>
      </c>
      <c r="AO189" s="199">
        <f>SUM(AO172:AO185)</f>
        <v>67650</v>
      </c>
    </row>
    <row r="190" spans="1:41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46"/>
        <v>96804.536666666667</v>
      </c>
      <c r="Q190" s="74">
        <f t="shared" si="46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  <c r="AG190" s="73">
        <v>90000</v>
      </c>
      <c r="AL190" s="198" t="s">
        <v>842</v>
      </c>
      <c r="AM190" s="111"/>
      <c r="AN190" s="202">
        <f>AM189-AO189</f>
        <v>270600</v>
      </c>
    </row>
    <row r="191" spans="1:41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78">ROUND(SUM(H189:H190),5)</f>
        <v>61772.91</v>
      </c>
      <c r="I191" s="63">
        <f t="shared" si="78"/>
        <v>30000</v>
      </c>
      <c r="J191" s="64">
        <f t="shared" si="78"/>
        <v>114884.79</v>
      </c>
      <c r="K191" s="64">
        <f t="shared" si="78"/>
        <v>60000</v>
      </c>
      <c r="L191" s="65">
        <f t="shared" si="78"/>
        <v>113755.91</v>
      </c>
      <c r="M191" s="65">
        <f t="shared" si="78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46"/>
        <v>96804.536666666667</v>
      </c>
      <c r="Q191" s="69">
        <f t="shared" si="46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 t="shared" ref="AB191:AG191" si="79">ROUND(SUM(AB189:AB190),5)</f>
        <v>100000</v>
      </c>
      <c r="AC191" s="80">
        <f t="shared" si="79"/>
        <v>100000</v>
      </c>
      <c r="AD191" s="80">
        <f t="shared" si="79"/>
        <v>100000</v>
      </c>
      <c r="AE191" s="80">
        <f t="shared" si="79"/>
        <v>90000</v>
      </c>
      <c r="AF191" s="80">
        <f t="shared" si="79"/>
        <v>90000</v>
      </c>
      <c r="AG191" s="80">
        <f t="shared" si="79"/>
        <v>90000</v>
      </c>
      <c r="AM191" s="111"/>
    </row>
    <row r="192" spans="1:41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  <c r="AF192" s="66"/>
      <c r="AG192" s="66"/>
      <c r="AM192" s="111"/>
    </row>
    <row r="193" spans="1:40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80">ROUND(H193+J193+L193,5)</f>
        <v>333403.68</v>
      </c>
      <c r="O193" s="66">
        <f t="shared" si="80"/>
        <v>338929</v>
      </c>
      <c r="P193" s="69">
        <f t="shared" si="46"/>
        <v>111134.56</v>
      </c>
      <c r="Q193" s="69">
        <f t="shared" si="46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 t="shared" ref="AB193:AG193" si="81">ROUND(142010.17, 0)</f>
        <v>142010</v>
      </c>
      <c r="AC193" s="66">
        <f t="shared" si="81"/>
        <v>142010</v>
      </c>
      <c r="AD193" s="66">
        <f t="shared" si="81"/>
        <v>142010</v>
      </c>
      <c r="AE193" s="66">
        <f t="shared" si="81"/>
        <v>142010</v>
      </c>
      <c r="AF193" s="66">
        <f t="shared" si="81"/>
        <v>142010</v>
      </c>
      <c r="AG193" s="66">
        <f t="shared" si="81"/>
        <v>142010</v>
      </c>
      <c r="AM193" s="111"/>
    </row>
    <row r="194" spans="1:40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80"/>
        <v>694468.19</v>
      </c>
      <c r="O194" s="66">
        <f t="shared" si="80"/>
        <v>750379</v>
      </c>
      <c r="P194" s="69">
        <f t="shared" si="46"/>
        <v>231489.39666666664</v>
      </c>
      <c r="Q194" s="69">
        <f t="shared" si="46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  <c r="AG194" s="66">
        <v>299000</v>
      </c>
      <c r="AL194" s="319" t="s">
        <v>1002</v>
      </c>
      <c r="AM194" s="319"/>
      <c r="AN194" s="319"/>
    </row>
    <row r="195" spans="1:40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80"/>
        <v>76944.899999999994</v>
      </c>
      <c r="O195" s="66">
        <f t="shared" si="80"/>
        <v>54756</v>
      </c>
      <c r="P195" s="69">
        <f t="shared" si="46"/>
        <v>25648.3</v>
      </c>
      <c r="Q195" s="69">
        <f t="shared" si="46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 t="shared" ref="AB195:AG195" si="82">(88*12)*25</f>
        <v>26400</v>
      </c>
      <c r="AC195" s="66">
        <f t="shared" si="82"/>
        <v>26400</v>
      </c>
      <c r="AD195" s="66">
        <f t="shared" si="82"/>
        <v>26400</v>
      </c>
      <c r="AE195" s="66">
        <f t="shared" si="82"/>
        <v>26400</v>
      </c>
      <c r="AF195" s="66">
        <f t="shared" si="82"/>
        <v>26400</v>
      </c>
      <c r="AG195" s="66">
        <f t="shared" si="82"/>
        <v>26400</v>
      </c>
      <c r="AI195" s="110" t="s">
        <v>972</v>
      </c>
      <c r="AL195" s="207" t="s">
        <v>1003</v>
      </c>
      <c r="AM195" s="207"/>
      <c r="AN195" s="207"/>
    </row>
    <row r="196" spans="1:40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80"/>
        <v>582630.68999999994</v>
      </c>
      <c r="O196" s="66">
        <f t="shared" si="80"/>
        <v>470773.25</v>
      </c>
      <c r="P196" s="69">
        <f t="shared" si="46"/>
        <v>194210.22999999998</v>
      </c>
      <c r="Q196" s="69">
        <f t="shared" si="46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G196" s="66">
        <f>ROUND(199878.15, -2)</f>
        <v>199900</v>
      </c>
      <c r="AI196" s="110" t="s">
        <v>973</v>
      </c>
      <c r="AM196" s="112"/>
    </row>
    <row r="197" spans="1:40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80"/>
        <v>3315663.86</v>
      </c>
      <c r="O197" s="66">
        <f t="shared" si="80"/>
        <v>3738792</v>
      </c>
      <c r="P197" s="69">
        <f t="shared" si="46"/>
        <v>1105221.2866666666</v>
      </c>
      <c r="Q197" s="69">
        <f t="shared" si="46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  <c r="AG197" s="66">
        <v>1187244</v>
      </c>
      <c r="AH197" s="180"/>
      <c r="AI197" s="180"/>
      <c r="AM197" s="112"/>
    </row>
    <row r="198" spans="1:40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83">ROUND(SUM(H192:H197),5)</f>
        <v>1617990.72</v>
      </c>
      <c r="I198" s="75">
        <f t="shared" si="83"/>
        <v>1764843.75</v>
      </c>
      <c r="J198" s="76">
        <f t="shared" si="83"/>
        <v>1649149.39</v>
      </c>
      <c r="K198" s="76">
        <f t="shared" si="83"/>
        <v>1716700</v>
      </c>
      <c r="L198" s="77">
        <f t="shared" si="83"/>
        <v>1735971.21</v>
      </c>
      <c r="M198" s="77">
        <f t="shared" si="83"/>
        <v>1872085.5</v>
      </c>
      <c r="N198" s="78">
        <f t="shared" si="80"/>
        <v>5003111.32</v>
      </c>
      <c r="O198" s="78">
        <f t="shared" si="80"/>
        <v>5353629.25</v>
      </c>
      <c r="P198" s="79">
        <f t="shared" si="46"/>
        <v>1667703.7733333334</v>
      </c>
      <c r="Q198" s="79">
        <f t="shared" si="46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 t="shared" ref="AB198:AG198" si="84">ROUND(SUM(AB192:AB197),5)</f>
        <v>1916936</v>
      </c>
      <c r="AC198" s="80">
        <f t="shared" si="84"/>
        <v>1916936</v>
      </c>
      <c r="AD198" s="80">
        <f t="shared" si="84"/>
        <v>1916936</v>
      </c>
      <c r="AE198" s="80">
        <f t="shared" si="84"/>
        <v>1916936</v>
      </c>
      <c r="AF198" s="80">
        <f t="shared" si="84"/>
        <v>1916936</v>
      </c>
      <c r="AG198" s="80">
        <f t="shared" si="84"/>
        <v>1854554</v>
      </c>
      <c r="AI198" s="181"/>
    </row>
    <row r="199" spans="1:40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  <c r="AF199" s="66"/>
      <c r="AG199" s="66"/>
      <c r="AM199" s="111"/>
    </row>
    <row r="200" spans="1:40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85">N200/3</f>
        <v>5375.666666666667</v>
      </c>
      <c r="Q200" s="74">
        <f t="shared" si="85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G200" s="73">
        <v>6980</v>
      </c>
      <c r="AI200" s="182"/>
      <c r="AM200" s="171"/>
    </row>
    <row r="201" spans="1:40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86">ROUND(SUM(H199:H200),5)</f>
        <v>5928</v>
      </c>
      <c r="I201" s="63">
        <f t="shared" si="86"/>
        <v>6321</v>
      </c>
      <c r="J201" s="64">
        <f t="shared" si="86"/>
        <v>4164</v>
      </c>
      <c r="K201" s="64">
        <f t="shared" si="86"/>
        <v>7265</v>
      </c>
      <c r="L201" s="65">
        <f t="shared" si="86"/>
        <v>6035</v>
      </c>
      <c r="M201" s="65">
        <f t="shared" si="86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85"/>
        <v>5375.666666666667</v>
      </c>
      <c r="Q201" s="69">
        <f t="shared" si="85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 t="shared" ref="AB201:AG201" si="87">ROUND(SUM(AB199:AB200),5)</f>
        <v>6980</v>
      </c>
      <c r="AC201" s="80">
        <f t="shared" si="87"/>
        <v>6980</v>
      </c>
      <c r="AD201" s="80">
        <f t="shared" si="87"/>
        <v>6980</v>
      </c>
      <c r="AE201" s="80">
        <f t="shared" si="87"/>
        <v>6980</v>
      </c>
      <c r="AF201" s="80">
        <f t="shared" si="87"/>
        <v>6980</v>
      </c>
      <c r="AG201" s="80">
        <f t="shared" si="87"/>
        <v>6980</v>
      </c>
      <c r="AI201" s="182"/>
      <c r="AM201" s="111"/>
    </row>
    <row r="202" spans="1:40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  <c r="AF202" s="66"/>
      <c r="AG202" s="66"/>
      <c r="AM202" s="111"/>
    </row>
    <row r="203" spans="1:40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85"/>
        <v>4066.6533333333332</v>
      </c>
      <c r="Q203" s="69">
        <f t="shared" si="85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  <c r="AG203" s="66">
        <v>2400</v>
      </c>
      <c r="AM203" s="111"/>
    </row>
    <row r="204" spans="1:40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85"/>
        <v>666.66666666666663</v>
      </c>
      <c r="Q204" s="69">
        <f t="shared" si="85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M204" s="111"/>
    </row>
    <row r="205" spans="1:40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85"/>
        <v>330</v>
      </c>
      <c r="Q205" s="69">
        <f t="shared" si="85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  <c r="AG205" s="66">
        <v>210</v>
      </c>
      <c r="AM205" s="111">
        <f ca="1">SUM(AM199:AM209)</f>
        <v>0</v>
      </c>
    </row>
    <row r="206" spans="1:40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85"/>
        <v>11731.87</v>
      </c>
      <c r="Q206" s="69">
        <f t="shared" si="85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  <c r="AG206" s="66">
        <v>10000</v>
      </c>
      <c r="AM206" s="111"/>
    </row>
    <row r="207" spans="1:40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88">ROUND(SUM(H202:H206),5)</f>
        <v>22749.62</v>
      </c>
      <c r="I207" s="75">
        <f t="shared" si="88"/>
        <v>7950</v>
      </c>
      <c r="J207" s="76">
        <f t="shared" si="88"/>
        <v>10219.52</v>
      </c>
      <c r="K207" s="76">
        <f t="shared" si="88"/>
        <v>2840</v>
      </c>
      <c r="L207" s="77">
        <f t="shared" si="88"/>
        <v>17416.43</v>
      </c>
      <c r="M207" s="77">
        <f t="shared" si="88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85"/>
        <v>16795.189999999999</v>
      </c>
      <c r="Q207" s="79">
        <f t="shared" si="85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 t="shared" ref="AB207:AG207" si="89">ROUND(SUM(AB202:AB206),5)</f>
        <v>12610</v>
      </c>
      <c r="AC207" s="80">
        <f t="shared" si="89"/>
        <v>12610</v>
      </c>
      <c r="AD207" s="80">
        <f t="shared" si="89"/>
        <v>12610</v>
      </c>
      <c r="AE207" s="80">
        <f t="shared" si="89"/>
        <v>12610</v>
      </c>
      <c r="AF207" s="80">
        <f t="shared" si="89"/>
        <v>12610</v>
      </c>
      <c r="AG207" s="80">
        <f t="shared" si="89"/>
        <v>12610</v>
      </c>
      <c r="AM207" s="111"/>
    </row>
    <row r="208" spans="1:40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  <c r="AF208" s="66"/>
      <c r="AG208" s="66"/>
      <c r="AM208" s="111"/>
    </row>
    <row r="209" spans="1:39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  <c r="AF209" s="66"/>
      <c r="AG209" s="66"/>
      <c r="AM209" s="111"/>
    </row>
    <row r="210" spans="1:39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85"/>
        <v>4434.333333333333</v>
      </c>
      <c r="Q210" s="69">
        <f t="shared" si="85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G210" s="66">
        <v>1500</v>
      </c>
      <c r="AI210" s="110" t="s">
        <v>901</v>
      </c>
    </row>
    <row r="211" spans="1:39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85"/>
        <v>78916.666666666672</v>
      </c>
      <c r="Q211" s="69">
        <f t="shared" si="85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G211" s="66">
        <v>77000</v>
      </c>
      <c r="AI211" s="110" t="s">
        <v>854</v>
      </c>
      <c r="AM211" s="111"/>
    </row>
    <row r="212" spans="1:39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85"/>
        <v>1180</v>
      </c>
      <c r="Q212" s="69">
        <f t="shared" si="85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M212" s="111"/>
    </row>
    <row r="213" spans="1:39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85"/>
        <v>725696</v>
      </c>
      <c r="Q213" s="69">
        <f t="shared" si="85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G213" s="66">
        <v>644500</v>
      </c>
      <c r="AI213" s="110" t="s">
        <v>853</v>
      </c>
    </row>
    <row r="214" spans="1:39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85"/>
        <v>114800</v>
      </c>
      <c r="Q214" s="69">
        <f t="shared" si="85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G214" s="66">
        <v>153000</v>
      </c>
      <c r="AI214" s="110" t="s">
        <v>855</v>
      </c>
    </row>
    <row r="215" spans="1:39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90">ROUND(SUM(H209:H214),5)</f>
        <v>884166</v>
      </c>
      <c r="I215" s="75">
        <f t="shared" si="90"/>
        <v>788300</v>
      </c>
      <c r="J215" s="76">
        <f t="shared" si="90"/>
        <v>968225</v>
      </c>
      <c r="K215" s="76">
        <f t="shared" si="90"/>
        <v>966375</v>
      </c>
      <c r="L215" s="77">
        <f t="shared" si="90"/>
        <v>922690</v>
      </c>
      <c r="M215" s="77">
        <f t="shared" si="90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85"/>
        <v>925027</v>
      </c>
      <c r="Q215" s="79">
        <f t="shared" si="85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 t="shared" ref="AB215:AG215" si="91">ROUND(SUM(AB209:AB214),5)</f>
        <v>876000</v>
      </c>
      <c r="AC215" s="80">
        <f t="shared" si="91"/>
        <v>876000</v>
      </c>
      <c r="AD215" s="80">
        <f t="shared" si="91"/>
        <v>876000</v>
      </c>
      <c r="AE215" s="80">
        <f t="shared" si="91"/>
        <v>876000</v>
      </c>
      <c r="AF215" s="80">
        <f t="shared" si="91"/>
        <v>876000</v>
      </c>
      <c r="AG215" s="80">
        <f t="shared" si="91"/>
        <v>876000</v>
      </c>
      <c r="AI215" s="183" t="s">
        <v>952</v>
      </c>
    </row>
    <row r="216" spans="1:39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F216" s="66"/>
      <c r="AG216" s="66"/>
      <c r="AI216" s="184">
        <f>AG215-AG423</f>
        <v>5796</v>
      </c>
    </row>
    <row r="217" spans="1:39" ht="16.5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85"/>
        <v>4578.333333333333</v>
      </c>
      <c r="Q217" s="69">
        <f t="shared" si="85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33750</v>
      </c>
      <c r="AH217" s="206" t="s">
        <v>1000</v>
      </c>
      <c r="AI217" s="110" t="s">
        <v>975</v>
      </c>
    </row>
    <row r="218" spans="1:39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85"/>
        <v>4578.333333333333</v>
      </c>
      <c r="Q218" s="79">
        <f t="shared" si="85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  <c r="AF218" s="86"/>
      <c r="AG218" s="78">
        <f>ROUND(SUM(AG216:AG217),5)</f>
        <v>33750</v>
      </c>
    </row>
    <row r="219" spans="1:39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92">ROUND(H208+H215+H218,5)</f>
        <v>884166</v>
      </c>
      <c r="I219" s="83">
        <f t="shared" si="92"/>
        <v>788300</v>
      </c>
      <c r="J219" s="84">
        <f t="shared" si="92"/>
        <v>981960</v>
      </c>
      <c r="K219" s="84">
        <f t="shared" si="92"/>
        <v>966375</v>
      </c>
      <c r="L219" s="85">
        <f t="shared" si="92"/>
        <v>922690</v>
      </c>
      <c r="M219" s="85">
        <f t="shared" si="92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85"/>
        <v>929605.33333333337</v>
      </c>
      <c r="Q219" s="87">
        <f t="shared" si="85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 t="shared" ref="AB219:AG219" si="93">ROUND(AB208+AB215+AB218,5)</f>
        <v>876000</v>
      </c>
      <c r="AC219" s="88">
        <f t="shared" si="93"/>
        <v>876000</v>
      </c>
      <c r="AD219" s="88">
        <f t="shared" si="93"/>
        <v>876000</v>
      </c>
      <c r="AE219" s="88">
        <f t="shared" si="93"/>
        <v>876000</v>
      </c>
      <c r="AF219" s="88">
        <f t="shared" si="93"/>
        <v>876000</v>
      </c>
      <c r="AG219" s="88">
        <f t="shared" si="93"/>
        <v>909750</v>
      </c>
    </row>
    <row r="220" spans="1:39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94">ROUND(H6+H183+H188+H191+H198+H201+H207+H219,5)</f>
        <v>4510004.6399999997</v>
      </c>
      <c r="I220" s="63">
        <f t="shared" si="94"/>
        <v>4835153.75</v>
      </c>
      <c r="J220" s="64">
        <f t="shared" si="94"/>
        <v>4937480.91</v>
      </c>
      <c r="K220" s="64">
        <f t="shared" si="94"/>
        <v>4877579.92</v>
      </c>
      <c r="L220" s="65">
        <f t="shared" si="94"/>
        <v>5214991.41</v>
      </c>
      <c r="M220" s="65">
        <f t="shared" si="94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85"/>
        <v>4887492.32</v>
      </c>
      <c r="Q220" s="69">
        <f t="shared" si="85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 t="shared" ref="AB220:AG220" si="95">ROUND(AB6+AB183+AB188+AB191+AB198+AB201+AB207+AB219,5)</f>
        <v>5311671.1100000003</v>
      </c>
      <c r="AC220" s="66">
        <f t="shared" si="95"/>
        <v>5311671.1100000003</v>
      </c>
      <c r="AD220" s="66">
        <f t="shared" si="95"/>
        <v>5376940.5099999998</v>
      </c>
      <c r="AE220" s="66">
        <f t="shared" si="95"/>
        <v>5356940.51</v>
      </c>
      <c r="AF220" s="66">
        <f t="shared" si="95"/>
        <v>5510132.2000000002</v>
      </c>
      <c r="AG220" s="66">
        <f t="shared" si="95"/>
        <v>5598969</v>
      </c>
      <c r="AI220" s="182"/>
    </row>
    <row r="221" spans="1:39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  <c r="AF221" s="66"/>
      <c r="AG221" s="66"/>
    </row>
    <row r="222" spans="1:39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  <c r="AF222" s="66"/>
      <c r="AG222" s="66"/>
    </row>
    <row r="223" spans="1:39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96">ROUND(H223+J223+L223,5)</f>
        <v>14645.71</v>
      </c>
      <c r="O223" s="66">
        <f t="shared" si="96"/>
        <v>15644.98</v>
      </c>
      <c r="P223" s="69">
        <f t="shared" si="85"/>
        <v>4881.9033333333327</v>
      </c>
      <c r="Q223" s="69">
        <f t="shared" si="85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 t="shared" ref="AB223:AG223" si="97">ROUND(5691.67, 0)</f>
        <v>5692</v>
      </c>
      <c r="AC223" s="66">
        <f t="shared" si="97"/>
        <v>5692</v>
      </c>
      <c r="AD223" s="66">
        <f t="shared" si="97"/>
        <v>5692</v>
      </c>
      <c r="AE223" s="66">
        <f t="shared" si="97"/>
        <v>5692</v>
      </c>
      <c r="AF223" s="66">
        <f t="shared" si="97"/>
        <v>5692</v>
      </c>
      <c r="AG223" s="66">
        <f t="shared" si="97"/>
        <v>5692</v>
      </c>
    </row>
    <row r="224" spans="1:39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96"/>
        <v>3195.19</v>
      </c>
      <c r="O224" s="66">
        <f t="shared" si="96"/>
        <v>7437.44</v>
      </c>
      <c r="P224" s="69">
        <f t="shared" si="85"/>
        <v>1065.0633333333333</v>
      </c>
      <c r="Q224" s="69">
        <f t="shared" si="85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  <c r="AG224" s="66">
        <v>3348</v>
      </c>
    </row>
    <row r="225" spans="1:33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98">ROUND(SUM(H222:H224),5)</f>
        <v>5911.22</v>
      </c>
      <c r="I225" s="75">
        <f t="shared" si="98"/>
        <v>5833.45</v>
      </c>
      <c r="J225" s="76">
        <f t="shared" si="98"/>
        <v>5605.52</v>
      </c>
      <c r="K225" s="76">
        <f t="shared" si="98"/>
        <v>5849.17</v>
      </c>
      <c r="L225" s="77">
        <f t="shared" si="98"/>
        <v>6324.16</v>
      </c>
      <c r="M225" s="77">
        <f t="shared" si="98"/>
        <v>11399.8</v>
      </c>
      <c r="N225" s="78">
        <f t="shared" si="96"/>
        <v>17840.900000000001</v>
      </c>
      <c r="O225" s="78">
        <f t="shared" si="96"/>
        <v>23082.42</v>
      </c>
      <c r="P225" s="79">
        <f t="shared" si="85"/>
        <v>5946.9666666666672</v>
      </c>
      <c r="Q225" s="79">
        <f t="shared" si="85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 t="shared" ref="AB225:AG225" si="99">ROUND(SUM(AB222:AB224),5)</f>
        <v>9040</v>
      </c>
      <c r="AC225" s="80">
        <f t="shared" si="99"/>
        <v>9040</v>
      </c>
      <c r="AD225" s="80">
        <f t="shared" si="99"/>
        <v>9040</v>
      </c>
      <c r="AE225" s="80">
        <f t="shared" si="99"/>
        <v>9040</v>
      </c>
      <c r="AF225" s="80">
        <f t="shared" si="99"/>
        <v>9040</v>
      </c>
      <c r="AG225" s="80">
        <f t="shared" si="99"/>
        <v>9040</v>
      </c>
    </row>
    <row r="226" spans="1:33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  <c r="AF226" s="66"/>
      <c r="AG226" s="66"/>
    </row>
    <row r="227" spans="1:33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>AE9*0.2</f>
        <v>205210.84</v>
      </c>
      <c r="AF227" s="66">
        <f>AF9*0.2</f>
        <v>205210.84</v>
      </c>
      <c r="AG227" s="66">
        <f>AG9*0.2</f>
        <v>205210.84</v>
      </c>
    </row>
    <row r="228" spans="1:33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85"/>
        <v>621.57000000000005</v>
      </c>
      <c r="Q228" s="69">
        <f t="shared" si="85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  <c r="AF228" s="66"/>
      <c r="AG228" s="66"/>
    </row>
    <row r="229" spans="1:33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85"/>
        <v>0</v>
      </c>
      <c r="Q229" s="69">
        <f t="shared" si="85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  <c r="AF229" s="66"/>
      <c r="AG229" s="66"/>
    </row>
    <row r="230" spans="1:33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100">ROUND(H230+J230+L230,5)</f>
        <v>160678.19</v>
      </c>
      <c r="O230" s="66">
        <f t="shared" si="100"/>
        <v>76847.710000000006</v>
      </c>
      <c r="P230" s="69">
        <f t="shared" si="85"/>
        <v>53559.396666666667</v>
      </c>
      <c r="Q230" s="69">
        <f t="shared" si="85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  <c r="AF230" s="66"/>
      <c r="AG230" s="66"/>
    </row>
    <row r="231" spans="1:33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100"/>
        <v>4393.6000000000004</v>
      </c>
      <c r="O231" s="66">
        <f t="shared" si="100"/>
        <v>3748.32</v>
      </c>
      <c r="P231" s="69">
        <f t="shared" si="85"/>
        <v>1464.5333333333335</v>
      </c>
      <c r="Q231" s="69">
        <f t="shared" si="85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  <c r="AF231" s="66"/>
      <c r="AG231" s="66"/>
    </row>
    <row r="232" spans="1:33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100"/>
        <v>3931.71</v>
      </c>
      <c r="O232" s="66">
        <f t="shared" si="100"/>
        <v>1056.04</v>
      </c>
      <c r="P232" s="69">
        <f t="shared" si="85"/>
        <v>1310.57</v>
      </c>
      <c r="Q232" s="69">
        <f t="shared" si="85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  <c r="AF232" s="66"/>
      <c r="AG232" s="66"/>
    </row>
    <row r="233" spans="1:33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100"/>
        <v>1953.44</v>
      </c>
      <c r="O233" s="73">
        <f t="shared" si="100"/>
        <v>100</v>
      </c>
      <c r="P233" s="74">
        <f t="shared" si="85"/>
        <v>651.14666666666665</v>
      </c>
      <c r="Q233" s="74">
        <f t="shared" si="85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  <c r="AF233" s="73"/>
      <c r="AG233" s="73"/>
    </row>
    <row r="234" spans="1:33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101">ROUND(SUM(H229:H233),5)</f>
        <v>66004.350000000006</v>
      </c>
      <c r="I234" s="63">
        <f t="shared" si="101"/>
        <v>0</v>
      </c>
      <c r="J234" s="64">
        <f t="shared" si="101"/>
        <v>53975.49</v>
      </c>
      <c r="K234" s="64">
        <f t="shared" si="101"/>
        <v>13281.84</v>
      </c>
      <c r="L234" s="65">
        <f t="shared" si="101"/>
        <v>50977.1</v>
      </c>
      <c r="M234" s="65">
        <f t="shared" si="101"/>
        <v>68470.23</v>
      </c>
      <c r="N234" s="66">
        <f t="shared" si="100"/>
        <v>170956.94</v>
      </c>
      <c r="O234" s="66">
        <f t="shared" si="100"/>
        <v>81752.070000000007</v>
      </c>
      <c r="P234" s="69">
        <f t="shared" si="85"/>
        <v>56985.646666666667</v>
      </c>
      <c r="Q234" s="69">
        <f t="shared" si="85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 t="shared" ref="AB234:AG234" si="102">ROUND(SUM(AB229:AB233),5)</f>
        <v>0</v>
      </c>
      <c r="AC234" s="66">
        <f t="shared" si="102"/>
        <v>0</v>
      </c>
      <c r="AD234" s="66">
        <f t="shared" si="102"/>
        <v>0</v>
      </c>
      <c r="AE234" s="66">
        <f t="shared" si="102"/>
        <v>0</v>
      </c>
      <c r="AF234" s="66">
        <f t="shared" si="102"/>
        <v>0</v>
      </c>
      <c r="AG234" s="66">
        <f t="shared" si="102"/>
        <v>0</v>
      </c>
    </row>
    <row r="235" spans="1:33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  <c r="AF235" s="66"/>
      <c r="AG235" s="66"/>
    </row>
    <row r="236" spans="1:33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103">ROUND(H236+J236+L236,5)</f>
        <v>10300.370000000001</v>
      </c>
      <c r="O236" s="66">
        <f t="shared" si="103"/>
        <v>7978.18</v>
      </c>
      <c r="P236" s="69">
        <f t="shared" si="85"/>
        <v>3433.4566666666669</v>
      </c>
      <c r="Q236" s="69">
        <f t="shared" si="85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  <c r="AF236" s="66"/>
      <c r="AG236" s="66"/>
    </row>
    <row r="237" spans="1:33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103"/>
        <v>265.04000000000002</v>
      </c>
      <c r="O237" s="66">
        <f t="shared" si="103"/>
        <v>2079.58</v>
      </c>
      <c r="P237" s="69">
        <f t="shared" si="85"/>
        <v>88.346666666666678</v>
      </c>
      <c r="Q237" s="69">
        <f t="shared" si="85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  <c r="AF237" s="66"/>
      <c r="AG237" s="66"/>
    </row>
    <row r="238" spans="1:33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103"/>
        <v>291.58999999999997</v>
      </c>
      <c r="O238" s="66">
        <f t="shared" si="103"/>
        <v>6330.08</v>
      </c>
      <c r="P238" s="69">
        <f t="shared" si="85"/>
        <v>97.196666666666658</v>
      </c>
      <c r="Q238" s="69">
        <f t="shared" si="85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  <c r="AF238" s="66"/>
      <c r="AG238" s="66"/>
    </row>
    <row r="239" spans="1:33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103"/>
        <v>1002.62</v>
      </c>
      <c r="O239" s="66">
        <f t="shared" si="103"/>
        <v>3299.3</v>
      </c>
      <c r="P239" s="69">
        <f t="shared" si="85"/>
        <v>334.20666666666665</v>
      </c>
      <c r="Q239" s="69">
        <f t="shared" si="85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  <c r="AF239" s="66"/>
      <c r="AG239" s="66"/>
    </row>
    <row r="240" spans="1:33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103"/>
        <v>384.28</v>
      </c>
      <c r="O240" s="66">
        <f t="shared" si="103"/>
        <v>0</v>
      </c>
      <c r="P240" s="69">
        <f t="shared" si="85"/>
        <v>128.09333333333333</v>
      </c>
      <c r="Q240" s="69">
        <f t="shared" si="85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  <c r="AF240" s="66"/>
      <c r="AG240" s="66"/>
    </row>
    <row r="241" spans="1:33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103"/>
        <v>1703.01</v>
      </c>
      <c r="O241" s="66">
        <f t="shared" si="103"/>
        <v>6458.46</v>
      </c>
      <c r="P241" s="69">
        <f t="shared" si="85"/>
        <v>567.66999999999996</v>
      </c>
      <c r="Q241" s="69">
        <f t="shared" si="85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  <c r="AF241" s="66"/>
      <c r="AG241" s="66"/>
    </row>
    <row r="242" spans="1:33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103"/>
        <v>844.98</v>
      </c>
      <c r="O242" s="66">
        <f t="shared" si="103"/>
        <v>4878.88</v>
      </c>
      <c r="P242" s="69">
        <f t="shared" si="85"/>
        <v>281.66000000000003</v>
      </c>
      <c r="Q242" s="69">
        <f t="shared" si="85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  <c r="AF242" s="66"/>
      <c r="AG242" s="66"/>
    </row>
    <row r="243" spans="1:33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103"/>
        <v>952.7</v>
      </c>
      <c r="O243" s="66">
        <f t="shared" si="103"/>
        <v>759.86</v>
      </c>
      <c r="P243" s="69">
        <f t="shared" si="85"/>
        <v>317.56666666666666</v>
      </c>
      <c r="Q243" s="69">
        <f t="shared" si="85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  <c r="AF243" s="66"/>
      <c r="AG243" s="66"/>
    </row>
    <row r="244" spans="1:33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103"/>
        <v>-279.7</v>
      </c>
      <c r="O244" s="66">
        <v>0</v>
      </c>
      <c r="P244" s="69">
        <f t="shared" si="85"/>
        <v>-93.233333333333334</v>
      </c>
      <c r="Q244" s="69">
        <f t="shared" si="85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  <c r="AF244" s="66"/>
      <c r="AG244" s="66"/>
    </row>
    <row r="245" spans="1:33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103"/>
        <v>2068.73</v>
      </c>
      <c r="O245" s="66">
        <f>ROUND(I245+K245+M245,5)</f>
        <v>600</v>
      </c>
      <c r="P245" s="69">
        <f t="shared" si="85"/>
        <v>689.57666666666671</v>
      </c>
      <c r="Q245" s="69">
        <f t="shared" si="85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  <c r="AF245" s="66"/>
      <c r="AG245" s="66"/>
    </row>
    <row r="246" spans="1:33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103"/>
        <v>126.77</v>
      </c>
      <c r="O246" s="66">
        <f>ROUND(I246+K246+M246,5)</f>
        <v>100</v>
      </c>
      <c r="P246" s="69">
        <f t="shared" si="85"/>
        <v>42.256666666666668</v>
      </c>
      <c r="Q246" s="69">
        <f t="shared" si="85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  <c r="AF246" s="66"/>
      <c r="AG246" s="66"/>
    </row>
    <row r="247" spans="1:33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103"/>
        <v>4683.93</v>
      </c>
      <c r="O247" s="66">
        <f>ROUND(I247+K247+M247,5)</f>
        <v>7118.32</v>
      </c>
      <c r="P247" s="69">
        <f t="shared" si="85"/>
        <v>1561.3100000000002</v>
      </c>
      <c r="Q247" s="69">
        <f t="shared" si="85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  <c r="AF247" s="66"/>
      <c r="AG247" s="66"/>
    </row>
    <row r="248" spans="1:33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103"/>
        <v>2913.09</v>
      </c>
      <c r="O248" s="66">
        <f>ROUND(I248+K248+M248,5)</f>
        <v>4719.0200000000004</v>
      </c>
      <c r="P248" s="69">
        <f t="shared" si="85"/>
        <v>971.03000000000009</v>
      </c>
      <c r="Q248" s="69">
        <f t="shared" si="85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  <c r="AF248" s="66"/>
      <c r="AG248" s="66"/>
    </row>
    <row r="249" spans="1:33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103"/>
        <v>4608.63</v>
      </c>
      <c r="O249" s="66">
        <f>ROUND(I249+K249+M249,5)</f>
        <v>1619.72</v>
      </c>
      <c r="P249" s="69">
        <f t="shared" si="85"/>
        <v>1536.21</v>
      </c>
      <c r="Q249" s="69">
        <f t="shared" si="85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  <c r="AF249" s="66"/>
      <c r="AG249" s="66"/>
    </row>
    <row r="250" spans="1:33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103"/>
        <v>78.989999999999995</v>
      </c>
      <c r="O250" s="66">
        <v>0</v>
      </c>
      <c r="P250" s="69">
        <f t="shared" si="85"/>
        <v>26.33</v>
      </c>
      <c r="Q250" s="69">
        <f t="shared" si="85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  <c r="AF250" s="66"/>
      <c r="AG250" s="66"/>
    </row>
    <row r="251" spans="1:33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103"/>
        <v>0</v>
      </c>
      <c r="O251" s="66">
        <f>ROUND(I251+K251+M251,5)</f>
        <v>1219.72</v>
      </c>
      <c r="P251" s="69">
        <f t="shared" si="85"/>
        <v>0</v>
      </c>
      <c r="Q251" s="69">
        <f t="shared" si="85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  <c r="AF251" s="66"/>
      <c r="AG251" s="66"/>
    </row>
    <row r="252" spans="1:33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104">ROUND(H252+J252+L252,5)</f>
        <v>469.32</v>
      </c>
      <c r="O252" s="66">
        <f>ROUND(I252+K252+M252,5)</f>
        <v>356.04</v>
      </c>
      <c r="P252" s="69">
        <f t="shared" si="85"/>
        <v>156.44</v>
      </c>
      <c r="Q252" s="69">
        <f t="shared" si="85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  <c r="AF252" s="66"/>
      <c r="AG252" s="66"/>
    </row>
    <row r="253" spans="1:33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104"/>
        <v>0</v>
      </c>
      <c r="O253" s="66">
        <f>ROUND(I253+K253+M253,5)</f>
        <v>1524.16</v>
      </c>
      <c r="P253" s="69">
        <f t="shared" si="85"/>
        <v>0</v>
      </c>
      <c r="Q253" s="69">
        <f t="shared" si="85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  <c r="AF253" s="66"/>
      <c r="AG253" s="66"/>
    </row>
    <row r="254" spans="1:33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104"/>
        <v>295.95</v>
      </c>
      <c r="O254" s="66">
        <v>0</v>
      </c>
      <c r="P254" s="69">
        <f t="shared" si="85"/>
        <v>98.649999999999991</v>
      </c>
      <c r="Q254" s="69">
        <f t="shared" si="85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  <c r="AF254" s="66"/>
      <c r="AG254" s="66"/>
    </row>
    <row r="255" spans="1:33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104"/>
        <v>0</v>
      </c>
      <c r="O255" s="66">
        <f>ROUND(I255+K255+M255,5)</f>
        <v>0</v>
      </c>
      <c r="P255" s="69">
        <f t="shared" si="85"/>
        <v>0</v>
      </c>
      <c r="Q255" s="69">
        <f t="shared" si="85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  <c r="AF255" s="66"/>
      <c r="AG255" s="66"/>
    </row>
    <row r="256" spans="1:33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104"/>
        <v>0</v>
      </c>
      <c r="O256" s="73">
        <f>ROUND(I256+K256+M256,5)</f>
        <v>0</v>
      </c>
      <c r="P256" s="74">
        <f t="shared" si="85"/>
        <v>0</v>
      </c>
      <c r="Q256" s="74">
        <f t="shared" si="85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  <c r="AF256" s="73"/>
      <c r="AG256" s="73"/>
    </row>
    <row r="257" spans="1:33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105">ROUND(SUM(H235:H256),5)</f>
        <v>9952.77</v>
      </c>
      <c r="I257" s="63">
        <f t="shared" si="105"/>
        <v>0</v>
      </c>
      <c r="J257" s="64">
        <f t="shared" si="105"/>
        <v>12257.65</v>
      </c>
      <c r="K257" s="64">
        <f t="shared" si="105"/>
        <v>43741.32</v>
      </c>
      <c r="L257" s="65">
        <f t="shared" si="105"/>
        <v>8499.8799999999992</v>
      </c>
      <c r="M257" s="65">
        <f t="shared" si="105"/>
        <v>5300</v>
      </c>
      <c r="N257" s="66">
        <f t="shared" si="104"/>
        <v>30710.3</v>
      </c>
      <c r="O257" s="66">
        <f>ROUND(I257+K257+M257,5)</f>
        <v>49041.32</v>
      </c>
      <c r="P257" s="69">
        <f t="shared" si="85"/>
        <v>10236.766666666666</v>
      </c>
      <c r="Q257" s="69">
        <f t="shared" si="85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 t="shared" ref="AB257:AG257" si="106">ROUND(SUM(AB235:AB256),5)</f>
        <v>0</v>
      </c>
      <c r="AC257" s="66">
        <f t="shared" si="106"/>
        <v>0</v>
      </c>
      <c r="AD257" s="66">
        <f t="shared" si="106"/>
        <v>0</v>
      </c>
      <c r="AE257" s="66">
        <f t="shared" si="106"/>
        <v>0</v>
      </c>
      <c r="AF257" s="66">
        <f t="shared" si="106"/>
        <v>0</v>
      </c>
      <c r="AG257" s="66">
        <f t="shared" si="106"/>
        <v>0</v>
      </c>
    </row>
    <row r="258" spans="1:33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85"/>
        <v>0</v>
      </c>
      <c r="Q258" s="69">
        <f t="shared" si="85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  <c r="AF258" s="66"/>
      <c r="AG258" s="66"/>
    </row>
    <row r="259" spans="1:33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107">ROUND(H259+J259+L259,5)</f>
        <v>292.07</v>
      </c>
      <c r="O259" s="66">
        <f t="shared" si="107"/>
        <v>3559.16</v>
      </c>
      <c r="P259" s="69">
        <f t="shared" si="85"/>
        <v>97.356666666666669</v>
      </c>
      <c r="Q259" s="69">
        <f t="shared" si="85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  <c r="AF259" s="66"/>
      <c r="AG259" s="66"/>
    </row>
    <row r="260" spans="1:33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107"/>
        <v>0</v>
      </c>
      <c r="O260" s="66">
        <f t="shared" si="107"/>
        <v>0</v>
      </c>
      <c r="P260" s="69">
        <f t="shared" ref="P260:Q323" si="108">N260/3</f>
        <v>0</v>
      </c>
      <c r="Q260" s="69">
        <f t="shared" si="108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  <c r="AF260" s="66"/>
      <c r="AG260" s="66"/>
    </row>
    <row r="261" spans="1:33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107"/>
        <v>414.94</v>
      </c>
      <c r="O261" s="66">
        <f t="shared" si="107"/>
        <v>1624.16</v>
      </c>
      <c r="P261" s="69">
        <f t="shared" si="108"/>
        <v>138.31333333333333</v>
      </c>
      <c r="Q261" s="69">
        <f t="shared" si="108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  <c r="AF261" s="66"/>
      <c r="AG261" s="66"/>
    </row>
    <row r="262" spans="1:33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107"/>
        <v>0</v>
      </c>
      <c r="O262" s="73">
        <f t="shared" si="107"/>
        <v>0</v>
      </c>
      <c r="P262" s="74">
        <f t="shared" si="108"/>
        <v>0</v>
      </c>
      <c r="Q262" s="74">
        <f t="shared" si="108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  <c r="AF262" s="73"/>
      <c r="AG262" s="73"/>
    </row>
    <row r="263" spans="1:33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109">ROUND(SUM(H258:H262),5)</f>
        <v>414.94</v>
      </c>
      <c r="I263" s="63">
        <f t="shared" si="109"/>
        <v>0</v>
      </c>
      <c r="J263" s="64">
        <f t="shared" si="109"/>
        <v>73.44</v>
      </c>
      <c r="K263" s="64">
        <f t="shared" si="109"/>
        <v>4783.32</v>
      </c>
      <c r="L263" s="65">
        <f t="shared" si="109"/>
        <v>218.63</v>
      </c>
      <c r="M263" s="65">
        <f t="shared" si="109"/>
        <v>400</v>
      </c>
      <c r="N263" s="66">
        <f t="shared" si="107"/>
        <v>707.01</v>
      </c>
      <c r="O263" s="66">
        <f t="shared" si="107"/>
        <v>5183.32</v>
      </c>
      <c r="P263" s="69">
        <f t="shared" si="108"/>
        <v>235.67</v>
      </c>
      <c r="Q263" s="69">
        <f t="shared" si="108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 t="shared" ref="AB263:AG263" si="110">ROUND(SUM(AB258:AB262),5)</f>
        <v>0</v>
      </c>
      <c r="AC263" s="66">
        <f t="shared" si="110"/>
        <v>0</v>
      </c>
      <c r="AD263" s="66">
        <f t="shared" si="110"/>
        <v>0</v>
      </c>
      <c r="AE263" s="66">
        <f t="shared" si="110"/>
        <v>0</v>
      </c>
      <c r="AF263" s="66">
        <f t="shared" si="110"/>
        <v>0</v>
      </c>
      <c r="AG263" s="66">
        <f t="shared" si="110"/>
        <v>0</v>
      </c>
    </row>
    <row r="264" spans="1:33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  <c r="AF264" s="66"/>
      <c r="AG264" s="66"/>
    </row>
    <row r="265" spans="1:33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111">ROUND(H265+J265+L265,5)</f>
        <v>9233.0499999999993</v>
      </c>
      <c r="O265" s="66">
        <f t="shared" si="111"/>
        <v>5438.74</v>
      </c>
      <c r="P265" s="69">
        <f t="shared" si="108"/>
        <v>3077.6833333333329</v>
      </c>
      <c r="Q265" s="69">
        <f t="shared" si="108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  <c r="AF265" s="66"/>
      <c r="AG265" s="66"/>
    </row>
    <row r="266" spans="1:33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111"/>
        <v>173.59</v>
      </c>
      <c r="O266" s="66">
        <f t="shared" si="111"/>
        <v>2539.44</v>
      </c>
      <c r="P266" s="69">
        <f t="shared" si="108"/>
        <v>57.863333333333337</v>
      </c>
      <c r="Q266" s="69">
        <f t="shared" si="108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  <c r="AF266" s="66"/>
      <c r="AG266" s="66"/>
    </row>
    <row r="267" spans="1:33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111"/>
        <v>99.76</v>
      </c>
      <c r="O267" s="66">
        <f t="shared" si="111"/>
        <v>1980.2</v>
      </c>
      <c r="P267" s="69">
        <f t="shared" si="108"/>
        <v>33.253333333333337</v>
      </c>
      <c r="Q267" s="69">
        <f t="shared" si="108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  <c r="AF267" s="66"/>
      <c r="AG267" s="66"/>
    </row>
    <row r="268" spans="1:33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111"/>
        <v>2756.34</v>
      </c>
      <c r="O268" s="66">
        <f t="shared" si="111"/>
        <v>956.04</v>
      </c>
      <c r="P268" s="69">
        <f t="shared" si="108"/>
        <v>918.78000000000009</v>
      </c>
      <c r="Q268" s="69">
        <f t="shared" si="108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  <c r="AF268" s="66"/>
      <c r="AG268" s="66"/>
    </row>
    <row r="269" spans="1:33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111"/>
        <v>62</v>
      </c>
      <c r="O269" s="66">
        <f t="shared" si="111"/>
        <v>718</v>
      </c>
      <c r="P269" s="69">
        <f t="shared" si="108"/>
        <v>20.666666666666668</v>
      </c>
      <c r="Q269" s="69">
        <f t="shared" si="108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  <c r="AF269" s="66"/>
      <c r="AG269" s="66"/>
    </row>
    <row r="270" spans="1:33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111"/>
        <v>5017.79</v>
      </c>
      <c r="O270" s="66">
        <f t="shared" si="111"/>
        <v>1535.1</v>
      </c>
      <c r="P270" s="69">
        <f t="shared" si="108"/>
        <v>1672.5966666666666</v>
      </c>
      <c r="Q270" s="69">
        <f t="shared" si="108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  <c r="AF270" s="66"/>
      <c r="AG270" s="66"/>
    </row>
    <row r="271" spans="1:33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111"/>
        <v>0</v>
      </c>
      <c r="O271" s="66">
        <f t="shared" si="111"/>
        <v>1880.2</v>
      </c>
      <c r="P271" s="69">
        <f t="shared" si="108"/>
        <v>0</v>
      </c>
      <c r="Q271" s="69">
        <f t="shared" si="108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  <c r="AF271" s="66"/>
      <c r="AG271" s="66"/>
    </row>
    <row r="272" spans="1:33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111"/>
        <v>1851.6</v>
      </c>
      <c r="O272" s="66">
        <f t="shared" si="111"/>
        <v>1624.16</v>
      </c>
      <c r="P272" s="69">
        <f t="shared" si="108"/>
        <v>617.19999999999993</v>
      </c>
      <c r="Q272" s="69">
        <f t="shared" si="108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  <c r="AF272" s="66"/>
      <c r="AG272" s="66"/>
    </row>
    <row r="273" spans="1:33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111"/>
        <v>0</v>
      </c>
      <c r="O273" s="66">
        <f t="shared" si="111"/>
        <v>6709.32</v>
      </c>
      <c r="P273" s="69">
        <f t="shared" si="108"/>
        <v>0</v>
      </c>
      <c r="Q273" s="69">
        <f t="shared" si="108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  <c r="AF273" s="66"/>
      <c r="AG273" s="66"/>
    </row>
    <row r="274" spans="1:33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111"/>
        <v>0</v>
      </c>
      <c r="O274" s="66">
        <f t="shared" si="111"/>
        <v>1983.36</v>
      </c>
      <c r="P274" s="69">
        <f t="shared" si="108"/>
        <v>0</v>
      </c>
      <c r="Q274" s="69">
        <f t="shared" si="108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  <c r="AF274" s="66"/>
      <c r="AG274" s="66"/>
    </row>
    <row r="275" spans="1:33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111"/>
        <v>0</v>
      </c>
      <c r="O275" s="66">
        <f t="shared" si="111"/>
        <v>4759.01</v>
      </c>
      <c r="P275" s="69">
        <f t="shared" si="108"/>
        <v>0</v>
      </c>
      <c r="Q275" s="69">
        <f t="shared" si="108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  <c r="AF275" s="66"/>
      <c r="AG275" s="66"/>
    </row>
    <row r="276" spans="1:33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111"/>
        <v>8987.11</v>
      </c>
      <c r="O276" s="66">
        <f t="shared" si="111"/>
        <v>17088.16</v>
      </c>
      <c r="P276" s="69">
        <f t="shared" si="108"/>
        <v>2995.7033333333334</v>
      </c>
      <c r="Q276" s="69">
        <f t="shared" si="108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  <c r="AF276" s="66"/>
      <c r="AG276" s="66"/>
    </row>
    <row r="277" spans="1:33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111"/>
        <v>170.91</v>
      </c>
      <c r="O277" s="66">
        <f t="shared" si="111"/>
        <v>4097.04</v>
      </c>
      <c r="P277" s="69">
        <f t="shared" si="108"/>
        <v>56.97</v>
      </c>
      <c r="Q277" s="69">
        <f t="shared" si="108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  <c r="AF277" s="66"/>
      <c r="AG277" s="66"/>
    </row>
    <row r="278" spans="1:33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111"/>
        <v>1914.86</v>
      </c>
      <c r="O278" s="66">
        <f t="shared" si="111"/>
        <v>1668.12</v>
      </c>
      <c r="P278" s="69">
        <f t="shared" si="108"/>
        <v>638.28666666666663</v>
      </c>
      <c r="Q278" s="69">
        <f t="shared" si="108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  <c r="AF278" s="66"/>
      <c r="AG278" s="66"/>
    </row>
    <row r="279" spans="1:33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111"/>
        <v>581.79999999999995</v>
      </c>
      <c r="O279" s="73">
        <f t="shared" si="111"/>
        <v>0</v>
      </c>
      <c r="P279" s="74">
        <f t="shared" si="108"/>
        <v>193.93333333333331</v>
      </c>
      <c r="Q279" s="74">
        <f t="shared" si="108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  <c r="AF279" s="73"/>
      <c r="AG279" s="73"/>
    </row>
    <row r="280" spans="1:33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112">ROUND(SUM(H264:H279),5)</f>
        <v>11247.41</v>
      </c>
      <c r="I280" s="63">
        <f t="shared" si="112"/>
        <v>0</v>
      </c>
      <c r="J280" s="64">
        <f t="shared" si="112"/>
        <v>13538.34</v>
      </c>
      <c r="K280" s="64">
        <f t="shared" si="112"/>
        <v>43816.14</v>
      </c>
      <c r="L280" s="65">
        <f t="shared" si="112"/>
        <v>6063.06</v>
      </c>
      <c r="M280" s="65">
        <f t="shared" si="112"/>
        <v>9160.75</v>
      </c>
      <c r="N280" s="66">
        <f t="shared" si="111"/>
        <v>30848.81</v>
      </c>
      <c r="O280" s="66">
        <f t="shared" si="111"/>
        <v>52976.89</v>
      </c>
      <c r="P280" s="69">
        <f t="shared" si="108"/>
        <v>10282.936666666666</v>
      </c>
      <c r="Q280" s="69">
        <f t="shared" si="108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 t="shared" ref="AB280:AG280" si="113">ROUND(SUM(AB264:AB279),5)</f>
        <v>0</v>
      </c>
      <c r="AC280" s="66">
        <f t="shared" si="113"/>
        <v>0</v>
      </c>
      <c r="AD280" s="66">
        <f t="shared" si="113"/>
        <v>0</v>
      </c>
      <c r="AE280" s="66">
        <f t="shared" si="113"/>
        <v>0</v>
      </c>
      <c r="AF280" s="66">
        <f t="shared" si="113"/>
        <v>0</v>
      </c>
      <c r="AG280" s="66">
        <f t="shared" si="113"/>
        <v>0</v>
      </c>
    </row>
    <row r="281" spans="1:33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108"/>
        <v>0</v>
      </c>
      <c r="Q281" s="69">
        <f t="shared" si="108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  <c r="AF281" s="66"/>
      <c r="AG281" s="66"/>
    </row>
    <row r="282" spans="1:33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114">ROUND(H282+J282+L282,5)</f>
        <v>9840.1</v>
      </c>
      <c r="O282" s="66">
        <f t="shared" si="114"/>
        <v>6658.46</v>
      </c>
      <c r="P282" s="69">
        <f t="shared" si="108"/>
        <v>3280.0333333333333</v>
      </c>
      <c r="Q282" s="69">
        <f t="shared" si="108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  <c r="AF282" s="66"/>
      <c r="AG282" s="66"/>
    </row>
    <row r="283" spans="1:33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114"/>
        <v>9035.52</v>
      </c>
      <c r="O283" s="66">
        <f t="shared" si="114"/>
        <v>7418.32</v>
      </c>
      <c r="P283" s="69">
        <f t="shared" si="108"/>
        <v>3011.84</v>
      </c>
      <c r="Q283" s="69">
        <f t="shared" si="108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  <c r="AF283" s="66"/>
      <c r="AG283" s="66"/>
    </row>
    <row r="284" spans="1:33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114"/>
        <v>0</v>
      </c>
      <c r="O284" s="66">
        <f t="shared" si="114"/>
        <v>656.04</v>
      </c>
      <c r="P284" s="69">
        <f t="shared" si="108"/>
        <v>0</v>
      </c>
      <c r="Q284" s="69">
        <f t="shared" si="108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  <c r="AF284" s="66"/>
      <c r="AG284" s="66"/>
    </row>
    <row r="285" spans="1:33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114"/>
        <v>2620.06</v>
      </c>
      <c r="O285" s="66">
        <f t="shared" si="114"/>
        <v>7118.32</v>
      </c>
      <c r="P285" s="69">
        <f t="shared" si="108"/>
        <v>873.35333333333335</v>
      </c>
      <c r="Q285" s="69">
        <f t="shared" si="108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  <c r="AF285" s="66"/>
      <c r="AG285" s="66"/>
    </row>
    <row r="286" spans="1:33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114"/>
        <v>2099.5700000000002</v>
      </c>
      <c r="O286" s="66">
        <f t="shared" si="114"/>
        <v>1012.08</v>
      </c>
      <c r="P286" s="69">
        <f t="shared" si="108"/>
        <v>699.85666666666668</v>
      </c>
      <c r="Q286" s="69">
        <f t="shared" si="108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  <c r="AF286" s="66"/>
      <c r="AG286" s="66"/>
    </row>
    <row r="287" spans="1:33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114"/>
        <v>1066.75</v>
      </c>
      <c r="O287" s="73">
        <f t="shared" si="114"/>
        <v>6918.32</v>
      </c>
      <c r="P287" s="74">
        <f t="shared" si="108"/>
        <v>355.58333333333331</v>
      </c>
      <c r="Q287" s="74">
        <f t="shared" si="108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  <c r="AF287" s="73"/>
      <c r="AG287" s="73"/>
    </row>
    <row r="288" spans="1:33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115">ROUND(SUM(H281:H287),5)</f>
        <v>5366.39</v>
      </c>
      <c r="I288" s="63">
        <f t="shared" si="115"/>
        <v>0</v>
      </c>
      <c r="J288" s="64">
        <f t="shared" si="115"/>
        <v>9447.02</v>
      </c>
      <c r="K288" s="64">
        <f t="shared" si="115"/>
        <v>27381.54</v>
      </c>
      <c r="L288" s="65">
        <f t="shared" si="115"/>
        <v>9848.59</v>
      </c>
      <c r="M288" s="65">
        <f t="shared" si="115"/>
        <v>2400</v>
      </c>
      <c r="N288" s="66">
        <f t="shared" si="114"/>
        <v>24662</v>
      </c>
      <c r="O288" s="66">
        <f t="shared" si="114"/>
        <v>29781.54</v>
      </c>
      <c r="P288" s="69">
        <f t="shared" si="108"/>
        <v>8220.6666666666661</v>
      </c>
      <c r="Q288" s="69">
        <f t="shared" si="108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 t="shared" ref="AB288:AG288" si="116">ROUND(SUM(AB281:AB287),5)</f>
        <v>0</v>
      </c>
      <c r="AC288" s="66">
        <f t="shared" si="116"/>
        <v>0</v>
      </c>
      <c r="AD288" s="66">
        <f t="shared" si="116"/>
        <v>0</v>
      </c>
      <c r="AE288" s="66">
        <f t="shared" si="116"/>
        <v>0</v>
      </c>
      <c r="AF288" s="66">
        <f t="shared" si="116"/>
        <v>0</v>
      </c>
      <c r="AG288" s="66">
        <f t="shared" si="116"/>
        <v>0</v>
      </c>
    </row>
    <row r="289" spans="1:33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  <c r="AF289" s="66"/>
      <c r="AG289" s="66"/>
    </row>
    <row r="290" spans="1:33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117">ROUND(H290+J290+L290,5)</f>
        <v>513.95000000000005</v>
      </c>
      <c r="O290" s="66">
        <f t="shared" si="117"/>
        <v>300</v>
      </c>
      <c r="P290" s="69">
        <f t="shared" si="108"/>
        <v>171.31666666666669</v>
      </c>
      <c r="Q290" s="69">
        <f t="shared" si="108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  <c r="AF290" s="66"/>
      <c r="AG290" s="66"/>
    </row>
    <row r="291" spans="1:33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117"/>
        <v>5543.87</v>
      </c>
      <c r="O291" s="66">
        <f t="shared" si="117"/>
        <v>800</v>
      </c>
      <c r="P291" s="69">
        <f t="shared" si="108"/>
        <v>1847.9566666666667</v>
      </c>
      <c r="Q291" s="69">
        <f t="shared" si="108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  <c r="AF291" s="66"/>
      <c r="AG291" s="66"/>
    </row>
    <row r="292" spans="1:33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117"/>
        <v>0</v>
      </c>
      <c r="O292" s="66">
        <f t="shared" si="117"/>
        <v>6718.32</v>
      </c>
      <c r="P292" s="69">
        <f t="shared" si="108"/>
        <v>0</v>
      </c>
      <c r="Q292" s="69">
        <f t="shared" si="108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  <c r="AF292" s="66"/>
      <c r="AG292" s="66"/>
    </row>
    <row r="293" spans="1:33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117"/>
        <v>1829.97</v>
      </c>
      <c r="O293" s="66">
        <f t="shared" si="117"/>
        <v>400</v>
      </c>
      <c r="P293" s="69">
        <f t="shared" si="108"/>
        <v>609.99</v>
      </c>
      <c r="Q293" s="69">
        <f t="shared" si="108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  <c r="AF293" s="66"/>
      <c r="AG293" s="66"/>
    </row>
    <row r="294" spans="1:33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117"/>
        <v>574.11</v>
      </c>
      <c r="O294" s="66">
        <f t="shared" si="117"/>
        <v>200</v>
      </c>
      <c r="P294" s="69">
        <f t="shared" si="108"/>
        <v>191.37</v>
      </c>
      <c r="Q294" s="69">
        <f t="shared" si="108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  <c r="AF294" s="66"/>
      <c r="AG294" s="66"/>
    </row>
    <row r="295" spans="1:33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117"/>
        <v>2094.56</v>
      </c>
      <c r="O295" s="66">
        <f t="shared" si="117"/>
        <v>700</v>
      </c>
      <c r="P295" s="69">
        <f t="shared" si="108"/>
        <v>698.18666666666661</v>
      </c>
      <c r="Q295" s="69">
        <f t="shared" si="108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  <c r="AF295" s="66"/>
      <c r="AG295" s="66"/>
    </row>
    <row r="296" spans="1:33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117"/>
        <v>143.52000000000001</v>
      </c>
      <c r="O296" s="66">
        <f t="shared" si="117"/>
        <v>0</v>
      </c>
      <c r="P296" s="69">
        <f t="shared" si="108"/>
        <v>47.84</v>
      </c>
      <c r="Q296" s="69">
        <f t="shared" si="108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  <c r="AF296" s="66"/>
      <c r="AG296" s="66"/>
    </row>
    <row r="297" spans="1:33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117"/>
        <v>0</v>
      </c>
      <c r="O297" s="66">
        <f t="shared" si="117"/>
        <v>100</v>
      </c>
      <c r="P297" s="69">
        <f t="shared" si="108"/>
        <v>0</v>
      </c>
      <c r="Q297" s="69">
        <f t="shared" si="108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  <c r="AF297" s="66"/>
      <c r="AG297" s="66"/>
    </row>
    <row r="298" spans="1:33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117"/>
        <v>1205.7</v>
      </c>
      <c r="O298" s="66">
        <f t="shared" si="117"/>
        <v>0</v>
      </c>
      <c r="P298" s="69">
        <f t="shared" si="108"/>
        <v>401.90000000000003</v>
      </c>
      <c r="Q298" s="69">
        <f t="shared" si="108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  <c r="AF298" s="66"/>
      <c r="AG298" s="66"/>
    </row>
    <row r="299" spans="1:33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117"/>
        <v>0</v>
      </c>
      <c r="O299" s="66">
        <f t="shared" si="117"/>
        <v>0</v>
      </c>
      <c r="P299" s="69">
        <f t="shared" si="108"/>
        <v>0</v>
      </c>
      <c r="Q299" s="69">
        <f t="shared" si="108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  <c r="AF299" s="66"/>
      <c r="AG299" s="66"/>
    </row>
    <row r="300" spans="1:33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117"/>
        <v>0</v>
      </c>
      <c r="O300" s="73">
        <f t="shared" si="117"/>
        <v>0</v>
      </c>
      <c r="P300" s="74">
        <f t="shared" si="108"/>
        <v>0</v>
      </c>
      <c r="Q300" s="74">
        <f t="shared" si="108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  <c r="AF300" s="73"/>
      <c r="AG300" s="73"/>
    </row>
    <row r="301" spans="1:33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118">ROUND(SUM(H289:H300),5)</f>
        <v>3691.61</v>
      </c>
      <c r="I301" s="63">
        <f t="shared" si="118"/>
        <v>0</v>
      </c>
      <c r="J301" s="64">
        <f t="shared" si="118"/>
        <v>4249.07</v>
      </c>
      <c r="K301" s="64">
        <f t="shared" si="118"/>
        <v>6718.32</v>
      </c>
      <c r="L301" s="65">
        <f t="shared" si="118"/>
        <v>3965</v>
      </c>
      <c r="M301" s="65">
        <f t="shared" si="118"/>
        <v>2500</v>
      </c>
      <c r="N301" s="66">
        <f t="shared" si="117"/>
        <v>11905.68</v>
      </c>
      <c r="O301" s="66">
        <f t="shared" si="117"/>
        <v>9218.32</v>
      </c>
      <c r="P301" s="69">
        <f t="shared" si="108"/>
        <v>3968.56</v>
      </c>
      <c r="Q301" s="69">
        <f t="shared" si="108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 t="shared" ref="AB301:AG301" si="119">ROUND(SUM(AB289:AB300),5)</f>
        <v>0</v>
      </c>
      <c r="AC301" s="66">
        <f t="shared" si="119"/>
        <v>0</v>
      </c>
      <c r="AD301" s="66">
        <f t="shared" si="119"/>
        <v>0</v>
      </c>
      <c r="AE301" s="66">
        <f t="shared" si="119"/>
        <v>0</v>
      </c>
      <c r="AF301" s="66">
        <f t="shared" si="119"/>
        <v>0</v>
      </c>
      <c r="AG301" s="66">
        <f t="shared" si="119"/>
        <v>0</v>
      </c>
    </row>
    <row r="302" spans="1:33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  <c r="AF302" s="66"/>
      <c r="AG302" s="66"/>
    </row>
    <row r="303" spans="1:33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120">ROUND(H303+J303+L303,5)</f>
        <v>4407.63</v>
      </c>
      <c r="O303" s="66">
        <f t="shared" si="120"/>
        <v>7218.32</v>
      </c>
      <c r="P303" s="69">
        <f t="shared" si="108"/>
        <v>1469.21</v>
      </c>
      <c r="Q303" s="69">
        <f t="shared" si="108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  <c r="AF303" s="66"/>
      <c r="AG303" s="66"/>
    </row>
    <row r="304" spans="1:33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120"/>
        <v>62.18</v>
      </c>
      <c r="O304" s="66">
        <f t="shared" si="120"/>
        <v>659.86</v>
      </c>
      <c r="P304" s="69">
        <f t="shared" si="108"/>
        <v>20.726666666666667</v>
      </c>
      <c r="Q304" s="69">
        <f t="shared" si="108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  <c r="AF304" s="66"/>
      <c r="AG304" s="66"/>
    </row>
    <row r="305" spans="1:33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120"/>
        <v>1422.94</v>
      </c>
      <c r="O305" s="66">
        <f t="shared" si="120"/>
        <v>5438.74</v>
      </c>
      <c r="P305" s="69">
        <f t="shared" si="108"/>
        <v>474.31333333333333</v>
      </c>
      <c r="Q305" s="69">
        <f t="shared" si="108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  <c r="AF305" s="66"/>
      <c r="AG305" s="66"/>
    </row>
    <row r="306" spans="1:33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120"/>
        <v>602.46</v>
      </c>
      <c r="O306" s="73">
        <f t="shared" si="120"/>
        <v>756.04</v>
      </c>
      <c r="P306" s="74">
        <f t="shared" si="108"/>
        <v>200.82000000000002</v>
      </c>
      <c r="Q306" s="74">
        <f t="shared" si="108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  <c r="AF306" s="73"/>
      <c r="AG306" s="73"/>
    </row>
    <row r="307" spans="1:33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121">ROUND(SUM(H302:H306),5)</f>
        <v>358.49</v>
      </c>
      <c r="I307" s="63">
        <f t="shared" si="121"/>
        <v>0</v>
      </c>
      <c r="J307" s="64">
        <f t="shared" si="121"/>
        <v>1711.98</v>
      </c>
      <c r="K307" s="64">
        <f t="shared" si="121"/>
        <v>12672.96</v>
      </c>
      <c r="L307" s="65">
        <f t="shared" si="121"/>
        <v>4424.74</v>
      </c>
      <c r="M307" s="65">
        <f t="shared" si="121"/>
        <v>1400</v>
      </c>
      <c r="N307" s="66">
        <f t="shared" si="120"/>
        <v>6495.21</v>
      </c>
      <c r="O307" s="66">
        <f t="shared" si="120"/>
        <v>14072.96</v>
      </c>
      <c r="P307" s="69">
        <f t="shared" si="108"/>
        <v>2165.0700000000002</v>
      </c>
      <c r="Q307" s="69">
        <f t="shared" si="108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 t="shared" ref="AB307:AG307" si="122">ROUND(SUM(AB302:AB306),5)</f>
        <v>0</v>
      </c>
      <c r="AC307" s="66">
        <f t="shared" si="122"/>
        <v>0</v>
      </c>
      <c r="AD307" s="66">
        <f t="shared" si="122"/>
        <v>0</v>
      </c>
      <c r="AE307" s="66">
        <f t="shared" si="122"/>
        <v>0</v>
      </c>
      <c r="AF307" s="66">
        <f t="shared" si="122"/>
        <v>0</v>
      </c>
      <c r="AG307" s="66">
        <f t="shared" si="122"/>
        <v>0</v>
      </c>
    </row>
    <row r="308" spans="1:33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  <c r="AF308" s="66"/>
      <c r="AG308" s="66"/>
    </row>
    <row r="309" spans="1:33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123">ROUND(H309+J309+L309,5)</f>
        <v>9703.68</v>
      </c>
      <c r="O309" s="66">
        <f t="shared" si="123"/>
        <v>5278.88</v>
      </c>
      <c r="P309" s="69">
        <f t="shared" si="108"/>
        <v>3234.56</v>
      </c>
      <c r="Q309" s="69">
        <f t="shared" si="108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  <c r="AF309" s="66"/>
      <c r="AG309" s="66"/>
    </row>
    <row r="310" spans="1:33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123"/>
        <v>884.39</v>
      </c>
      <c r="O310" s="66">
        <f t="shared" si="123"/>
        <v>2439.44</v>
      </c>
      <c r="P310" s="69">
        <f t="shared" si="108"/>
        <v>294.79666666666668</v>
      </c>
      <c r="Q310" s="69">
        <f t="shared" si="108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  <c r="AF310" s="66"/>
      <c r="AG310" s="66"/>
    </row>
    <row r="311" spans="1:33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123"/>
        <v>979.97</v>
      </c>
      <c r="O311" s="66">
        <f t="shared" si="123"/>
        <v>6758.46</v>
      </c>
      <c r="P311" s="69">
        <f t="shared" si="108"/>
        <v>326.65666666666669</v>
      </c>
      <c r="Q311" s="69">
        <f t="shared" si="108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  <c r="AF311" s="66"/>
      <c r="AG311" s="66"/>
    </row>
    <row r="312" spans="1:33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123"/>
        <v>404.46</v>
      </c>
      <c r="O312" s="66">
        <f t="shared" si="123"/>
        <v>1679.58</v>
      </c>
      <c r="P312" s="69">
        <f t="shared" si="108"/>
        <v>134.82</v>
      </c>
      <c r="Q312" s="69">
        <f t="shared" si="108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  <c r="AF312" s="66"/>
      <c r="AG312" s="66"/>
    </row>
    <row r="313" spans="1:33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123"/>
        <v>4314.07</v>
      </c>
      <c r="O313" s="66">
        <f t="shared" si="123"/>
        <v>2480.1999999999998</v>
      </c>
      <c r="P313" s="69">
        <f t="shared" si="108"/>
        <v>1438.0233333333333</v>
      </c>
      <c r="Q313" s="69">
        <f t="shared" si="108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  <c r="AF313" s="66"/>
      <c r="AG313" s="66"/>
    </row>
    <row r="314" spans="1:33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123"/>
        <v>487.74</v>
      </c>
      <c r="O314" s="66">
        <f t="shared" si="123"/>
        <v>912.08</v>
      </c>
      <c r="P314" s="69">
        <f t="shared" si="108"/>
        <v>162.58000000000001</v>
      </c>
      <c r="Q314" s="69">
        <f t="shared" si="108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  <c r="AF314" s="66"/>
      <c r="AG314" s="66"/>
    </row>
    <row r="315" spans="1:33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123"/>
        <v>2326.19</v>
      </c>
      <c r="O315" s="66">
        <f t="shared" si="123"/>
        <v>6398.6</v>
      </c>
      <c r="P315" s="69">
        <f t="shared" si="108"/>
        <v>775.39666666666665</v>
      </c>
      <c r="Q315" s="69">
        <f t="shared" si="108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  <c r="AF315" s="66"/>
      <c r="AG315" s="66"/>
    </row>
    <row r="316" spans="1:33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123"/>
        <v>229.23</v>
      </c>
      <c r="O316" s="66">
        <f t="shared" si="123"/>
        <v>2239.44</v>
      </c>
      <c r="P316" s="69">
        <f t="shared" si="108"/>
        <v>76.41</v>
      </c>
      <c r="Q316" s="69">
        <f t="shared" si="108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  <c r="AF316" s="66"/>
      <c r="AG316" s="66"/>
    </row>
    <row r="317" spans="1:33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123"/>
        <v>759.74</v>
      </c>
      <c r="O317" s="66">
        <f t="shared" si="123"/>
        <v>1524.12</v>
      </c>
      <c r="P317" s="69">
        <f t="shared" si="108"/>
        <v>253.24666666666667</v>
      </c>
      <c r="Q317" s="69">
        <f t="shared" si="108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  <c r="AF317" s="66"/>
      <c r="AG317" s="66"/>
    </row>
    <row r="318" spans="1:33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123"/>
        <v>84.4</v>
      </c>
      <c r="O318" s="73">
        <f t="shared" si="123"/>
        <v>0</v>
      </c>
      <c r="P318" s="74">
        <f t="shared" si="108"/>
        <v>28.133333333333336</v>
      </c>
      <c r="Q318" s="74">
        <f t="shared" si="108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  <c r="AF318" s="73"/>
      <c r="AG318" s="73"/>
    </row>
    <row r="319" spans="1:33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124">ROUND(SUM(H308:H318),5)</f>
        <v>5951.81</v>
      </c>
      <c r="I319" s="63">
        <f t="shared" si="124"/>
        <v>0</v>
      </c>
      <c r="J319" s="64">
        <f t="shared" si="124"/>
        <v>9394.2800000000007</v>
      </c>
      <c r="K319" s="64">
        <f t="shared" si="124"/>
        <v>26310.799999999999</v>
      </c>
      <c r="L319" s="65">
        <f t="shared" si="124"/>
        <v>4827.78</v>
      </c>
      <c r="M319" s="65">
        <f t="shared" si="124"/>
        <v>3400</v>
      </c>
      <c r="N319" s="66">
        <f t="shared" si="123"/>
        <v>20173.87</v>
      </c>
      <c r="O319" s="66">
        <f t="shared" si="123"/>
        <v>29710.799999999999</v>
      </c>
      <c r="P319" s="69">
        <f t="shared" si="108"/>
        <v>6724.623333333333</v>
      </c>
      <c r="Q319" s="69">
        <f t="shared" si="108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 t="shared" ref="AB319:AG319" si="125">ROUND(SUM(AB308:AB318),5)</f>
        <v>0</v>
      </c>
      <c r="AC319" s="66">
        <f t="shared" si="125"/>
        <v>0</v>
      </c>
      <c r="AD319" s="66">
        <f t="shared" si="125"/>
        <v>0</v>
      </c>
      <c r="AE319" s="66">
        <f t="shared" si="125"/>
        <v>0</v>
      </c>
      <c r="AF319" s="66">
        <f t="shared" si="125"/>
        <v>0</v>
      </c>
      <c r="AG319" s="66">
        <f t="shared" si="125"/>
        <v>0</v>
      </c>
    </row>
    <row r="320" spans="1:33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  <c r="AF320" s="66"/>
      <c r="AG320" s="66"/>
    </row>
    <row r="321" spans="1:35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126">ROUND(H321+J321+L321,5)</f>
        <v>17798.97</v>
      </c>
      <c r="O321" s="66">
        <f t="shared" si="126"/>
        <v>26035.49</v>
      </c>
      <c r="P321" s="69">
        <f t="shared" si="108"/>
        <v>5932.9900000000007</v>
      </c>
      <c r="Q321" s="69">
        <f t="shared" si="108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  <c r="AF321" s="66"/>
      <c r="AG321" s="66"/>
    </row>
    <row r="322" spans="1:35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126"/>
        <v>3570.09</v>
      </c>
      <c r="O322" s="66">
        <f t="shared" si="126"/>
        <v>10078.280000000001</v>
      </c>
      <c r="P322" s="69">
        <f t="shared" si="108"/>
        <v>1190.03</v>
      </c>
      <c r="Q322" s="69">
        <f t="shared" si="108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  <c r="AF322" s="66"/>
      <c r="AG322" s="66"/>
    </row>
    <row r="323" spans="1:35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126"/>
        <v>7211.43</v>
      </c>
      <c r="O323" s="66">
        <f t="shared" si="126"/>
        <v>7893.22</v>
      </c>
      <c r="P323" s="69">
        <f t="shared" si="108"/>
        <v>2403.81</v>
      </c>
      <c r="Q323" s="69">
        <f t="shared" si="108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  <c r="AF323" s="66"/>
      <c r="AG323" s="66"/>
    </row>
    <row r="324" spans="1:35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126"/>
        <v>1219.69</v>
      </c>
      <c r="O324" s="66">
        <f t="shared" si="126"/>
        <v>1271.28</v>
      </c>
      <c r="P324" s="69">
        <f t="shared" ref="P324:Q387" si="127">N324/3</f>
        <v>406.56333333333333</v>
      </c>
      <c r="Q324" s="69">
        <f t="shared" si="127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  <c r="AF324" s="66"/>
      <c r="AG324" s="66"/>
    </row>
    <row r="325" spans="1:35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126"/>
        <v>20508.62</v>
      </c>
      <c r="O325" s="66">
        <f t="shared" si="126"/>
        <v>19153.73</v>
      </c>
      <c r="P325" s="69">
        <f t="shared" si="127"/>
        <v>6836.206666666666</v>
      </c>
      <c r="Q325" s="69">
        <f t="shared" si="127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  <c r="AF325" s="66"/>
      <c r="AG325" s="66"/>
    </row>
    <row r="326" spans="1:35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126"/>
        <v>2276.86</v>
      </c>
      <c r="O326" s="66">
        <f t="shared" si="126"/>
        <v>0</v>
      </c>
      <c r="P326" s="69">
        <f t="shared" si="127"/>
        <v>758.95333333333338</v>
      </c>
      <c r="Q326" s="69">
        <f t="shared" si="127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  <c r="AF326" s="66"/>
      <c r="AG326" s="66"/>
    </row>
    <row r="327" spans="1:35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  <c r="AF327" s="73"/>
      <c r="AG327" s="73"/>
    </row>
    <row r="328" spans="1:35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128">ROUND(SUM(H320:H326),5)</f>
        <v>14703.25</v>
      </c>
      <c r="I328" s="63">
        <f t="shared" si="128"/>
        <v>0</v>
      </c>
      <c r="J328" s="64">
        <f t="shared" si="128"/>
        <v>19844.400000000001</v>
      </c>
      <c r="K328" s="64">
        <f t="shared" si="128"/>
        <v>9669.84</v>
      </c>
      <c r="L328" s="65">
        <f t="shared" si="128"/>
        <v>18038.009999999998</v>
      </c>
      <c r="M328" s="65">
        <f t="shared" si="128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127"/>
        <v>17528.553333333333</v>
      </c>
      <c r="Q328" s="69">
        <f t="shared" si="127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 t="shared" ref="AB328:AG328" si="129">ROUND(SUM(AB320:AB327),5)</f>
        <v>0</v>
      </c>
      <c r="AC328" s="66">
        <f t="shared" si="129"/>
        <v>0</v>
      </c>
      <c r="AD328" s="66">
        <f t="shared" si="129"/>
        <v>0</v>
      </c>
      <c r="AE328" s="66">
        <f t="shared" si="129"/>
        <v>0</v>
      </c>
      <c r="AF328" s="66">
        <f t="shared" si="129"/>
        <v>0</v>
      </c>
      <c r="AG328" s="66">
        <f t="shared" si="129"/>
        <v>0</v>
      </c>
    </row>
    <row r="329" spans="1:35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  <c r="AF329" s="66"/>
      <c r="AG329" s="66"/>
    </row>
    <row r="330" spans="1:35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130">ROUND(H330+J330+L330,5)</f>
        <v>291196.26</v>
      </c>
      <c r="O330" s="73">
        <f t="shared" si="130"/>
        <v>74045.47</v>
      </c>
      <c r="P330" s="74">
        <f t="shared" si="127"/>
        <v>97065.42</v>
      </c>
      <c r="Q330" s="74">
        <f t="shared" si="127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  <c r="AF330" s="73"/>
      <c r="AG330" s="73"/>
    </row>
    <row r="331" spans="1:35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131">ROUND(SUM(H329:H330),5)</f>
        <v>70479.55</v>
      </c>
      <c r="I331" s="63">
        <f t="shared" si="131"/>
        <v>74045.47</v>
      </c>
      <c r="J331" s="64">
        <f t="shared" si="131"/>
        <v>78550</v>
      </c>
      <c r="K331" s="64">
        <f t="shared" si="131"/>
        <v>0</v>
      </c>
      <c r="L331" s="65">
        <f t="shared" si="131"/>
        <v>142166.71</v>
      </c>
      <c r="M331" s="65">
        <f t="shared" si="131"/>
        <v>0</v>
      </c>
      <c r="N331" s="66">
        <f t="shared" si="130"/>
        <v>291196.26</v>
      </c>
      <c r="O331" s="66">
        <f t="shared" si="130"/>
        <v>74045.47</v>
      </c>
      <c r="P331" s="69">
        <f t="shared" si="127"/>
        <v>97065.42</v>
      </c>
      <c r="Q331" s="69">
        <f t="shared" si="127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F331" si="132">ROUND(SUM(Z329:Z330),5)</f>
        <v>0</v>
      </c>
      <c r="AA331" s="140"/>
      <c r="AB331" s="66">
        <f t="shared" si="132"/>
        <v>0</v>
      </c>
      <c r="AC331" s="66">
        <f t="shared" si="132"/>
        <v>0</v>
      </c>
      <c r="AD331" s="66">
        <f t="shared" si="132"/>
        <v>0</v>
      </c>
      <c r="AE331" s="66">
        <f t="shared" si="132"/>
        <v>0</v>
      </c>
      <c r="AF331" s="66">
        <f t="shared" si="132"/>
        <v>0</v>
      </c>
      <c r="AG331" s="66">
        <f t="shared" ref="AG331" si="133">ROUND(SUM(AG329:AG330),5)</f>
        <v>0</v>
      </c>
    </row>
    <row r="332" spans="1:35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130"/>
        <v>0</v>
      </c>
      <c r="O332" s="73">
        <f t="shared" si="130"/>
        <v>61404.95</v>
      </c>
      <c r="P332" s="74">
        <f t="shared" si="127"/>
        <v>0</v>
      </c>
      <c r="Q332" s="74">
        <f t="shared" si="127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</row>
    <row r="333" spans="1:35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34">ROUND(SUM(H227:H228)+H234+H257+H263+H280+H288+H301+H307+H319+H328+SUM(H331:H332),5)</f>
        <v>188585.61</v>
      </c>
      <c r="I333" s="63">
        <f t="shared" si="134"/>
        <v>138009</v>
      </c>
      <c r="J333" s="64">
        <f t="shared" si="134"/>
        <v>203924.74</v>
      </c>
      <c r="K333" s="64">
        <f t="shared" si="134"/>
        <v>194923.04</v>
      </c>
      <c r="L333" s="65">
        <f t="shared" si="134"/>
        <v>249596.1</v>
      </c>
      <c r="M333" s="65">
        <f t="shared" si="134"/>
        <v>148293.14000000001</v>
      </c>
      <c r="N333" s="66">
        <f t="shared" si="130"/>
        <v>642106.44999999995</v>
      </c>
      <c r="O333" s="66">
        <f t="shared" si="130"/>
        <v>481225.18</v>
      </c>
      <c r="P333" s="69">
        <f t="shared" si="127"/>
        <v>214035.48333333331</v>
      </c>
      <c r="Q333" s="69">
        <f t="shared" si="127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 t="shared" ref="AB333:AF333" si="135">ROUND(SUM(AB227:AB228)+AB234+AB257+AB263+AB280+AB288+AB301+AB307+AB319+AB328+SUM(AB331:AB332),5)</f>
        <v>227894.31142000001</v>
      </c>
      <c r="AC333" s="80">
        <f t="shared" si="135"/>
        <v>227894.31142000001</v>
      </c>
      <c r="AD333" s="80">
        <f t="shared" si="135"/>
        <v>243375.95202</v>
      </c>
      <c r="AE333" s="80">
        <f t="shared" si="135"/>
        <v>205210.84</v>
      </c>
      <c r="AF333" s="80">
        <f t="shared" si="135"/>
        <v>205210.84</v>
      </c>
      <c r="AG333" s="80">
        <f>ROUND(SUM(AG227:AG228)+AG234+AG257+AG263+AG280+AG288+AG301+AG307+AG319+AG328+SUM(AG331:AG332),0)</f>
        <v>205211</v>
      </c>
      <c r="AI333" s="110" t="s">
        <v>987</v>
      </c>
    </row>
    <row r="334" spans="1:35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66"/>
      <c r="AG334" s="66"/>
      <c r="AH334" s="195"/>
      <c r="AI334" s="185"/>
    </row>
    <row r="335" spans="1:35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66"/>
      <c r="AG335" s="66"/>
      <c r="AH335" s="195"/>
      <c r="AI335" s="185"/>
    </row>
    <row r="336" spans="1:35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136">ROUND(H336+J336+L336,5)</f>
        <v>21365</v>
      </c>
      <c r="O336" s="66">
        <v>0</v>
      </c>
      <c r="P336" s="69">
        <f t="shared" si="127"/>
        <v>7121.666666666667</v>
      </c>
      <c r="Q336" s="69">
        <f t="shared" si="127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</row>
    <row r="337" spans="1:35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36"/>
        <v>97979.59</v>
      </c>
      <c r="O337" s="66">
        <f>ROUND(I337+K337+M337,5)</f>
        <v>40000</v>
      </c>
      <c r="P337" s="69">
        <f t="shared" si="127"/>
        <v>32659.863333333331</v>
      </c>
      <c r="Q337" s="69">
        <f t="shared" si="127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</row>
    <row r="338" spans="1:35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36"/>
        <v>22480.97</v>
      </c>
      <c r="O338" s="66">
        <v>0</v>
      </c>
      <c r="P338" s="69">
        <f t="shared" si="127"/>
        <v>7493.6566666666668</v>
      </c>
      <c r="Q338" s="69">
        <f t="shared" si="127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</row>
    <row r="339" spans="1:35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36"/>
        <v>680</v>
      </c>
      <c r="O339" s="66">
        <f>ROUND(I339+K339+M339,5)</f>
        <v>0</v>
      </c>
      <c r="P339" s="69">
        <f t="shared" si="127"/>
        <v>226.66666666666666</v>
      </c>
      <c r="Q339" s="69">
        <f t="shared" si="127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  <c r="AG339" s="168">
        <v>50000</v>
      </c>
    </row>
    <row r="340" spans="1:35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  <c r="AG340" s="168">
        <v>50000</v>
      </c>
    </row>
    <row r="341" spans="1:35" ht="16.5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36"/>
        <v>6830</v>
      </c>
      <c r="O341" s="73">
        <f>ROUND(I341+K341+M341,5)</f>
        <v>26000</v>
      </c>
      <c r="P341" s="74">
        <f t="shared" si="127"/>
        <v>2276.6666666666665</v>
      </c>
      <c r="Q341" s="74">
        <f t="shared" si="127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  <c r="AF341" s="73"/>
      <c r="AG341" s="66">
        <v>33125</v>
      </c>
      <c r="AH341" s="206" t="s">
        <v>1000</v>
      </c>
      <c r="AI341" s="110" t="s">
        <v>962</v>
      </c>
    </row>
    <row r="342" spans="1:35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37">ROUND(SUM(H335:H341),5)</f>
        <v>19670</v>
      </c>
      <c r="I342" s="63">
        <f t="shared" si="137"/>
        <v>0</v>
      </c>
      <c r="J342" s="64">
        <f t="shared" si="137"/>
        <v>94715.56</v>
      </c>
      <c r="K342" s="64">
        <f t="shared" si="137"/>
        <v>26000</v>
      </c>
      <c r="L342" s="65">
        <f t="shared" si="137"/>
        <v>34950</v>
      </c>
      <c r="M342" s="65">
        <f t="shared" si="137"/>
        <v>40000</v>
      </c>
      <c r="N342" s="66">
        <f t="shared" si="136"/>
        <v>149335.56</v>
      </c>
      <c r="O342" s="66">
        <f>ROUND(I342+K342+M342,5)</f>
        <v>66000</v>
      </c>
      <c r="P342" s="69">
        <f t="shared" si="127"/>
        <v>49778.52</v>
      </c>
      <c r="Q342" s="69">
        <f t="shared" si="127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 t="shared" ref="AB342:AG342" si="138">ROUND(SUM(AB335:AB341),5)</f>
        <v>100000</v>
      </c>
      <c r="AC342" s="80">
        <f t="shared" si="138"/>
        <v>100000</v>
      </c>
      <c r="AD342" s="80">
        <f t="shared" si="138"/>
        <v>100000</v>
      </c>
      <c r="AE342" s="80">
        <f t="shared" si="138"/>
        <v>100000</v>
      </c>
      <c r="AF342" s="80">
        <f t="shared" si="138"/>
        <v>100000</v>
      </c>
      <c r="AG342" s="80">
        <f t="shared" si="138"/>
        <v>133125</v>
      </c>
    </row>
    <row r="343" spans="1:35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36"/>
        <v>110000</v>
      </c>
      <c r="O343" s="66">
        <f>ROUND(I343+K343+M343,5)</f>
        <v>135000</v>
      </c>
      <c r="P343" s="69">
        <f t="shared" si="127"/>
        <v>36666.666666666664</v>
      </c>
      <c r="Q343" s="69">
        <f t="shared" si="127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  <c r="AG343" s="66">
        <v>35000</v>
      </c>
    </row>
    <row r="344" spans="1:35" ht="16" x14ac:dyDescent="0.35">
      <c r="A344" s="66"/>
      <c r="B344" s="66"/>
      <c r="C344" s="49"/>
      <c r="D344" s="49"/>
      <c r="E344" s="49"/>
      <c r="F344" s="49" t="s">
        <v>990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36"/>
        <v>2807</v>
      </c>
      <c r="O344" s="66">
        <f>ROUND(I344+K344+M344,5)</f>
        <v>71745</v>
      </c>
      <c r="P344" s="69">
        <f t="shared" si="127"/>
        <v>935.66666666666663</v>
      </c>
      <c r="Q344" s="69">
        <f t="shared" si="127"/>
        <v>23915</v>
      </c>
      <c r="R344" s="54"/>
      <c r="S344" s="49"/>
      <c r="T344" s="49"/>
      <c r="U344" s="49"/>
      <c r="V344" s="49"/>
      <c r="W344" s="49"/>
      <c r="X344" s="49" t="s">
        <v>990</v>
      </c>
      <c r="Y344" s="49"/>
      <c r="Z344" s="66">
        <v>0</v>
      </c>
      <c r="AA344" s="140"/>
      <c r="AB344" s="168">
        <v>0</v>
      </c>
      <c r="AC344" s="168">
        <v>0</v>
      </c>
      <c r="AD344" s="168">
        <v>0</v>
      </c>
      <c r="AE344" s="168">
        <v>0</v>
      </c>
      <c r="AF344" s="168">
        <v>10000</v>
      </c>
      <c r="AG344" s="66">
        <v>10000</v>
      </c>
      <c r="AH344" s="206" t="s">
        <v>1000</v>
      </c>
      <c r="AI344" s="186" t="s">
        <v>955</v>
      </c>
    </row>
    <row r="345" spans="1:35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36"/>
        <v>600</v>
      </c>
      <c r="O345" s="66">
        <v>0</v>
      </c>
      <c r="P345" s="69">
        <f t="shared" si="127"/>
        <v>200</v>
      </c>
      <c r="Q345" s="69">
        <f t="shared" si="127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</row>
    <row r="346" spans="1:35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36"/>
        <v>4601.16</v>
      </c>
      <c r="O346" s="66">
        <f t="shared" si="136"/>
        <v>5000</v>
      </c>
      <c r="P346" s="69">
        <f t="shared" si="127"/>
        <v>1533.72</v>
      </c>
      <c r="Q346" s="69">
        <f t="shared" si="127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  <c r="AG346" s="66">
        <v>1500</v>
      </c>
    </row>
    <row r="347" spans="1:35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36"/>
        <v>0</v>
      </c>
      <c r="O347" s="66">
        <f t="shared" si="136"/>
        <v>0</v>
      </c>
      <c r="P347" s="69">
        <f t="shared" si="127"/>
        <v>0</v>
      </c>
      <c r="Q347" s="69">
        <f t="shared" si="127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</row>
    <row r="348" spans="1:35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36"/>
        <v>55866.65</v>
      </c>
      <c r="O348" s="66">
        <f t="shared" si="136"/>
        <v>39369.230000000003</v>
      </c>
      <c r="P348" s="69">
        <f t="shared" si="127"/>
        <v>18622.216666666667</v>
      </c>
      <c r="Q348" s="69">
        <f t="shared" si="127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  <c r="AG348" s="66">
        <v>19164</v>
      </c>
    </row>
    <row r="349" spans="1:35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36"/>
        <v>12578.7</v>
      </c>
      <c r="O349" s="66">
        <f t="shared" si="136"/>
        <v>11353.85</v>
      </c>
      <c r="P349" s="69">
        <f t="shared" si="127"/>
        <v>4192.9000000000005</v>
      </c>
      <c r="Q349" s="69">
        <f t="shared" si="127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  <c r="AG349" s="66">
        <v>4000</v>
      </c>
    </row>
    <row r="350" spans="1:35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36"/>
        <v>43549.17</v>
      </c>
      <c r="O350" s="66">
        <f t="shared" si="136"/>
        <v>35000</v>
      </c>
      <c r="P350" s="69">
        <f t="shared" si="127"/>
        <v>14516.39</v>
      </c>
      <c r="Q350" s="69">
        <f t="shared" si="127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G350" s="66">
        <f>ROUND(12117.4*1.5, 0)</f>
        <v>18176</v>
      </c>
      <c r="AH350" s="182"/>
      <c r="AI350" s="110" t="s">
        <v>970</v>
      </c>
    </row>
    <row r="351" spans="1:35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36"/>
        <v>7760.69</v>
      </c>
      <c r="O351" s="66">
        <f t="shared" si="136"/>
        <v>20000</v>
      </c>
      <c r="P351" s="69">
        <f t="shared" si="127"/>
        <v>2586.8966666666665</v>
      </c>
      <c r="Q351" s="69">
        <f t="shared" si="127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190"/>
    </row>
    <row r="352" spans="1:35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36"/>
        <v>44149.02</v>
      </c>
      <c r="O352" s="66">
        <f t="shared" si="136"/>
        <v>34250.04</v>
      </c>
      <c r="P352" s="69">
        <f t="shared" si="127"/>
        <v>14716.339999999998</v>
      </c>
      <c r="Q352" s="69">
        <f t="shared" si="127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  <c r="AG352" s="66">
        <v>20000</v>
      </c>
    </row>
    <row r="353" spans="1:34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36"/>
        <v>1956.11</v>
      </c>
      <c r="O353" s="66">
        <f t="shared" si="136"/>
        <v>22500</v>
      </c>
      <c r="P353" s="69">
        <f t="shared" si="127"/>
        <v>652.03666666666663</v>
      </c>
      <c r="Q353" s="69">
        <f t="shared" si="127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</row>
    <row r="354" spans="1:34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36"/>
        <v>34446</v>
      </c>
      <c r="O354" s="66">
        <f t="shared" si="136"/>
        <v>20748</v>
      </c>
      <c r="P354" s="69">
        <f t="shared" si="127"/>
        <v>11482</v>
      </c>
      <c r="Q354" s="69">
        <f t="shared" si="127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</row>
    <row r="355" spans="1:34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36"/>
        <v>2154.44</v>
      </c>
      <c r="O355" s="66">
        <f t="shared" si="136"/>
        <v>3605</v>
      </c>
      <c r="P355" s="69">
        <f t="shared" si="127"/>
        <v>718.14666666666665</v>
      </c>
      <c r="Q355" s="69">
        <f t="shared" si="127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</row>
    <row r="356" spans="1:34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36"/>
        <v>20339.71</v>
      </c>
      <c r="O356" s="66">
        <f t="shared" si="136"/>
        <v>13000</v>
      </c>
      <c r="P356" s="69">
        <f t="shared" si="127"/>
        <v>6779.9033333333327</v>
      </c>
      <c r="Q356" s="69">
        <f t="shared" si="127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  <c r="AG356" s="66">
        <v>9000</v>
      </c>
    </row>
    <row r="357" spans="1:34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36"/>
        <v>500</v>
      </c>
      <c r="O357" s="66">
        <f t="shared" si="136"/>
        <v>0</v>
      </c>
      <c r="P357" s="69">
        <f t="shared" si="127"/>
        <v>166.66666666666666</v>
      </c>
      <c r="Q357" s="69">
        <f t="shared" si="127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</row>
    <row r="358" spans="1:34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  <c r="AF358" s="66"/>
      <c r="AG358" s="66"/>
    </row>
    <row r="359" spans="1:34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39">ROUND(H359+J359+L359,5)</f>
        <v>84190</v>
      </c>
      <c r="O359" s="66">
        <f t="shared" si="139"/>
        <v>49784.88</v>
      </c>
      <c r="P359" s="69">
        <f t="shared" si="127"/>
        <v>28063.333333333332</v>
      </c>
      <c r="Q359" s="69">
        <f t="shared" si="127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  <c r="AG359" s="66">
        <v>0</v>
      </c>
    </row>
    <row r="360" spans="1:34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39"/>
        <v>0</v>
      </c>
      <c r="O360" s="73">
        <f t="shared" si="139"/>
        <v>15000</v>
      </c>
      <c r="P360" s="74">
        <f t="shared" si="127"/>
        <v>0</v>
      </c>
      <c r="Q360" s="74">
        <f t="shared" si="127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  <c r="AG360" s="73">
        <v>0</v>
      </c>
    </row>
    <row r="361" spans="1:34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40">ROUND(SUM(H358:H360),5)</f>
        <v>31425</v>
      </c>
      <c r="I361" s="63">
        <f t="shared" si="140"/>
        <v>15000</v>
      </c>
      <c r="J361" s="64">
        <f t="shared" si="140"/>
        <v>27367.5</v>
      </c>
      <c r="K361" s="64">
        <f t="shared" si="140"/>
        <v>28917.38</v>
      </c>
      <c r="L361" s="65">
        <f t="shared" si="140"/>
        <v>25397.5</v>
      </c>
      <c r="M361" s="65">
        <f t="shared" si="140"/>
        <v>20867.5</v>
      </c>
      <c r="N361" s="66">
        <f t="shared" si="139"/>
        <v>84190</v>
      </c>
      <c r="O361" s="66">
        <f t="shared" si="139"/>
        <v>64784.88</v>
      </c>
      <c r="P361" s="69">
        <f t="shared" si="127"/>
        <v>28063.333333333332</v>
      </c>
      <c r="Q361" s="69">
        <f t="shared" si="127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 t="shared" ref="AB361:AG361" si="141">ROUND(SUM(AB358:AB360),5)</f>
        <v>0</v>
      </c>
      <c r="AC361" s="80">
        <f t="shared" si="141"/>
        <v>0</v>
      </c>
      <c r="AD361" s="80">
        <f t="shared" si="141"/>
        <v>0</v>
      </c>
      <c r="AE361" s="80">
        <f t="shared" si="141"/>
        <v>0</v>
      </c>
      <c r="AF361" s="80">
        <f t="shared" si="141"/>
        <v>0</v>
      </c>
      <c r="AG361" s="80">
        <f t="shared" si="141"/>
        <v>0</v>
      </c>
    </row>
    <row r="362" spans="1:34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39"/>
        <v>0</v>
      </c>
      <c r="O362" s="66">
        <f t="shared" si="139"/>
        <v>0</v>
      </c>
      <c r="P362" s="69">
        <f t="shared" si="127"/>
        <v>0</v>
      </c>
      <c r="Q362" s="69">
        <f t="shared" si="127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  <c r="AF362" s="66"/>
      <c r="AG362" s="66"/>
    </row>
    <row r="363" spans="1:34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42">ROUND(H334+SUM(H342:H357)+SUM(H361:H362),5)</f>
        <v>166149.76999999999</v>
      </c>
      <c r="I363" s="83">
        <f t="shared" si="142"/>
        <v>161924.6</v>
      </c>
      <c r="J363" s="84">
        <f t="shared" si="142"/>
        <v>213318.06</v>
      </c>
      <c r="K363" s="84">
        <f t="shared" si="142"/>
        <v>155784.65</v>
      </c>
      <c r="L363" s="85">
        <f t="shared" si="142"/>
        <v>195366.38</v>
      </c>
      <c r="M363" s="85">
        <f t="shared" si="142"/>
        <v>224646.75</v>
      </c>
      <c r="N363" s="86">
        <f t="shared" si="139"/>
        <v>574834.21</v>
      </c>
      <c r="O363" s="86">
        <f t="shared" si="139"/>
        <v>542356</v>
      </c>
      <c r="P363" s="87">
        <f t="shared" si="127"/>
        <v>191611.40333333332</v>
      </c>
      <c r="Q363" s="87">
        <f t="shared" si="127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 t="shared" ref="AB363:AG363" si="143">ROUND(AB334+SUM(AB342:AB357)+SUM(AB361:AB362),5)</f>
        <v>199017.1</v>
      </c>
      <c r="AC363" s="88">
        <f t="shared" si="143"/>
        <v>199017.1</v>
      </c>
      <c r="AD363" s="88">
        <f t="shared" si="143"/>
        <v>202281.4</v>
      </c>
      <c r="AE363" s="88">
        <f t="shared" si="143"/>
        <v>200781.4</v>
      </c>
      <c r="AF363" s="88">
        <f t="shared" si="143"/>
        <v>210781.4</v>
      </c>
      <c r="AG363" s="88">
        <f t="shared" si="143"/>
        <v>249965</v>
      </c>
    </row>
    <row r="364" spans="1:34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44">ROUND(H226+H333+H363,5)</f>
        <v>354735.38</v>
      </c>
      <c r="I364" s="63">
        <f t="shared" si="144"/>
        <v>299933.59999999998</v>
      </c>
      <c r="J364" s="64">
        <f t="shared" si="144"/>
        <v>417242.8</v>
      </c>
      <c r="K364" s="64">
        <f t="shared" si="144"/>
        <v>350707.69</v>
      </c>
      <c r="L364" s="65">
        <f t="shared" si="144"/>
        <v>444962.48</v>
      </c>
      <c r="M364" s="65">
        <f t="shared" si="144"/>
        <v>372939.89</v>
      </c>
      <c r="N364" s="66">
        <f t="shared" si="139"/>
        <v>1216940.6599999999</v>
      </c>
      <c r="O364" s="66">
        <f t="shared" si="139"/>
        <v>1023581.18</v>
      </c>
      <c r="P364" s="69">
        <f t="shared" si="127"/>
        <v>405646.88666666666</v>
      </c>
      <c r="Q364" s="69">
        <f t="shared" si="127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 t="shared" ref="AB364:AG364" si="145">ROUND(AB226+AB333+AB363,5)</f>
        <v>426911.41142000002</v>
      </c>
      <c r="AC364" s="66">
        <f t="shared" si="145"/>
        <v>426911.41142000002</v>
      </c>
      <c r="AD364" s="66">
        <f t="shared" si="145"/>
        <v>445657.35201999999</v>
      </c>
      <c r="AE364" s="66">
        <f t="shared" si="145"/>
        <v>405992.24</v>
      </c>
      <c r="AF364" s="66">
        <f t="shared" si="145"/>
        <v>415992.24</v>
      </c>
      <c r="AG364" s="66">
        <f t="shared" si="145"/>
        <v>455176</v>
      </c>
    </row>
    <row r="365" spans="1:34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  <c r="AF365" s="66"/>
      <c r="AG365" s="66"/>
    </row>
    <row r="366" spans="1:34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46">ROUND(H366+J366+L366,5)</f>
        <v>65072</v>
      </c>
      <c r="O366" s="66">
        <f t="shared" si="146"/>
        <v>51375.6</v>
      </c>
      <c r="P366" s="69">
        <f t="shared" si="127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  <c r="AG366" s="66">
        <v>33936</v>
      </c>
      <c r="AH366" s="182"/>
    </row>
    <row r="367" spans="1:34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46"/>
        <v>111140.02</v>
      </c>
      <c r="O367" s="66">
        <f t="shared" si="146"/>
        <v>112544.8</v>
      </c>
      <c r="P367" s="69">
        <f t="shared" si="127"/>
        <v>37046.673333333332</v>
      </c>
      <c r="Q367" s="69">
        <f t="shared" si="127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 t="shared" ref="AB367:AG367" si="147">ROUND(37896.24, 0)</f>
        <v>37896</v>
      </c>
      <c r="AC367" s="66">
        <f t="shared" si="147"/>
        <v>37896</v>
      </c>
      <c r="AD367" s="66">
        <f t="shared" si="147"/>
        <v>37896</v>
      </c>
      <c r="AE367" s="66">
        <f t="shared" si="147"/>
        <v>37896</v>
      </c>
      <c r="AF367" s="66">
        <f t="shared" si="147"/>
        <v>37896</v>
      </c>
      <c r="AG367" s="66">
        <f t="shared" si="147"/>
        <v>37896</v>
      </c>
      <c r="AH367" s="182"/>
    </row>
    <row r="368" spans="1:34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46"/>
        <v>73064.12</v>
      </c>
      <c r="O368" s="66">
        <f t="shared" si="146"/>
        <v>69064.929999999993</v>
      </c>
      <c r="P368" s="69">
        <f t="shared" si="127"/>
        <v>24354.706666666665</v>
      </c>
      <c r="Q368" s="69">
        <f t="shared" si="127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  <c r="AG368" s="66">
        <v>27067</v>
      </c>
      <c r="AH368" s="182"/>
    </row>
    <row r="369" spans="1:35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46"/>
        <v>83751.37</v>
      </c>
      <c r="O369" s="66">
        <f t="shared" si="146"/>
        <v>83288.960000000006</v>
      </c>
      <c r="P369" s="69">
        <f t="shared" si="127"/>
        <v>27917.123333333333</v>
      </c>
      <c r="Q369" s="69">
        <f t="shared" si="127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  <c r="AG369" s="66">
        <v>29904</v>
      </c>
      <c r="AH369" s="182"/>
    </row>
    <row r="370" spans="1:35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46"/>
        <v>28135.19</v>
      </c>
      <c r="O370" s="66">
        <f t="shared" si="146"/>
        <v>34600</v>
      </c>
      <c r="P370" s="69">
        <f t="shared" si="127"/>
        <v>9378.3966666666656</v>
      </c>
      <c r="Q370" s="69">
        <f t="shared" si="127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  <c r="AG370" s="66">
        <v>10000</v>
      </c>
      <c r="AH370" s="182"/>
    </row>
    <row r="371" spans="1:35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48">ROUND(SUM(H365:H370),5)</f>
        <v>114632.84</v>
      </c>
      <c r="I371" s="75">
        <f t="shared" si="148"/>
        <v>107960.9</v>
      </c>
      <c r="J371" s="76">
        <f t="shared" si="148"/>
        <v>123159.01</v>
      </c>
      <c r="K371" s="76">
        <f t="shared" si="148"/>
        <v>112474.39</v>
      </c>
      <c r="L371" s="77">
        <f t="shared" si="148"/>
        <v>123370.85</v>
      </c>
      <c r="M371" s="77">
        <f t="shared" si="148"/>
        <v>130439</v>
      </c>
      <c r="N371" s="78">
        <f t="shared" si="146"/>
        <v>361162.7</v>
      </c>
      <c r="O371" s="78">
        <f t="shared" si="146"/>
        <v>350874.29</v>
      </c>
      <c r="P371" s="79">
        <f t="shared" si="127"/>
        <v>120387.56666666667</v>
      </c>
      <c r="Q371" s="79">
        <f t="shared" si="127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 t="shared" ref="AB371:AG371" si="149">ROUND(SUM(AB365:AB370),5)</f>
        <v>129087</v>
      </c>
      <c r="AC371" s="80">
        <f t="shared" si="149"/>
        <v>129087</v>
      </c>
      <c r="AD371" s="80">
        <f t="shared" si="149"/>
        <v>129087</v>
      </c>
      <c r="AE371" s="80">
        <f t="shared" si="149"/>
        <v>138803</v>
      </c>
      <c r="AF371" s="80">
        <f t="shared" si="149"/>
        <v>138803</v>
      </c>
      <c r="AG371" s="80">
        <f t="shared" si="149"/>
        <v>138803</v>
      </c>
    </row>
    <row r="372" spans="1:35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127"/>
        <v>0</v>
      </c>
      <c r="Q372" s="69">
        <f t="shared" si="127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  <c r="AF372" s="66"/>
      <c r="AG372" s="66"/>
    </row>
    <row r="373" spans="1:35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50">ROUND(H373+J373+L373,5)</f>
        <v>4736691.54</v>
      </c>
      <c r="O373" s="66">
        <f t="shared" si="150"/>
        <v>4809206.6399999997</v>
      </c>
      <c r="P373" s="69">
        <f t="shared" si="127"/>
        <v>1578897.18</v>
      </c>
      <c r="Q373" s="69">
        <f t="shared" si="127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>ROUND(1728649.91, 0)</f>
        <v>1728650</v>
      </c>
      <c r="AG373" s="66">
        <f>ROUND(1728649.91, 0)</f>
        <v>1728650</v>
      </c>
      <c r="AI373" s="110" t="s">
        <v>889</v>
      </c>
    </row>
    <row r="374" spans="1:35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50"/>
        <v>186600.3</v>
      </c>
      <c r="O374" s="66">
        <f t="shared" si="150"/>
        <v>192368.27</v>
      </c>
      <c r="P374" s="69">
        <f t="shared" si="127"/>
        <v>62200.1</v>
      </c>
      <c r="Q374" s="69">
        <f t="shared" si="127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>ROUND(69146, 0)</f>
        <v>69146</v>
      </c>
      <c r="AG374" s="66">
        <f>ROUND(69146, 0)</f>
        <v>69146</v>
      </c>
      <c r="AI374" s="110" t="s">
        <v>891</v>
      </c>
    </row>
    <row r="375" spans="1:35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50"/>
        <v>1242428.6000000001</v>
      </c>
      <c r="O375" s="66">
        <f t="shared" si="150"/>
        <v>1421274.67</v>
      </c>
      <c r="P375" s="69">
        <f t="shared" si="127"/>
        <v>414142.8666666667</v>
      </c>
      <c r="Q375" s="69">
        <f t="shared" si="127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>ROUND(485404.9, 0)</f>
        <v>485405</v>
      </c>
      <c r="AG375" s="66">
        <f>ROUND(485404.9, 0)</f>
        <v>485405</v>
      </c>
      <c r="AI375" s="110" t="s">
        <v>890</v>
      </c>
    </row>
    <row r="376" spans="1:35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151">ROUND(SUM(H372:H375),5)</f>
        <v>1912297.24</v>
      </c>
      <c r="I376" s="75">
        <f t="shared" si="151"/>
        <v>2105179.7200000002</v>
      </c>
      <c r="J376" s="76">
        <f t="shared" si="151"/>
        <v>2104075.4500000002</v>
      </c>
      <c r="K376" s="76">
        <f t="shared" si="151"/>
        <v>2112580.67</v>
      </c>
      <c r="L376" s="77">
        <f t="shared" si="151"/>
        <v>2149347.75</v>
      </c>
      <c r="M376" s="77">
        <f t="shared" si="151"/>
        <v>2205089.19</v>
      </c>
      <c r="N376" s="78">
        <f t="shared" si="150"/>
        <v>6165720.4400000004</v>
      </c>
      <c r="O376" s="78">
        <f t="shared" si="150"/>
        <v>6422849.5800000001</v>
      </c>
      <c r="P376" s="79">
        <f t="shared" si="127"/>
        <v>2055240.1466666667</v>
      </c>
      <c r="Q376" s="79">
        <f t="shared" si="127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 t="shared" ref="AB376:AG376" si="152">ROUND(SUM(AB372:AB375),5)</f>
        <v>2291617</v>
      </c>
      <c r="AC376" s="80">
        <f t="shared" si="152"/>
        <v>2252385</v>
      </c>
      <c r="AD376" s="80">
        <f t="shared" si="152"/>
        <v>2252385</v>
      </c>
      <c r="AE376" s="80">
        <f t="shared" si="152"/>
        <v>2252385</v>
      </c>
      <c r="AF376" s="80">
        <f t="shared" si="152"/>
        <v>2283201</v>
      </c>
      <c r="AG376" s="80">
        <f t="shared" si="152"/>
        <v>2283201</v>
      </c>
      <c r="AI376" s="187">
        <f>AG376/AG220</f>
        <v>0.4077895412530414</v>
      </c>
    </row>
    <row r="377" spans="1:35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F377" s="66"/>
      <c r="AG377" s="66"/>
      <c r="AI377" s="188"/>
    </row>
    <row r="378" spans="1:35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  <c r="AF378" s="66"/>
      <c r="AG378" s="66"/>
    </row>
    <row r="379" spans="1:35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153">ROUND(H379+J379+L379,5)</f>
        <v>4046.28</v>
      </c>
      <c r="O379" s="66">
        <f t="shared" si="153"/>
        <v>3800</v>
      </c>
      <c r="P379" s="69">
        <f t="shared" si="127"/>
        <v>1348.76</v>
      </c>
      <c r="Q379" s="69">
        <f t="shared" si="127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G379" s="66">
        <v>1200</v>
      </c>
      <c r="AH379" s="173"/>
      <c r="AI379" s="173"/>
    </row>
    <row r="380" spans="1:35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153"/>
        <v>614951.03</v>
      </c>
      <c r="O380" s="66">
        <f t="shared" si="153"/>
        <v>486000</v>
      </c>
      <c r="P380" s="69">
        <f t="shared" si="127"/>
        <v>204983.67666666667</v>
      </c>
      <c r="Q380" s="69">
        <f t="shared" si="127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G380" s="66">
        <v>190000</v>
      </c>
      <c r="AH380" s="173"/>
      <c r="AI380" s="173"/>
    </row>
    <row r="381" spans="1:35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153"/>
        <v>8559.83</v>
      </c>
      <c r="O381" s="66">
        <f t="shared" si="153"/>
        <v>12510</v>
      </c>
      <c r="P381" s="69">
        <f t="shared" si="127"/>
        <v>2853.2766666666666</v>
      </c>
      <c r="Q381" s="69">
        <f t="shared" si="127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G381" s="66">
        <v>4760</v>
      </c>
      <c r="AH381" s="173"/>
      <c r="AI381" s="173"/>
    </row>
    <row r="382" spans="1:35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153"/>
        <v>309582.38</v>
      </c>
      <c r="O382" s="66">
        <f t="shared" si="153"/>
        <v>255250</v>
      </c>
      <c r="P382" s="69">
        <f t="shared" si="127"/>
        <v>103194.12666666666</v>
      </c>
      <c r="Q382" s="69">
        <f t="shared" si="127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G382" s="66">
        <v>78000</v>
      </c>
      <c r="AH382" s="173"/>
      <c r="AI382" s="173"/>
    </row>
    <row r="383" spans="1:35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153"/>
        <v>0</v>
      </c>
      <c r="O383" s="66">
        <v>0</v>
      </c>
      <c r="P383" s="69">
        <f t="shared" si="127"/>
        <v>0</v>
      </c>
      <c r="Q383" s="69">
        <f t="shared" si="127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173"/>
      <c r="AI383" s="173"/>
    </row>
    <row r="384" spans="1:35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153"/>
        <v>563757.04</v>
      </c>
      <c r="O384" s="66">
        <f t="shared" si="153"/>
        <v>385395</v>
      </c>
      <c r="P384" s="69">
        <f t="shared" si="127"/>
        <v>187919.01333333334</v>
      </c>
      <c r="Q384" s="69">
        <f t="shared" si="127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G384" s="66">
        <v>177320</v>
      </c>
      <c r="AI384" s="189" t="s">
        <v>991</v>
      </c>
    </row>
    <row r="385" spans="1:35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153"/>
        <v>1218</v>
      </c>
      <c r="O385" s="66">
        <f t="shared" si="153"/>
        <v>18000</v>
      </c>
      <c r="P385" s="69">
        <f t="shared" si="127"/>
        <v>406</v>
      </c>
      <c r="Q385" s="69">
        <f t="shared" si="127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G385" s="66">
        <v>7500</v>
      </c>
      <c r="AH385" s="173"/>
      <c r="AI385" s="173"/>
    </row>
    <row r="386" spans="1:35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140"/>
      <c r="AB386" s="82"/>
      <c r="AC386" s="82"/>
      <c r="AD386" s="82"/>
      <c r="AE386" s="82"/>
      <c r="AF386" s="66"/>
      <c r="AG386" s="66"/>
      <c r="AH386" s="173"/>
      <c r="AI386" s="173"/>
    </row>
    <row r="387" spans="1:35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153"/>
        <v>3483</v>
      </c>
      <c r="O387" s="66">
        <f t="shared" si="153"/>
        <v>13000</v>
      </c>
      <c r="P387" s="69">
        <f t="shared" si="127"/>
        <v>1161</v>
      </c>
      <c r="Q387" s="69">
        <f t="shared" si="127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G387" s="66">
        <v>20000</v>
      </c>
      <c r="AH387" s="173"/>
      <c r="AI387" s="173"/>
    </row>
    <row r="388" spans="1:35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153"/>
        <v>2892.1</v>
      </c>
      <c r="O388" s="66">
        <f t="shared" si="153"/>
        <v>18250</v>
      </c>
      <c r="P388" s="69">
        <f t="shared" ref="P388:Q450" si="154">N388/3</f>
        <v>964.0333333333333</v>
      </c>
      <c r="Q388" s="69">
        <f t="shared" si="154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G388" s="66">
        <v>12000</v>
      </c>
      <c r="AH388" s="173"/>
      <c r="AI388" s="173"/>
    </row>
    <row r="389" spans="1:35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153"/>
        <v>59350</v>
      </c>
      <c r="O389" s="66">
        <f t="shared" si="153"/>
        <v>38500</v>
      </c>
      <c r="P389" s="69">
        <f t="shared" si="154"/>
        <v>19783.333333333332</v>
      </c>
      <c r="Q389" s="69">
        <f t="shared" si="154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G389" s="66">
        <v>20925</v>
      </c>
      <c r="AH389" s="173"/>
      <c r="AI389" s="147"/>
    </row>
    <row r="390" spans="1:35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153"/>
        <v>123607.99</v>
      </c>
      <c r="O390" s="66">
        <f t="shared" si="153"/>
        <v>94000</v>
      </c>
      <c r="P390" s="69">
        <f t="shared" si="154"/>
        <v>41202.663333333338</v>
      </c>
      <c r="Q390" s="69">
        <f t="shared" si="154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G390" s="66">
        <v>32000</v>
      </c>
      <c r="AH390" s="173"/>
      <c r="AI390" s="173"/>
    </row>
    <row r="391" spans="1:35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153"/>
        <v>1886.2</v>
      </c>
      <c r="O391" s="66">
        <f t="shared" si="153"/>
        <v>3000</v>
      </c>
      <c r="P391" s="69">
        <f t="shared" si="154"/>
        <v>628.73333333333335</v>
      </c>
      <c r="Q391" s="69">
        <f t="shared" si="154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1000</v>
      </c>
      <c r="AH391" s="173"/>
      <c r="AI391" s="173"/>
    </row>
    <row r="392" spans="1:35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153"/>
        <v>103295.59</v>
      </c>
      <c r="O392" s="66">
        <f t="shared" si="153"/>
        <v>55000</v>
      </c>
      <c r="P392" s="69">
        <f t="shared" si="154"/>
        <v>34431.863333333335</v>
      </c>
      <c r="Q392" s="69">
        <f t="shared" si="154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G392" s="66">
        <v>25000</v>
      </c>
      <c r="AH392" s="173"/>
      <c r="AI392" s="173"/>
    </row>
    <row r="393" spans="1:35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153"/>
        <v>35000</v>
      </c>
      <c r="O393" s="66">
        <f t="shared" si="153"/>
        <v>35000</v>
      </c>
      <c r="P393" s="69">
        <f t="shared" si="154"/>
        <v>11666.666666666666</v>
      </c>
      <c r="Q393" s="69">
        <f t="shared" si="154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G393" s="66">
        <v>15000</v>
      </c>
      <c r="AH393" s="173"/>
      <c r="AI393" s="173"/>
    </row>
    <row r="394" spans="1:35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153"/>
        <v>37071.82</v>
      </c>
      <c r="O394" s="66">
        <f t="shared" si="153"/>
        <v>21012</v>
      </c>
      <c r="P394" s="69">
        <f t="shared" si="154"/>
        <v>12357.273333333333</v>
      </c>
      <c r="Q394" s="69">
        <f t="shared" si="154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G394" s="66">
        <v>7616</v>
      </c>
      <c r="AH394" s="173"/>
      <c r="AI394" s="173"/>
    </row>
    <row r="395" spans="1:35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155">ROUND(H395+J395+L395,5)</f>
        <v>8975</v>
      </c>
      <c r="O395" s="66">
        <f t="shared" si="155"/>
        <v>9000</v>
      </c>
      <c r="P395" s="69">
        <f t="shared" si="154"/>
        <v>2991.6666666666665</v>
      </c>
      <c r="Q395" s="69">
        <f t="shared" si="154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G395" s="66">
        <v>3000</v>
      </c>
      <c r="AH395" s="173"/>
      <c r="AI395" s="173"/>
    </row>
    <row r="396" spans="1:35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155"/>
        <v>52589.599999999999</v>
      </c>
      <c r="O396" s="66">
        <f t="shared" si="155"/>
        <v>30000</v>
      </c>
      <c r="P396" s="69">
        <f t="shared" si="154"/>
        <v>17529.866666666665</v>
      </c>
      <c r="Q396" s="69">
        <f t="shared" si="154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G396" s="66">
        <v>10000</v>
      </c>
      <c r="AH396" s="173"/>
      <c r="AI396" s="173"/>
    </row>
    <row r="397" spans="1:35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155"/>
        <v>7521.01</v>
      </c>
      <c r="O397" s="66">
        <f t="shared" si="155"/>
        <v>33000</v>
      </c>
      <c r="P397" s="69">
        <f t="shared" si="154"/>
        <v>2507.0033333333336</v>
      </c>
      <c r="Q397" s="69">
        <f t="shared" si="154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G397" s="66">
        <v>10000</v>
      </c>
      <c r="AH397" s="173"/>
      <c r="AI397" s="173"/>
    </row>
    <row r="398" spans="1:35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155"/>
        <v>0</v>
      </c>
      <c r="O398" s="66">
        <f t="shared" si="155"/>
        <v>600</v>
      </c>
      <c r="P398" s="69">
        <f t="shared" si="154"/>
        <v>0</v>
      </c>
      <c r="Q398" s="69">
        <f t="shared" si="154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173"/>
      <c r="AI398" s="173"/>
    </row>
    <row r="399" spans="1:35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155"/>
        <v>0</v>
      </c>
      <c r="O399" s="66">
        <f t="shared" si="155"/>
        <v>2000</v>
      </c>
      <c r="P399" s="69">
        <f t="shared" si="154"/>
        <v>0</v>
      </c>
      <c r="Q399" s="69">
        <f t="shared" si="154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3000</v>
      </c>
      <c r="AH399" s="173"/>
      <c r="AI399" s="173"/>
    </row>
    <row r="400" spans="1:35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155"/>
        <v>17586.919999999998</v>
      </c>
      <c r="O400" s="66">
        <f t="shared" si="155"/>
        <v>14000</v>
      </c>
      <c r="P400" s="69">
        <f t="shared" si="154"/>
        <v>5862.3066666666664</v>
      </c>
      <c r="Q400" s="69">
        <f t="shared" si="154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G400" s="66">
        <v>5000</v>
      </c>
      <c r="AH400" s="173"/>
      <c r="AI400" s="173"/>
    </row>
    <row r="401" spans="1:35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155"/>
        <v>263874.56</v>
      </c>
      <c r="O401" s="66">
        <f t="shared" si="155"/>
        <v>238680</v>
      </c>
      <c r="P401" s="69">
        <f t="shared" si="154"/>
        <v>87958.186666666661</v>
      </c>
      <c r="Q401" s="69">
        <f t="shared" si="154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G401" s="66">
        <v>73120</v>
      </c>
      <c r="AH401" s="173"/>
      <c r="AI401" s="173"/>
    </row>
    <row r="402" spans="1:35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155"/>
        <v>40633.14</v>
      </c>
      <c r="O402" s="66">
        <f t="shared" si="155"/>
        <v>30000</v>
      </c>
      <c r="P402" s="69">
        <f t="shared" si="154"/>
        <v>13544.38</v>
      </c>
      <c r="Q402" s="69">
        <f t="shared" si="154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G402" s="66">
        <f>ROUND(-82882.1+10000-1000, 0)</f>
        <v>-73882</v>
      </c>
      <c r="AH402" s="173"/>
      <c r="AI402" s="173"/>
    </row>
    <row r="403" spans="1:35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G403" s="66">
        <v>7000</v>
      </c>
      <c r="AH403" s="173"/>
      <c r="AI403" s="173"/>
    </row>
    <row r="404" spans="1:35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154"/>
        <v>6954.9000000000005</v>
      </c>
      <c r="Q404" s="74">
        <f t="shared" si="154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173"/>
      <c r="AI404" s="173"/>
    </row>
    <row r="405" spans="1:35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156">ROUND(SUM(H403:H404),5)</f>
        <v>4300</v>
      </c>
      <c r="I405" s="63">
        <f t="shared" si="156"/>
        <v>5000</v>
      </c>
      <c r="J405" s="64">
        <f t="shared" si="156"/>
        <v>13564.7</v>
      </c>
      <c r="K405" s="64">
        <f t="shared" si="156"/>
        <v>5000</v>
      </c>
      <c r="L405" s="65">
        <f t="shared" si="156"/>
        <v>3000</v>
      </c>
      <c r="M405" s="65">
        <f t="shared" si="156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154"/>
        <v>6954.9000000000005</v>
      </c>
      <c r="Q405" s="69">
        <f t="shared" si="154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F405" s="66"/>
      <c r="AG405" s="66"/>
      <c r="AH405" s="173"/>
      <c r="AI405" s="173"/>
    </row>
    <row r="406" spans="1:35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157">ROUND(H406+J406+L406,5)</f>
        <v>105788.02</v>
      </c>
      <c r="O406" s="66"/>
      <c r="P406" s="69">
        <f t="shared" si="154"/>
        <v>35262.673333333332</v>
      </c>
      <c r="Q406" s="69">
        <f t="shared" si="154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F406" s="66"/>
      <c r="AG406" s="66"/>
      <c r="AH406" s="173"/>
      <c r="AI406" s="173"/>
    </row>
    <row r="407" spans="1:35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157"/>
        <v>27888.79</v>
      </c>
      <c r="O407" s="66">
        <f t="shared" si="157"/>
        <v>14500</v>
      </c>
      <c r="P407" s="69">
        <f t="shared" si="154"/>
        <v>9296.2633333333342</v>
      </c>
      <c r="Q407" s="69">
        <f t="shared" si="154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G407" s="66">
        <v>6000</v>
      </c>
      <c r="AH407" s="173"/>
      <c r="AI407" s="173"/>
    </row>
    <row r="408" spans="1:35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157"/>
        <v>1953.33</v>
      </c>
      <c r="O408" s="66">
        <f t="shared" si="157"/>
        <v>6000</v>
      </c>
      <c r="P408" s="69">
        <f t="shared" si="154"/>
        <v>651.11</v>
      </c>
      <c r="Q408" s="69">
        <f t="shared" si="154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G408" s="66">
        <v>2000</v>
      </c>
      <c r="AH408" s="173"/>
      <c r="AI408" s="173"/>
    </row>
    <row r="409" spans="1:35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157"/>
        <v>30325</v>
      </c>
      <c r="O409" s="66">
        <f t="shared" si="157"/>
        <v>48125</v>
      </c>
      <c r="P409" s="69">
        <f t="shared" si="154"/>
        <v>10108.333333333334</v>
      </c>
      <c r="Q409" s="69">
        <f t="shared" si="154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G409" s="66">
        <v>10125</v>
      </c>
      <c r="AH409" s="173"/>
      <c r="AI409" s="147"/>
    </row>
    <row r="410" spans="1:35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157"/>
        <v>27786.38</v>
      </c>
      <c r="O410" s="66">
        <f t="shared" si="157"/>
        <v>28000</v>
      </c>
      <c r="P410" s="69">
        <f t="shared" si="154"/>
        <v>9262.126666666667</v>
      </c>
      <c r="Q410" s="69">
        <f t="shared" si="154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G410" s="66">
        <v>10000</v>
      </c>
      <c r="AH410" s="173"/>
      <c r="AI410" s="173"/>
    </row>
    <row r="411" spans="1:35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157"/>
        <v>26434.84</v>
      </c>
      <c r="O411" s="66">
        <f t="shared" si="157"/>
        <v>22000</v>
      </c>
      <c r="P411" s="69">
        <f t="shared" si="154"/>
        <v>8811.6133333333328</v>
      </c>
      <c r="Q411" s="69">
        <f t="shared" si="154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G411" s="66">
        <v>8000</v>
      </c>
      <c r="AH411" s="173"/>
      <c r="AI411" s="173"/>
    </row>
    <row r="412" spans="1:35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157"/>
        <v>345.05</v>
      </c>
      <c r="O412" s="66">
        <f t="shared" si="157"/>
        <v>5000</v>
      </c>
      <c r="P412" s="69">
        <f t="shared" si="154"/>
        <v>115.01666666666667</v>
      </c>
      <c r="Q412" s="69">
        <f t="shared" si="154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G412" s="66">
        <v>2000</v>
      </c>
      <c r="AH412" s="173"/>
      <c r="AI412" s="173"/>
    </row>
    <row r="413" spans="1:35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157"/>
        <v>3188.14</v>
      </c>
      <c r="O413" s="66">
        <v>0</v>
      </c>
      <c r="P413" s="69">
        <f t="shared" si="154"/>
        <v>1062.7133333333334</v>
      </c>
      <c r="Q413" s="69">
        <f t="shared" si="154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173"/>
      <c r="AI413" s="173"/>
    </row>
    <row r="414" spans="1:35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157"/>
        <v>15583.87</v>
      </c>
      <c r="O414" s="66">
        <f t="shared" si="157"/>
        <v>20000</v>
      </c>
      <c r="P414" s="69">
        <f t="shared" si="154"/>
        <v>5194.6233333333339</v>
      </c>
      <c r="Q414" s="69">
        <f t="shared" si="154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G414" s="66">
        <v>5000</v>
      </c>
      <c r="AH414" s="173"/>
      <c r="AI414" s="173"/>
    </row>
    <row r="415" spans="1:35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157"/>
        <v>4107.4799999999996</v>
      </c>
      <c r="O415" s="66">
        <f t="shared" si="157"/>
        <v>8000</v>
      </c>
      <c r="P415" s="69">
        <f t="shared" si="154"/>
        <v>1369.1599999999999</v>
      </c>
      <c r="Q415" s="69">
        <f t="shared" si="154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G415" s="66">
        <v>2000</v>
      </c>
      <c r="AH415" s="173"/>
      <c r="AI415" s="173"/>
    </row>
    <row r="416" spans="1:35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157"/>
        <v>10387.33</v>
      </c>
      <c r="O416" s="66">
        <f t="shared" si="157"/>
        <v>11000</v>
      </c>
      <c r="P416" s="69">
        <f t="shared" si="154"/>
        <v>3462.4433333333332</v>
      </c>
      <c r="Q416" s="69">
        <f t="shared" si="154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G416" s="66">
        <v>4000</v>
      </c>
      <c r="AH416" s="173"/>
      <c r="AI416" s="173"/>
    </row>
    <row r="417" spans="1:40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157"/>
        <v>123299.08</v>
      </c>
      <c r="O417" s="66">
        <f t="shared" si="157"/>
        <v>180000</v>
      </c>
      <c r="P417" s="69">
        <f t="shared" si="154"/>
        <v>41099.693333333336</v>
      </c>
      <c r="Q417" s="69">
        <f t="shared" si="154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G417" s="66">
        <v>60000</v>
      </c>
      <c r="AH417" s="173"/>
      <c r="AI417" s="173"/>
    </row>
    <row r="418" spans="1:40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157"/>
        <v>53539.32</v>
      </c>
      <c r="O418" s="66">
        <f t="shared" si="157"/>
        <v>120000</v>
      </c>
      <c r="P418" s="69">
        <f t="shared" si="154"/>
        <v>17846.439999999999</v>
      </c>
      <c r="Q418" s="69">
        <f t="shared" si="154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G418" s="66">
        <v>35000</v>
      </c>
      <c r="AH418" s="173"/>
      <c r="AI418" s="173"/>
    </row>
    <row r="419" spans="1:40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157"/>
        <v>81778</v>
      </c>
      <c r="O419" s="66">
        <f t="shared" si="157"/>
        <v>99652</v>
      </c>
      <c r="P419" s="69">
        <f t="shared" si="154"/>
        <v>27259.333333333332</v>
      </c>
      <c r="Q419" s="69">
        <f t="shared" si="154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G419" s="66">
        <v>35520</v>
      </c>
      <c r="AH419" s="173"/>
      <c r="AI419" s="173"/>
    </row>
    <row r="420" spans="1:40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157"/>
        <v>148630.20000000001</v>
      </c>
      <c r="O420" s="66">
        <f t="shared" si="157"/>
        <v>100000</v>
      </c>
      <c r="P420" s="69">
        <f t="shared" si="154"/>
        <v>49543.4</v>
      </c>
      <c r="Q420" s="69">
        <f t="shared" si="154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G420" s="66">
        <v>40000</v>
      </c>
      <c r="AH420" s="173"/>
      <c r="AI420" s="173"/>
    </row>
    <row r="421" spans="1:40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157"/>
        <v>1435.5</v>
      </c>
      <c r="O421" s="66">
        <f t="shared" si="157"/>
        <v>10500</v>
      </c>
      <c r="P421" s="69">
        <f t="shared" si="154"/>
        <v>478.5</v>
      </c>
      <c r="Q421" s="69">
        <f t="shared" si="154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173"/>
      <c r="AI421" s="173"/>
    </row>
    <row r="422" spans="1:40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157"/>
        <v>32871.629999999997</v>
      </c>
      <c r="O422" s="66">
        <f t="shared" si="157"/>
        <v>58400</v>
      </c>
      <c r="P422" s="69">
        <f t="shared" si="154"/>
        <v>10957.21</v>
      </c>
      <c r="Q422" s="69">
        <f t="shared" si="154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G422" s="66">
        <v>21000</v>
      </c>
      <c r="AH422" s="173"/>
    </row>
    <row r="423" spans="1:40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158">ROUND(SUM(H378:H402)+SUM(H405:H422),5)</f>
        <v>971394.67</v>
      </c>
      <c r="I423" s="75">
        <f t="shared" si="158"/>
        <v>759280</v>
      </c>
      <c r="J423" s="76">
        <f t="shared" si="158"/>
        <v>1081537.1200000001</v>
      </c>
      <c r="K423" s="76">
        <f t="shared" si="158"/>
        <v>896198</v>
      </c>
      <c r="L423" s="77">
        <f t="shared" si="158"/>
        <v>923156.36</v>
      </c>
      <c r="M423" s="77">
        <f t="shared" si="158"/>
        <v>887696</v>
      </c>
      <c r="N423" s="78">
        <f t="shared" si="157"/>
        <v>2976088.15</v>
      </c>
      <c r="O423" s="78">
        <f t="shared" si="157"/>
        <v>2543174</v>
      </c>
      <c r="P423" s="79">
        <f t="shared" si="154"/>
        <v>992029.3833333333</v>
      </c>
      <c r="Q423" s="79">
        <f t="shared" si="154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 t="shared" ref="AB423:AG423" si="159">ROUND(SUM(AB378:AB422),5)</f>
        <v>904046</v>
      </c>
      <c r="AC423" s="80">
        <f t="shared" si="159"/>
        <v>904046</v>
      </c>
      <c r="AD423" s="80">
        <f t="shared" si="159"/>
        <v>904046</v>
      </c>
      <c r="AE423" s="80">
        <f t="shared" si="159"/>
        <v>904046</v>
      </c>
      <c r="AF423" s="80">
        <f t="shared" si="159"/>
        <v>862453.9</v>
      </c>
      <c r="AG423" s="80">
        <f t="shared" si="159"/>
        <v>870204</v>
      </c>
      <c r="AH423" s="173"/>
      <c r="AI423" s="183" t="s">
        <v>952</v>
      </c>
    </row>
    <row r="424" spans="1:40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F424" s="66"/>
      <c r="AG424" s="66"/>
      <c r="AH424" s="173"/>
      <c r="AI424" s="184">
        <f>AG215-AG423</f>
        <v>5796</v>
      </c>
    </row>
    <row r="425" spans="1:40" ht="16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154"/>
        <v>3054.66</v>
      </c>
      <c r="Q425" s="69">
        <f t="shared" si="154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18750</v>
      </c>
      <c r="AH425" s="206" t="s">
        <v>1000</v>
      </c>
      <c r="AI425" s="110" t="s">
        <v>974</v>
      </c>
    </row>
    <row r="426" spans="1:40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154"/>
        <v>1456.0866666666668</v>
      </c>
      <c r="Q426" s="69">
        <f t="shared" si="154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</row>
    <row r="427" spans="1:40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154"/>
        <v>4510.7466666666669</v>
      </c>
      <c r="Q427" s="87">
        <f t="shared" si="154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 t="shared" ref="AB427:AG427" si="160">ROUND(SUM(AB424:AB426),5)</f>
        <v>0</v>
      </c>
      <c r="AC427" s="88">
        <f t="shared" si="160"/>
        <v>0</v>
      </c>
      <c r="AD427" s="88">
        <f t="shared" si="160"/>
        <v>0</v>
      </c>
      <c r="AE427" s="88">
        <f t="shared" si="160"/>
        <v>0</v>
      </c>
      <c r="AF427" s="88">
        <f t="shared" si="160"/>
        <v>0</v>
      </c>
      <c r="AG427" s="88">
        <f t="shared" si="160"/>
        <v>18750</v>
      </c>
    </row>
    <row r="428" spans="1:40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161">ROUND(H377+H423+H427,5)</f>
        <v>971394.67</v>
      </c>
      <c r="I428" s="63">
        <f t="shared" si="161"/>
        <v>759280</v>
      </c>
      <c r="J428" s="64">
        <f t="shared" si="161"/>
        <v>1094481.01</v>
      </c>
      <c r="K428" s="64">
        <f t="shared" si="161"/>
        <v>896198</v>
      </c>
      <c r="L428" s="65">
        <f t="shared" si="161"/>
        <v>923744.71</v>
      </c>
      <c r="M428" s="65">
        <f t="shared" si="161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154"/>
        <v>996540.13</v>
      </c>
      <c r="Q428" s="69">
        <f t="shared" si="154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 t="shared" ref="AB428:AG428" si="162">ROUND(AB377+AB423+AB427,5)</f>
        <v>904046</v>
      </c>
      <c r="AC428" s="66">
        <f t="shared" si="162"/>
        <v>904046</v>
      </c>
      <c r="AD428" s="66">
        <f t="shared" si="162"/>
        <v>904046</v>
      </c>
      <c r="AE428" s="66">
        <f t="shared" si="162"/>
        <v>904046</v>
      </c>
      <c r="AF428" s="66">
        <f t="shared" si="162"/>
        <v>862453.9</v>
      </c>
      <c r="AG428" s="66">
        <f t="shared" si="162"/>
        <v>888954</v>
      </c>
    </row>
    <row r="429" spans="1:40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154"/>
        <v>0</v>
      </c>
      <c r="Q429" s="69">
        <f t="shared" si="154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  <c r="AF429" s="66"/>
      <c r="AG429" s="66"/>
    </row>
    <row r="430" spans="1:40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154"/>
        <v>0</v>
      </c>
      <c r="Q430" s="69">
        <f t="shared" si="154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F430" s="66"/>
      <c r="AG430" s="66"/>
      <c r="AI430" s="182"/>
    </row>
    <row r="431" spans="1:40" ht="16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163">ROUND(H431+J431+L431,5)</f>
        <v>22454.45</v>
      </c>
      <c r="O431" s="66">
        <f t="shared" si="163"/>
        <v>22500</v>
      </c>
      <c r="P431" s="69">
        <f t="shared" si="154"/>
        <v>7484.8166666666666</v>
      </c>
      <c r="Q431" s="69">
        <f t="shared" si="154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v>8862.5</v>
      </c>
      <c r="AD431" s="66">
        <v>8862.5</v>
      </c>
      <c r="AE431" s="66">
        <v>9000</v>
      </c>
      <c r="AF431" s="66">
        <v>9000</v>
      </c>
      <c r="AG431" s="66">
        <v>9000</v>
      </c>
      <c r="AH431" s="196" t="s">
        <v>954</v>
      </c>
      <c r="AI431" s="190"/>
      <c r="AJ431" s="81"/>
      <c r="AK431" s="81"/>
      <c r="AM431" s="131"/>
      <c r="AN431" s="111"/>
    </row>
    <row r="432" spans="1:40" ht="16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163"/>
        <v>13414.87</v>
      </c>
      <c r="O432" s="66">
        <f t="shared" si="163"/>
        <v>22500</v>
      </c>
      <c r="P432" s="69">
        <f t="shared" si="154"/>
        <v>4471.6233333333339</v>
      </c>
      <c r="Q432" s="69">
        <f t="shared" si="154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v>6987.5</v>
      </c>
      <c r="AD432" s="66">
        <v>6987.5</v>
      </c>
      <c r="AE432" s="66">
        <v>9000</v>
      </c>
      <c r="AF432" s="66">
        <v>9000</v>
      </c>
      <c r="AG432" s="66">
        <v>9000</v>
      </c>
      <c r="AH432" s="196" t="s">
        <v>954</v>
      </c>
      <c r="AI432" s="190"/>
      <c r="AJ432" s="81"/>
      <c r="AK432" s="81"/>
      <c r="AM432" s="131"/>
      <c r="AN432" s="111"/>
    </row>
    <row r="433" spans="1:40" ht="16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163"/>
        <v>14590.26</v>
      </c>
      <c r="O433" s="66">
        <f t="shared" si="163"/>
        <v>22500</v>
      </c>
      <c r="P433" s="69">
        <f t="shared" si="154"/>
        <v>4863.42</v>
      </c>
      <c r="Q433" s="69">
        <f t="shared" si="154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v>6675</v>
      </c>
      <c r="AD433" s="66">
        <v>6675</v>
      </c>
      <c r="AE433" s="66">
        <v>9000</v>
      </c>
      <c r="AF433" s="66">
        <v>9000</v>
      </c>
      <c r="AG433" s="66">
        <v>9000</v>
      </c>
      <c r="AH433" s="196" t="s">
        <v>954</v>
      </c>
      <c r="AI433" s="190"/>
      <c r="AJ433" s="81"/>
      <c r="AK433" s="81"/>
      <c r="AM433" s="131"/>
      <c r="AN433" s="111"/>
    </row>
    <row r="434" spans="1:40" ht="16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163"/>
        <v>11509.98</v>
      </c>
      <c r="O434" s="66">
        <f t="shared" si="163"/>
        <v>22500</v>
      </c>
      <c r="P434" s="69">
        <f t="shared" si="154"/>
        <v>3836.66</v>
      </c>
      <c r="Q434" s="69">
        <f t="shared" si="154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v>6987.5</v>
      </c>
      <c r="AD434" s="66">
        <v>6987.5</v>
      </c>
      <c r="AE434" s="66">
        <v>9000</v>
      </c>
      <c r="AF434" s="66">
        <v>9000</v>
      </c>
      <c r="AG434" s="66">
        <v>9000</v>
      </c>
      <c r="AH434" s="196" t="s">
        <v>954</v>
      </c>
      <c r="AI434" s="190"/>
      <c r="AJ434" s="81"/>
      <c r="AK434" s="81"/>
      <c r="AM434" s="131"/>
      <c r="AN434" s="111"/>
    </row>
    <row r="435" spans="1:40" ht="16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163"/>
        <v>19031.37</v>
      </c>
      <c r="O435" s="66">
        <f t="shared" si="163"/>
        <v>22500</v>
      </c>
      <c r="P435" s="69">
        <f t="shared" si="154"/>
        <v>6343.79</v>
      </c>
      <c r="Q435" s="69">
        <f t="shared" si="154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v>7300</v>
      </c>
      <c r="AD435" s="66">
        <v>7300</v>
      </c>
      <c r="AE435" s="66">
        <v>9000</v>
      </c>
      <c r="AF435" s="66">
        <v>9000</v>
      </c>
      <c r="AG435" s="66">
        <v>9000</v>
      </c>
      <c r="AH435" s="196" t="s">
        <v>954</v>
      </c>
      <c r="AI435" s="190"/>
      <c r="AJ435" s="81"/>
      <c r="AK435" s="81"/>
      <c r="AM435" s="131"/>
      <c r="AN435" s="111"/>
    </row>
    <row r="436" spans="1:40" ht="16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163"/>
        <v>19829.439999999999</v>
      </c>
      <c r="O436" s="66">
        <f t="shared" si="163"/>
        <v>22500</v>
      </c>
      <c r="P436" s="69">
        <f t="shared" si="154"/>
        <v>6609.8133333333326</v>
      </c>
      <c r="Q436" s="69">
        <f t="shared" si="154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v>6987.5</v>
      </c>
      <c r="AD436" s="66">
        <v>6987.5</v>
      </c>
      <c r="AE436" s="66">
        <v>9000</v>
      </c>
      <c r="AF436" s="66">
        <v>9000</v>
      </c>
      <c r="AG436" s="66">
        <v>9000</v>
      </c>
      <c r="AH436" s="196" t="s">
        <v>954</v>
      </c>
      <c r="AI436" s="190"/>
      <c r="AJ436" s="81"/>
      <c r="AK436" s="81"/>
      <c r="AM436" s="131"/>
      <c r="AN436" s="111"/>
    </row>
    <row r="437" spans="1:40" ht="16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163"/>
        <v>6373.1</v>
      </c>
      <c r="O437" s="66">
        <f t="shared" si="163"/>
        <v>22500</v>
      </c>
      <c r="P437" s="69">
        <f t="shared" si="154"/>
        <v>2124.3666666666668</v>
      </c>
      <c r="Q437" s="69">
        <f t="shared" si="154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v>6675</v>
      </c>
      <c r="AD437" s="66">
        <v>6675</v>
      </c>
      <c r="AE437" s="66">
        <v>9000</v>
      </c>
      <c r="AF437" s="66">
        <v>9000</v>
      </c>
      <c r="AG437" s="66">
        <v>9000</v>
      </c>
      <c r="AH437" s="196" t="s">
        <v>954</v>
      </c>
      <c r="AI437" s="190"/>
      <c r="AJ437" s="81"/>
      <c r="AK437" s="81"/>
      <c r="AM437" s="131"/>
      <c r="AN437" s="111"/>
    </row>
    <row r="438" spans="1:40" ht="16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163"/>
        <v>18080.3</v>
      </c>
      <c r="O438" s="66">
        <f t="shared" si="163"/>
        <v>22500</v>
      </c>
      <c r="P438" s="69">
        <f t="shared" si="154"/>
        <v>6026.7666666666664</v>
      </c>
      <c r="Q438" s="69">
        <f t="shared" si="154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v>5737.5</v>
      </c>
      <c r="AD438" s="66">
        <v>5737.5</v>
      </c>
      <c r="AE438" s="66">
        <v>9000</v>
      </c>
      <c r="AF438" s="66">
        <v>9000</v>
      </c>
      <c r="AG438" s="66">
        <v>9000</v>
      </c>
      <c r="AH438" s="196" t="s">
        <v>954</v>
      </c>
      <c r="AI438" s="190"/>
      <c r="AJ438" s="81"/>
      <c r="AK438" s="81"/>
      <c r="AM438" s="131"/>
      <c r="AN438" s="111"/>
    </row>
    <row r="439" spans="1:40" ht="16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163"/>
        <v>7603.5</v>
      </c>
      <c r="O439" s="66">
        <f t="shared" si="163"/>
        <v>22500</v>
      </c>
      <c r="P439" s="69">
        <f t="shared" si="154"/>
        <v>2534.5</v>
      </c>
      <c r="Q439" s="69">
        <f t="shared" si="154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v>5737.5</v>
      </c>
      <c r="AD439" s="66">
        <v>5737.5</v>
      </c>
      <c r="AE439" s="66">
        <v>9000</v>
      </c>
      <c r="AF439" s="66">
        <v>9000</v>
      </c>
      <c r="AG439" s="66">
        <v>9000</v>
      </c>
      <c r="AH439" s="196" t="s">
        <v>954</v>
      </c>
      <c r="AI439" s="190"/>
      <c r="AJ439" s="81"/>
      <c r="AK439" s="81"/>
      <c r="AM439" s="131"/>
      <c r="AN439" s="111"/>
    </row>
    <row r="440" spans="1:40" ht="16.5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163"/>
        <v>10711.38</v>
      </c>
      <c r="O440" s="73">
        <f t="shared" si="163"/>
        <v>22500</v>
      </c>
      <c r="P440" s="74">
        <f t="shared" si="154"/>
        <v>3570.4599999999996</v>
      </c>
      <c r="Q440" s="74">
        <f t="shared" si="154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v>6050</v>
      </c>
      <c r="AD440" s="66">
        <v>6050</v>
      </c>
      <c r="AE440" s="66">
        <v>9000</v>
      </c>
      <c r="AF440" s="66">
        <v>9000</v>
      </c>
      <c r="AG440" s="66">
        <v>9000</v>
      </c>
      <c r="AH440" s="196" t="s">
        <v>954</v>
      </c>
      <c r="AI440" s="190"/>
      <c r="AJ440" s="81"/>
      <c r="AK440" s="81"/>
      <c r="AM440" s="131"/>
      <c r="AN440" s="111"/>
    </row>
    <row r="441" spans="1:40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164">ROUND(SUM(H430:H440),5)</f>
        <v>39609.57</v>
      </c>
      <c r="I441" s="63">
        <f t="shared" si="164"/>
        <v>75000</v>
      </c>
      <c r="J441" s="64">
        <f t="shared" si="164"/>
        <v>50436.92</v>
      </c>
      <c r="K441" s="64">
        <f t="shared" si="164"/>
        <v>75000</v>
      </c>
      <c r="L441" s="65">
        <f t="shared" si="164"/>
        <v>53552.160000000003</v>
      </c>
      <c r="M441" s="65">
        <f t="shared" si="164"/>
        <v>75000</v>
      </c>
      <c r="N441" s="66">
        <f t="shared" si="163"/>
        <v>143598.65</v>
      </c>
      <c r="O441" s="66">
        <f t="shared" si="163"/>
        <v>225000</v>
      </c>
      <c r="P441" s="69">
        <f t="shared" si="154"/>
        <v>47866.216666666667</v>
      </c>
      <c r="Q441" s="69">
        <f t="shared" si="154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 t="shared" ref="AB441:AG441" si="165">ROUND(SUM(AB430:AB440),5)</f>
        <v>90000</v>
      </c>
      <c r="AC441" s="80">
        <f t="shared" si="165"/>
        <v>68000</v>
      </c>
      <c r="AD441" s="80">
        <f t="shared" si="165"/>
        <v>88000</v>
      </c>
      <c r="AE441" s="80">
        <f t="shared" si="165"/>
        <v>90000</v>
      </c>
      <c r="AF441" s="80">
        <f t="shared" si="165"/>
        <v>90000</v>
      </c>
      <c r="AG441" s="80">
        <f t="shared" si="165"/>
        <v>90000</v>
      </c>
      <c r="AH441" s="190"/>
      <c r="AI441" s="190"/>
      <c r="AJ441" s="81"/>
      <c r="AK441" s="81"/>
      <c r="AN441" s="111"/>
    </row>
    <row r="442" spans="1:40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F442" s="66"/>
      <c r="AG442" s="66"/>
      <c r="AJ442" s="81">
        <f>12*1850</f>
        <v>22200</v>
      </c>
      <c r="AK442" s="81"/>
    </row>
    <row r="443" spans="1:40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F443" s="66"/>
      <c r="AG443" s="66"/>
      <c r="AJ443" s="81"/>
      <c r="AK443" s="81"/>
    </row>
    <row r="444" spans="1:40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166">ROUND(H444+J444+L444,5)</f>
        <v>3082.32</v>
      </c>
      <c r="O444" s="66">
        <f t="shared" si="166"/>
        <v>6500</v>
      </c>
      <c r="P444" s="69">
        <f t="shared" si="154"/>
        <v>1027.44</v>
      </c>
      <c r="Q444" s="69">
        <f t="shared" si="154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f>Travel!$T$139</f>
        <v>3700</v>
      </c>
      <c r="AG444" s="66">
        <f>Travel!$T$139</f>
        <v>3700</v>
      </c>
      <c r="AH444" s="110" t="s">
        <v>976</v>
      </c>
      <c r="AJ444"/>
      <c r="AK444"/>
      <c r="AL444"/>
      <c r="AM444"/>
      <c r="AN444"/>
    </row>
    <row r="445" spans="1:40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166"/>
        <v>4346.18</v>
      </c>
      <c r="O445" s="66">
        <f t="shared" si="166"/>
        <v>6500</v>
      </c>
      <c r="P445" s="69">
        <f t="shared" si="154"/>
        <v>1448.7266666666667</v>
      </c>
      <c r="Q445" s="69">
        <f t="shared" si="154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f>Travel!$T$141</f>
        <v>3700</v>
      </c>
      <c r="AG445" s="66">
        <f>Travel!$T$141</f>
        <v>3700</v>
      </c>
      <c r="AH445" s="110" t="s">
        <v>976</v>
      </c>
      <c r="AJ445"/>
      <c r="AK445"/>
      <c r="AL445"/>
      <c r="AM445"/>
      <c r="AN445"/>
    </row>
    <row r="446" spans="1:40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166"/>
        <v>1181.1600000000001</v>
      </c>
      <c r="O446" s="66">
        <f t="shared" si="166"/>
        <v>6500</v>
      </c>
      <c r="P446" s="69">
        <f t="shared" si="154"/>
        <v>393.72</v>
      </c>
      <c r="Q446" s="69">
        <f t="shared" si="154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f>Travel!$T$145</f>
        <v>3700</v>
      </c>
      <c r="AG446" s="66">
        <f>Travel!$T$145</f>
        <v>3700</v>
      </c>
      <c r="AH446" s="110" t="s">
        <v>976</v>
      </c>
      <c r="AI446" s="191"/>
      <c r="AJ446"/>
      <c r="AK446"/>
      <c r="AL446"/>
      <c r="AM446"/>
      <c r="AN446"/>
    </row>
    <row r="447" spans="1:40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166"/>
        <v>1117.28</v>
      </c>
      <c r="O447" s="66">
        <f t="shared" si="166"/>
        <v>3500</v>
      </c>
      <c r="P447" s="69">
        <f t="shared" si="154"/>
        <v>372.42666666666668</v>
      </c>
      <c r="Q447" s="69">
        <f t="shared" si="154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f>Travel!$T$149</f>
        <v>3700</v>
      </c>
      <c r="AG447" s="66">
        <f>Travel!$T$149</f>
        <v>3700</v>
      </c>
      <c r="AH447" s="110" t="s">
        <v>976</v>
      </c>
      <c r="AI447" s="191"/>
      <c r="AJ447"/>
      <c r="AK447"/>
      <c r="AL447"/>
      <c r="AM447"/>
      <c r="AN447"/>
    </row>
    <row r="448" spans="1:40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166"/>
        <v>5060.6499999999996</v>
      </c>
      <c r="O448" s="66">
        <f t="shared" si="166"/>
        <v>6500</v>
      </c>
      <c r="P448" s="69">
        <f t="shared" si="154"/>
        <v>1686.8833333333332</v>
      </c>
      <c r="Q448" s="69">
        <f t="shared" si="154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f>Travel!$T$151</f>
        <v>3700</v>
      </c>
      <c r="AG448" s="66">
        <f>Travel!$T$151</f>
        <v>3700</v>
      </c>
      <c r="AH448" s="110" t="s">
        <v>976</v>
      </c>
      <c r="AI448" s="191"/>
      <c r="AJ448"/>
      <c r="AK448"/>
      <c r="AL448"/>
      <c r="AM448"/>
      <c r="AN448"/>
    </row>
    <row r="449" spans="1:40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166"/>
        <v>2560.85</v>
      </c>
      <c r="O449" s="66">
        <f t="shared" si="166"/>
        <v>3500</v>
      </c>
      <c r="P449" s="69">
        <f t="shared" si="154"/>
        <v>853.61666666666667</v>
      </c>
      <c r="Q449" s="69">
        <f t="shared" si="154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6">
        <f>Travel!$T$153</f>
        <v>3700</v>
      </c>
      <c r="AC449" s="66">
        <f>Travel!$T$153</f>
        <v>3700</v>
      </c>
      <c r="AD449" s="66">
        <f>Travel!$T$153</f>
        <v>3700</v>
      </c>
      <c r="AE449" s="66">
        <f>Travel!$T$153</f>
        <v>3700</v>
      </c>
      <c r="AF449" s="66">
        <f>Travel!$T$153</f>
        <v>3700</v>
      </c>
      <c r="AG449" s="66">
        <f>Travel!$T$153</f>
        <v>3700</v>
      </c>
      <c r="AH449" s="110" t="s">
        <v>976</v>
      </c>
      <c r="AI449" s="116" t="s">
        <v>862</v>
      </c>
      <c r="AJ449"/>
      <c r="AK449"/>
      <c r="AL449"/>
      <c r="AM449"/>
      <c r="AN449"/>
    </row>
    <row r="450" spans="1:40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166"/>
        <v>4712.95</v>
      </c>
      <c r="O450" s="66">
        <f t="shared" si="166"/>
        <v>6500</v>
      </c>
      <c r="P450" s="69">
        <f t="shared" si="154"/>
        <v>1570.9833333333333</v>
      </c>
      <c r="Q450" s="69">
        <f t="shared" si="154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f>Travel!$T$155</f>
        <v>3700</v>
      </c>
      <c r="AG450" s="66">
        <f>Travel!$T$155</f>
        <v>3700</v>
      </c>
      <c r="AH450" s="110" t="s">
        <v>976</v>
      </c>
      <c r="AI450" s="191"/>
      <c r="AJ450"/>
      <c r="AK450"/>
      <c r="AL450"/>
      <c r="AM450"/>
      <c r="AN450"/>
    </row>
    <row r="451" spans="1:40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166"/>
        <v>10623.42</v>
      </c>
      <c r="O451" s="66">
        <f t="shared" si="166"/>
        <v>6500</v>
      </c>
      <c r="P451" s="69">
        <f t="shared" ref="P451:Q509" si="167">N451/3</f>
        <v>3541.14</v>
      </c>
      <c r="Q451" s="69">
        <f t="shared" si="167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6">
        <f>Travel!$T$157</f>
        <v>3700</v>
      </c>
      <c r="AC451" s="66">
        <f>Travel!$T$157</f>
        <v>3700</v>
      </c>
      <c r="AD451" s="66">
        <f>Travel!$T$157</f>
        <v>3700</v>
      </c>
      <c r="AE451" s="66">
        <f>Travel!$T$157</f>
        <v>3700</v>
      </c>
      <c r="AF451" s="66">
        <f>Travel!$T$157</f>
        <v>3700</v>
      </c>
      <c r="AG451" s="66">
        <f>Travel!$T$157</f>
        <v>3700</v>
      </c>
      <c r="AH451" s="110" t="s">
        <v>976</v>
      </c>
      <c r="AI451" s="116" t="s">
        <v>863</v>
      </c>
      <c r="AJ451"/>
      <c r="AK451"/>
      <c r="AL451"/>
      <c r="AM451"/>
      <c r="AN451"/>
    </row>
    <row r="452" spans="1:40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166"/>
        <v>4606.37</v>
      </c>
      <c r="O452" s="66">
        <f t="shared" si="166"/>
        <v>6500</v>
      </c>
      <c r="P452" s="69">
        <f t="shared" si="167"/>
        <v>1535.4566666666667</v>
      </c>
      <c r="Q452" s="69">
        <f t="shared" si="167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f>Travel!$T$159</f>
        <v>3700</v>
      </c>
      <c r="AG452" s="66">
        <f>Travel!$T$159</f>
        <v>3700</v>
      </c>
      <c r="AH452" s="110" t="s">
        <v>976</v>
      </c>
      <c r="AI452" s="191"/>
      <c r="AJ452"/>
      <c r="AK452"/>
      <c r="AL452"/>
      <c r="AM452"/>
      <c r="AN452"/>
    </row>
    <row r="453" spans="1:40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166"/>
        <v>0</v>
      </c>
      <c r="O453" s="66">
        <f t="shared" si="166"/>
        <v>79500</v>
      </c>
      <c r="P453" s="69">
        <f t="shared" si="167"/>
        <v>0</v>
      </c>
      <c r="Q453" s="69">
        <f t="shared" si="167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6">
        <f>Travel!$R$160</f>
        <v>10000</v>
      </c>
      <c r="AC453" s="66">
        <v>10000</v>
      </c>
      <c r="AD453" s="66">
        <v>10000</v>
      </c>
      <c r="AE453" s="66">
        <v>15000</v>
      </c>
      <c r="AF453" s="66">
        <v>17500</v>
      </c>
      <c r="AG453" s="66">
        <f>Travel!$P$160</f>
        <v>10000</v>
      </c>
      <c r="AH453" s="173"/>
      <c r="AI453" s="191"/>
      <c r="AJ453"/>
      <c r="AK453"/>
      <c r="AL453"/>
      <c r="AM453"/>
      <c r="AN453"/>
    </row>
    <row r="454" spans="1:40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168">ROUND(SUM(H443:H453),5)</f>
        <v>8532.3799999999992</v>
      </c>
      <c r="I454" s="75">
        <f t="shared" si="168"/>
        <v>49500</v>
      </c>
      <c r="J454" s="76">
        <f t="shared" si="168"/>
        <v>10517.83</v>
      </c>
      <c r="K454" s="76">
        <f t="shared" si="168"/>
        <v>31000</v>
      </c>
      <c r="L454" s="77">
        <f t="shared" si="168"/>
        <v>18240.97</v>
      </c>
      <c r="M454" s="77">
        <f t="shared" si="168"/>
        <v>51500</v>
      </c>
      <c r="N454" s="78">
        <f t="shared" si="166"/>
        <v>37291.18</v>
      </c>
      <c r="O454" s="78">
        <f t="shared" si="166"/>
        <v>132000</v>
      </c>
      <c r="P454" s="79">
        <f t="shared" si="167"/>
        <v>12430.393333333333</v>
      </c>
      <c r="Q454" s="79">
        <f t="shared" si="167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 t="shared" ref="AB454:AG454" si="169">ROUND(SUM(AB443:AB453),5)</f>
        <v>43300</v>
      </c>
      <c r="AC454" s="88">
        <f t="shared" si="169"/>
        <v>43300</v>
      </c>
      <c r="AD454" s="88">
        <f t="shared" si="169"/>
        <v>43300</v>
      </c>
      <c r="AE454" s="88">
        <f t="shared" si="169"/>
        <v>48300</v>
      </c>
      <c r="AF454" s="88">
        <f t="shared" si="169"/>
        <v>50800</v>
      </c>
      <c r="AG454" s="88">
        <f t="shared" si="169"/>
        <v>43300</v>
      </c>
      <c r="AI454" s="191"/>
      <c r="AJ454"/>
      <c r="AK454"/>
      <c r="AL454"/>
      <c r="AM454"/>
      <c r="AN454"/>
    </row>
    <row r="455" spans="1:40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170">ROUND(H442+SUM(H454:H454),5)</f>
        <v>8532.3799999999992</v>
      </c>
      <c r="I455" s="75">
        <f t="shared" si="170"/>
        <v>49500</v>
      </c>
      <c r="J455" s="76">
        <f t="shared" si="170"/>
        <v>10517.83</v>
      </c>
      <c r="K455" s="76">
        <f t="shared" si="170"/>
        <v>31000</v>
      </c>
      <c r="L455" s="77">
        <f t="shared" si="170"/>
        <v>18240.97</v>
      </c>
      <c r="M455" s="77">
        <f t="shared" si="170"/>
        <v>51500</v>
      </c>
      <c r="N455" s="78">
        <f t="shared" si="166"/>
        <v>37291.18</v>
      </c>
      <c r="O455" s="78">
        <f t="shared" si="166"/>
        <v>132000</v>
      </c>
      <c r="P455" s="79">
        <f t="shared" si="167"/>
        <v>12430.393333333333</v>
      </c>
      <c r="Q455" s="79">
        <f t="shared" si="167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 t="shared" ref="AB455:AG455" si="171">ROUND(AB442+SUM(AB454:AB454),5)</f>
        <v>43300</v>
      </c>
      <c r="AC455" s="78">
        <f t="shared" si="171"/>
        <v>43300</v>
      </c>
      <c r="AD455" s="78">
        <f t="shared" si="171"/>
        <v>43300</v>
      </c>
      <c r="AE455" s="78">
        <f t="shared" si="171"/>
        <v>48300</v>
      </c>
      <c r="AF455" s="78">
        <f t="shared" si="171"/>
        <v>50800</v>
      </c>
      <c r="AG455" s="78">
        <f t="shared" si="171"/>
        <v>43300</v>
      </c>
      <c r="AI455" s="191"/>
      <c r="AJ455"/>
      <c r="AK455"/>
      <c r="AL455"/>
      <c r="AM455"/>
      <c r="AN455"/>
    </row>
    <row r="456" spans="1:40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F456" s="66"/>
      <c r="AG456" s="66"/>
      <c r="AI456" s="191"/>
      <c r="AJ456"/>
      <c r="AK456"/>
      <c r="AL456"/>
      <c r="AM456"/>
      <c r="AN456"/>
    </row>
    <row r="457" spans="1:40" ht="32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172">ROUND(H457+J457+L457,5)</f>
        <v>9342.6299999999992</v>
      </c>
      <c r="O457" s="66">
        <f t="shared" si="172"/>
        <v>11500</v>
      </c>
      <c r="P457" s="69">
        <f t="shared" si="167"/>
        <v>3114.2099999999996</v>
      </c>
      <c r="Q457" s="69">
        <f t="shared" si="167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6">
        <f>Travel!$T$170</f>
        <v>9250</v>
      </c>
      <c r="AC457" s="66">
        <v>5000</v>
      </c>
      <c r="AD457" s="66">
        <v>5000</v>
      </c>
      <c r="AE457" s="66">
        <v>6700</v>
      </c>
      <c r="AF457" s="66">
        <f>Travel!$T$170</f>
        <v>9250</v>
      </c>
      <c r="AG457" s="66">
        <f>Travel!$T$170</f>
        <v>9250</v>
      </c>
      <c r="AH457" s="110" t="s">
        <v>976</v>
      </c>
      <c r="AI457" s="116" t="s">
        <v>852</v>
      </c>
      <c r="AJ457"/>
      <c r="AK457"/>
      <c r="AL457"/>
      <c r="AM457"/>
      <c r="AN457"/>
    </row>
    <row r="458" spans="1:40" ht="29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172"/>
        <v>17829.34</v>
      </c>
      <c r="O458" s="66">
        <f t="shared" si="172"/>
        <v>38500</v>
      </c>
      <c r="P458" s="69">
        <f t="shared" si="167"/>
        <v>5943.1133333333337</v>
      </c>
      <c r="Q458" s="69">
        <f t="shared" si="167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G458" s="66">
        <f>Travel!$T$172</f>
        <v>14500</v>
      </c>
      <c r="AI458" s="147" t="s">
        <v>977</v>
      </c>
      <c r="AJ458"/>
      <c r="AK458"/>
      <c r="AL458"/>
      <c r="AM458"/>
      <c r="AN458"/>
    </row>
    <row r="459" spans="1:40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172"/>
        <v>27125.43</v>
      </c>
      <c r="O459" s="66">
        <f t="shared" si="172"/>
        <v>30000</v>
      </c>
      <c r="P459" s="69">
        <f t="shared" si="167"/>
        <v>9041.81</v>
      </c>
      <c r="Q459" s="69">
        <f t="shared" si="167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f>Travel!$T$180</f>
        <v>12000</v>
      </c>
      <c r="AG459" s="66">
        <f>Travel!$T$180</f>
        <v>12000</v>
      </c>
      <c r="AI459" s="192"/>
      <c r="AJ459"/>
      <c r="AK459"/>
      <c r="AL459"/>
      <c r="AM459"/>
      <c r="AN459"/>
    </row>
    <row r="460" spans="1:40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172"/>
        <v>82292.61</v>
      </c>
      <c r="O460" s="66">
        <f t="shared" si="172"/>
        <v>96550</v>
      </c>
      <c r="P460" s="69">
        <f t="shared" si="167"/>
        <v>27430.87</v>
      </c>
      <c r="Q460" s="69">
        <f t="shared" si="167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f>Travel!$T$200</f>
        <v>46550</v>
      </c>
      <c r="AG460" s="66">
        <f>Travel!$T$200</f>
        <v>46550</v>
      </c>
      <c r="AI460" s="191"/>
      <c r="AJ460"/>
      <c r="AK460"/>
      <c r="AL460"/>
      <c r="AM460"/>
      <c r="AN460"/>
    </row>
    <row r="461" spans="1:40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172"/>
        <v>77589.72</v>
      </c>
      <c r="O461" s="66">
        <f t="shared" si="172"/>
        <v>107235</v>
      </c>
      <c r="P461" s="69">
        <f t="shared" si="167"/>
        <v>25863.24</v>
      </c>
      <c r="Q461" s="69">
        <f t="shared" si="167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f>Travel!$T$224</f>
        <v>30000</v>
      </c>
      <c r="AG461" s="66">
        <f>Travel!$T$224</f>
        <v>30000</v>
      </c>
      <c r="AI461" s="191"/>
      <c r="AJ461"/>
      <c r="AK461"/>
      <c r="AL461"/>
      <c r="AM461"/>
      <c r="AN461"/>
    </row>
    <row r="462" spans="1:40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172"/>
        <v>8410.5499999999993</v>
      </c>
      <c r="O462" s="66">
        <f t="shared" si="172"/>
        <v>9500</v>
      </c>
      <c r="P462" s="69">
        <f t="shared" si="167"/>
        <v>2803.5166666666664</v>
      </c>
      <c r="Q462" s="69">
        <f t="shared" si="167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G462" s="66">
        <f>Travel!$T$226</f>
        <v>3700</v>
      </c>
      <c r="AH462" s="110" t="s">
        <v>976</v>
      </c>
      <c r="AI462" s="191"/>
      <c r="AJ462"/>
      <c r="AK462"/>
      <c r="AL462"/>
      <c r="AM462"/>
      <c r="AN462"/>
    </row>
    <row r="463" spans="1:40" ht="16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172"/>
        <v>1939.64</v>
      </c>
      <c r="O463" s="66">
        <f t="shared" si="172"/>
        <v>16500</v>
      </c>
      <c r="P463" s="69">
        <f t="shared" si="167"/>
        <v>646.54666666666674</v>
      </c>
      <c r="Q463" s="69">
        <f t="shared" si="167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6">
        <v>9000</v>
      </c>
      <c r="AC463" s="66">
        <v>5000</v>
      </c>
      <c r="AD463" s="66">
        <v>5000</v>
      </c>
      <c r="AE463" s="66">
        <v>5000</v>
      </c>
      <c r="AF463" s="66">
        <v>5000</v>
      </c>
      <c r="AG463" s="66">
        <f>Travel!$T$164</f>
        <v>7150</v>
      </c>
      <c r="AH463" s="110" t="s">
        <v>976</v>
      </c>
      <c r="AI463" s="191"/>
      <c r="AJ463"/>
      <c r="AK463"/>
      <c r="AL463"/>
      <c r="AM463"/>
      <c r="AN463"/>
    </row>
    <row r="464" spans="1:40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173">ROUND(SUM(H456:H463),5)</f>
        <v>68157.66</v>
      </c>
      <c r="I464" s="75">
        <f t="shared" si="173"/>
        <v>97000</v>
      </c>
      <c r="J464" s="76">
        <f t="shared" si="173"/>
        <v>75651.53</v>
      </c>
      <c r="K464" s="76">
        <f t="shared" si="173"/>
        <v>88000</v>
      </c>
      <c r="L464" s="77">
        <f t="shared" si="173"/>
        <v>80720.73</v>
      </c>
      <c r="M464" s="77">
        <f t="shared" si="173"/>
        <v>124785</v>
      </c>
      <c r="N464" s="78">
        <f t="shared" si="172"/>
        <v>224529.92000000001</v>
      </c>
      <c r="O464" s="78">
        <f t="shared" si="172"/>
        <v>309785</v>
      </c>
      <c r="P464" s="79">
        <f t="shared" si="167"/>
        <v>74843.306666666671</v>
      </c>
      <c r="Q464" s="79">
        <f t="shared" si="167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 t="shared" ref="AB464:AG464" si="174">ROUND(SUM(AB456:AB463),5)</f>
        <v>125000</v>
      </c>
      <c r="AC464" s="91">
        <f t="shared" si="174"/>
        <v>105700</v>
      </c>
      <c r="AD464" s="91">
        <f t="shared" si="174"/>
        <v>105700</v>
      </c>
      <c r="AE464" s="91">
        <f t="shared" si="174"/>
        <v>114900</v>
      </c>
      <c r="AF464" s="91">
        <f t="shared" si="174"/>
        <v>121000</v>
      </c>
      <c r="AG464" s="91">
        <f t="shared" si="174"/>
        <v>123150</v>
      </c>
      <c r="AI464" s="191"/>
      <c r="AJ464"/>
      <c r="AK464"/>
      <c r="AL464"/>
      <c r="AM464"/>
      <c r="AN464"/>
    </row>
    <row r="465" spans="1:40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167"/>
        <v>0</v>
      </c>
      <c r="Q465" s="69">
        <f t="shared" si="167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F465" s="66"/>
      <c r="AG465" s="66"/>
      <c r="AI465" s="191"/>
      <c r="AJ465"/>
      <c r="AK465"/>
      <c r="AL465"/>
      <c r="AM465"/>
      <c r="AN465"/>
    </row>
    <row r="466" spans="1:40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175">ROUND(H466+J466+L466,5)</f>
        <v>0</v>
      </c>
      <c r="O466" s="66">
        <f t="shared" si="175"/>
        <v>4350</v>
      </c>
      <c r="P466" s="69">
        <f t="shared" si="167"/>
        <v>0</v>
      </c>
      <c r="Q466" s="69">
        <f t="shared" si="167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6">
        <f>Travel!$T$228</f>
        <v>1300</v>
      </c>
      <c r="AC466" s="66">
        <f>Travel!$T$228</f>
        <v>1300</v>
      </c>
      <c r="AD466" s="66">
        <f>Travel!$T$228</f>
        <v>1300</v>
      </c>
      <c r="AE466" s="66">
        <f>Travel!$T$228</f>
        <v>1300</v>
      </c>
      <c r="AF466" s="66">
        <f>Travel!$T$228</f>
        <v>1300</v>
      </c>
      <c r="AG466" s="66">
        <f>Travel!$T$228</f>
        <v>1300</v>
      </c>
      <c r="AI466" s="191"/>
      <c r="AJ466"/>
      <c r="AK466"/>
      <c r="AL466"/>
      <c r="AM466"/>
      <c r="AN466"/>
    </row>
    <row r="467" spans="1:40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175"/>
        <v>6468.36</v>
      </c>
      <c r="O467" s="66">
        <f t="shared" si="175"/>
        <v>27000</v>
      </c>
      <c r="P467" s="69">
        <f t="shared" si="167"/>
        <v>2156.12</v>
      </c>
      <c r="Q467" s="69">
        <f t="shared" si="167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6">
        <f>Travel!$T$233</f>
        <v>18000</v>
      </c>
      <c r="AC467" s="66">
        <v>5000</v>
      </c>
      <c r="AD467" s="66">
        <v>5000</v>
      </c>
      <c r="AE467" s="66">
        <v>5000</v>
      </c>
      <c r="AF467" s="66">
        <f>Travel!$T$233</f>
        <v>18000</v>
      </c>
      <c r="AG467" s="66">
        <f>Travel!$T$233</f>
        <v>18000</v>
      </c>
      <c r="AH467" s="206" t="s">
        <v>1000</v>
      </c>
      <c r="AI467" s="191" t="s">
        <v>964</v>
      </c>
      <c r="AJ467"/>
      <c r="AK467"/>
      <c r="AL467"/>
      <c r="AM467"/>
      <c r="AN467"/>
    </row>
    <row r="468" spans="1:40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175"/>
        <v>1454.32</v>
      </c>
      <c r="O468" s="73">
        <f t="shared" si="175"/>
        <v>7100</v>
      </c>
      <c r="P468" s="74">
        <f t="shared" si="167"/>
        <v>484.77333333333331</v>
      </c>
      <c r="Q468" s="74">
        <f t="shared" si="167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6">
        <f>Travel!$T$237</f>
        <v>0</v>
      </c>
      <c r="AC468" s="66">
        <f>Travel!$T$237</f>
        <v>0</v>
      </c>
      <c r="AD468" s="66">
        <f>Travel!$T$237</f>
        <v>0</v>
      </c>
      <c r="AE468" s="66">
        <v>2600</v>
      </c>
      <c r="AF468" s="66">
        <v>2600</v>
      </c>
      <c r="AG468" s="66">
        <f>Travel!$T$237</f>
        <v>0</v>
      </c>
      <c r="AI468" s="191"/>
      <c r="AJ468"/>
      <c r="AK468"/>
      <c r="AL468"/>
      <c r="AM468"/>
      <c r="AN468"/>
    </row>
    <row r="469" spans="1:40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176">ROUND(SUM(H465:H468),5)</f>
        <v>2517.89</v>
      </c>
      <c r="I469" s="63">
        <f t="shared" si="176"/>
        <v>15000</v>
      </c>
      <c r="J469" s="64">
        <f t="shared" si="176"/>
        <v>3142.66</v>
      </c>
      <c r="K469" s="64">
        <f t="shared" si="176"/>
        <v>12550</v>
      </c>
      <c r="L469" s="65">
        <f t="shared" si="176"/>
        <v>2262.13</v>
      </c>
      <c r="M469" s="65">
        <f t="shared" si="176"/>
        <v>10900</v>
      </c>
      <c r="N469" s="66">
        <f t="shared" si="175"/>
        <v>7922.68</v>
      </c>
      <c r="O469" s="66">
        <f t="shared" si="175"/>
        <v>38450</v>
      </c>
      <c r="P469" s="69">
        <f t="shared" si="167"/>
        <v>2640.8933333333334</v>
      </c>
      <c r="Q469" s="69">
        <f t="shared" si="167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 t="shared" ref="AB469:AG469" si="177">ROUND(SUM(AB465:AB468),5)</f>
        <v>19300</v>
      </c>
      <c r="AC469" s="91">
        <f t="shared" si="177"/>
        <v>6300</v>
      </c>
      <c r="AD469" s="91">
        <f t="shared" si="177"/>
        <v>6300</v>
      </c>
      <c r="AE469" s="91">
        <f t="shared" si="177"/>
        <v>8900</v>
      </c>
      <c r="AF469" s="91">
        <f t="shared" si="177"/>
        <v>21900</v>
      </c>
      <c r="AG469" s="91">
        <f t="shared" si="177"/>
        <v>19300</v>
      </c>
      <c r="AI469" s="191"/>
      <c r="AJ469"/>
      <c r="AK469"/>
      <c r="AL469"/>
      <c r="AM469"/>
      <c r="AN469"/>
    </row>
    <row r="470" spans="1:40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F470" s="66"/>
      <c r="AG470" s="66"/>
      <c r="AI470" s="191"/>
      <c r="AJ470"/>
      <c r="AK470"/>
      <c r="AL470"/>
      <c r="AM470"/>
      <c r="AN470"/>
    </row>
    <row r="471" spans="1:40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178">ROUND(H471+J471+L471,5)</f>
        <v>40121.949999999997</v>
      </c>
      <c r="O471" s="66">
        <f t="shared" si="178"/>
        <v>50000</v>
      </c>
      <c r="P471" s="69">
        <f t="shared" si="167"/>
        <v>13373.983333333332</v>
      </c>
      <c r="Q471" s="69">
        <f t="shared" si="167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6">
        <f>Travel!$T$248</f>
        <v>18000</v>
      </c>
      <c r="AC471" s="66">
        <v>20000</v>
      </c>
      <c r="AD471" s="66">
        <v>20000</v>
      </c>
      <c r="AE471" s="66">
        <v>20000</v>
      </c>
      <c r="AF471" s="66">
        <f>Travel!$T$248</f>
        <v>18000</v>
      </c>
      <c r="AG471" s="66">
        <f>Travel!$T$248</f>
        <v>18000</v>
      </c>
      <c r="AI471" s="191"/>
      <c r="AJ471"/>
      <c r="AK471"/>
      <c r="AL471"/>
      <c r="AM471"/>
      <c r="AN471"/>
    </row>
    <row r="472" spans="1:40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178"/>
        <v>298044.73</v>
      </c>
      <c r="O472" s="66">
        <f t="shared" si="178"/>
        <v>298300</v>
      </c>
      <c r="P472" s="69">
        <f t="shared" si="167"/>
        <v>99348.243333333332</v>
      </c>
      <c r="Q472" s="69">
        <f t="shared" si="167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6">
        <f>Travel!$T$262</f>
        <v>92000</v>
      </c>
      <c r="AC472" s="66">
        <v>85000</v>
      </c>
      <c r="AD472" s="66">
        <v>85000</v>
      </c>
      <c r="AE472" s="66">
        <v>85000</v>
      </c>
      <c r="AF472" s="66">
        <f>Travel!$T$262</f>
        <v>92000</v>
      </c>
      <c r="AG472" s="66">
        <f>Travel!$T$262</f>
        <v>92000</v>
      </c>
      <c r="AI472" s="191"/>
      <c r="AJ472"/>
      <c r="AK472"/>
      <c r="AL472"/>
      <c r="AM472"/>
      <c r="AN472"/>
    </row>
    <row r="473" spans="1:40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178"/>
        <v>91427.03</v>
      </c>
      <c r="O473" s="66">
        <f t="shared" si="178"/>
        <v>71500</v>
      </c>
      <c r="P473" s="69">
        <f t="shared" si="167"/>
        <v>30475.676666666666</v>
      </c>
      <c r="Q473" s="69">
        <f t="shared" si="167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6">
        <f>Travel!$T$289</f>
        <v>29500</v>
      </c>
      <c r="AC473" s="66">
        <v>27000</v>
      </c>
      <c r="AD473" s="66">
        <v>27000</v>
      </c>
      <c r="AE473" s="66">
        <v>30000</v>
      </c>
      <c r="AF473" s="66">
        <f>Travel!$T$289</f>
        <v>29500</v>
      </c>
      <c r="AG473" s="66">
        <f>Travel!$T$289</f>
        <v>29500</v>
      </c>
      <c r="AI473" s="191"/>
      <c r="AJ473"/>
      <c r="AK473"/>
      <c r="AL473"/>
      <c r="AM473"/>
      <c r="AN473"/>
    </row>
    <row r="474" spans="1:40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178"/>
        <v>3636.89</v>
      </c>
      <c r="O474" s="66">
        <f t="shared" si="178"/>
        <v>16000</v>
      </c>
      <c r="P474" s="69">
        <f t="shared" si="167"/>
        <v>1212.2966666666666</v>
      </c>
      <c r="Q474" s="69">
        <f t="shared" si="167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6">
        <f>Travel!$T$290</f>
        <v>3000</v>
      </c>
      <c r="AC474" s="66">
        <f>Travel!$T$290</f>
        <v>3000</v>
      </c>
      <c r="AD474" s="66">
        <f>Travel!$T$290</f>
        <v>3000</v>
      </c>
      <c r="AE474" s="66">
        <f>Travel!$T$290</f>
        <v>3000</v>
      </c>
      <c r="AF474" s="66">
        <f>Travel!$T$290</f>
        <v>3000</v>
      </c>
      <c r="AG474" s="66">
        <f>Travel!$T$290</f>
        <v>3000</v>
      </c>
      <c r="AI474" s="191"/>
      <c r="AJ474"/>
      <c r="AK474"/>
      <c r="AL474"/>
      <c r="AM474"/>
      <c r="AN474"/>
    </row>
    <row r="475" spans="1:40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178"/>
        <v>1704.48</v>
      </c>
      <c r="O475" s="66">
        <f t="shared" si="178"/>
        <v>13000</v>
      </c>
      <c r="P475" s="69">
        <f t="shared" si="167"/>
        <v>568.16</v>
      </c>
      <c r="Q475" s="69">
        <f t="shared" si="167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6">
        <f>Travel!$T$291</f>
        <v>9000</v>
      </c>
      <c r="AC475" s="66">
        <f>Travel!$T$291</f>
        <v>9000</v>
      </c>
      <c r="AD475" s="66">
        <f>Travel!$T$291</f>
        <v>9000</v>
      </c>
      <c r="AE475" s="66">
        <f>Travel!$T$291</f>
        <v>9000</v>
      </c>
      <c r="AF475" s="66">
        <v>3000</v>
      </c>
      <c r="AG475" s="66">
        <f>Travel!$T$291</f>
        <v>9000</v>
      </c>
      <c r="AI475" s="191"/>
      <c r="AJ475"/>
      <c r="AK475"/>
      <c r="AL475"/>
      <c r="AM475"/>
      <c r="AN475"/>
    </row>
    <row r="476" spans="1:40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178"/>
        <v>323010.53999999998</v>
      </c>
      <c r="O476" s="66">
        <f t="shared" si="178"/>
        <v>333639</v>
      </c>
      <c r="P476" s="69">
        <f t="shared" si="167"/>
        <v>107670.18</v>
      </c>
      <c r="Q476" s="69">
        <f t="shared" si="167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6">
        <f>Travel!$AE$34</f>
        <v>138650</v>
      </c>
      <c r="AC476" s="66">
        <v>110000</v>
      </c>
      <c r="AD476" s="66">
        <v>110000</v>
      </c>
      <c r="AE476" s="66">
        <v>110000</v>
      </c>
      <c r="AF476" s="66">
        <f>Travel!$AE$34</f>
        <v>138650</v>
      </c>
      <c r="AG476" s="66">
        <f>Travel!$AE$34</f>
        <v>138650</v>
      </c>
      <c r="AH476" s="206" t="s">
        <v>1000</v>
      </c>
      <c r="AI476" s="191"/>
      <c r="AJ476"/>
      <c r="AK476"/>
      <c r="AL476"/>
      <c r="AM476"/>
      <c r="AN476"/>
    </row>
    <row r="477" spans="1:40" ht="29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178"/>
        <v>38757.58</v>
      </c>
      <c r="O477" s="66">
        <f t="shared" si="178"/>
        <v>20000</v>
      </c>
      <c r="P477" s="69">
        <f t="shared" si="167"/>
        <v>12919.193333333335</v>
      </c>
      <c r="Q477" s="69">
        <f t="shared" si="167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6">
        <f>Travel!$T$292</f>
        <v>17500</v>
      </c>
      <c r="AC477" s="66">
        <f>Travel!$T$292</f>
        <v>17500</v>
      </c>
      <c r="AD477" s="66">
        <f>Travel!$T$292</f>
        <v>17500</v>
      </c>
      <c r="AE477" s="66">
        <f>Travel!$T$292</f>
        <v>17500</v>
      </c>
      <c r="AF477" s="66">
        <f>Travel!$T$292</f>
        <v>17500</v>
      </c>
      <c r="AG477" s="66">
        <f>Travel!$T$292</f>
        <v>17500</v>
      </c>
      <c r="AI477" s="172" t="s">
        <v>978</v>
      </c>
      <c r="AJ477"/>
      <c r="AK477"/>
      <c r="AL477"/>
      <c r="AM477"/>
      <c r="AN477"/>
    </row>
    <row r="478" spans="1:40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178"/>
        <v>9458.01</v>
      </c>
      <c r="O478" s="66">
        <f t="shared" si="178"/>
        <v>15000</v>
      </c>
      <c r="P478" s="69">
        <f t="shared" si="167"/>
        <v>3152.67</v>
      </c>
      <c r="Q478" s="69">
        <f t="shared" si="167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6">
        <f>Travel!$T$293</f>
        <v>5000</v>
      </c>
      <c r="AC478" s="66">
        <f>Travel!$T$293</f>
        <v>5000</v>
      </c>
      <c r="AD478" s="66">
        <f>Travel!$T$293</f>
        <v>5000</v>
      </c>
      <c r="AE478" s="66">
        <f>Travel!$T$293</f>
        <v>5000</v>
      </c>
      <c r="AF478" s="66">
        <f>Travel!$T$293</f>
        <v>5000</v>
      </c>
      <c r="AG478" s="66">
        <f>Travel!$T$293</f>
        <v>5000</v>
      </c>
      <c r="AI478" s="191"/>
      <c r="AJ478"/>
      <c r="AK478"/>
      <c r="AL478"/>
      <c r="AM478"/>
      <c r="AN478"/>
    </row>
    <row r="479" spans="1:40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179">ROUND(SUM(H470:H478),5)</f>
        <v>239537.82</v>
      </c>
      <c r="I479" s="75">
        <f t="shared" si="179"/>
        <v>266000</v>
      </c>
      <c r="J479" s="76">
        <f t="shared" si="179"/>
        <v>275471.45</v>
      </c>
      <c r="K479" s="76">
        <f t="shared" si="179"/>
        <v>278000</v>
      </c>
      <c r="L479" s="77">
        <f t="shared" si="179"/>
        <v>291151.94</v>
      </c>
      <c r="M479" s="77">
        <f t="shared" si="179"/>
        <v>273439</v>
      </c>
      <c r="N479" s="78">
        <f t="shared" si="178"/>
        <v>806161.21</v>
      </c>
      <c r="O479" s="78">
        <f t="shared" si="178"/>
        <v>817439</v>
      </c>
      <c r="P479" s="79">
        <f t="shared" si="167"/>
        <v>268720.40333333332</v>
      </c>
      <c r="Q479" s="79">
        <f t="shared" si="167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 t="shared" ref="AB479:AG479" si="180">ROUND(SUM(AB470:AB478),5)</f>
        <v>312650</v>
      </c>
      <c r="AC479" s="91">
        <f t="shared" si="180"/>
        <v>276500</v>
      </c>
      <c r="AD479" s="91">
        <f t="shared" si="180"/>
        <v>276500</v>
      </c>
      <c r="AE479" s="91">
        <f t="shared" si="180"/>
        <v>279500</v>
      </c>
      <c r="AF479" s="91">
        <f t="shared" si="180"/>
        <v>306650</v>
      </c>
      <c r="AG479" s="91">
        <f t="shared" si="180"/>
        <v>312650</v>
      </c>
      <c r="AI479" s="191"/>
      <c r="AJ479"/>
      <c r="AK479"/>
      <c r="AL479"/>
      <c r="AM479"/>
      <c r="AN479"/>
    </row>
    <row r="480" spans="1:40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F480" s="66"/>
      <c r="AG480" s="66"/>
      <c r="AI480" s="191"/>
      <c r="AJ480"/>
      <c r="AK480"/>
      <c r="AL480"/>
      <c r="AM480"/>
      <c r="AN480"/>
    </row>
    <row r="481" spans="1:40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181">ROUND(H481+J481+L481,5)</f>
        <v>20687.05</v>
      </c>
      <c r="O481" s="66">
        <f t="shared" si="181"/>
        <v>17200</v>
      </c>
      <c r="P481" s="69">
        <f t="shared" si="167"/>
        <v>6895.6833333333334</v>
      </c>
      <c r="Q481" s="69">
        <f t="shared" si="167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6">
        <f>Travel!$T$300</f>
        <v>10500</v>
      </c>
      <c r="AC481" s="66">
        <f>Travel!$T$300</f>
        <v>10500</v>
      </c>
      <c r="AD481" s="66">
        <f>Travel!$T$300</f>
        <v>10500</v>
      </c>
      <c r="AE481" s="66">
        <f>Travel!$T$300</f>
        <v>10500</v>
      </c>
      <c r="AF481" s="66">
        <f>Travel!$T$300</f>
        <v>10500</v>
      </c>
      <c r="AG481" s="66">
        <f>Travel!$T$300</f>
        <v>10500</v>
      </c>
      <c r="AI481" s="191"/>
      <c r="AJ481"/>
      <c r="AK481"/>
      <c r="AL481"/>
      <c r="AM481"/>
      <c r="AN481"/>
    </row>
    <row r="482" spans="1:40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181"/>
        <v>57727.78</v>
      </c>
      <c r="O482" s="66">
        <f t="shared" si="181"/>
        <v>41100</v>
      </c>
      <c r="P482" s="69">
        <f t="shared" si="167"/>
        <v>19242.593333333334</v>
      </c>
      <c r="Q482" s="69">
        <f t="shared" si="167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6">
        <f>Travel!$T$312</f>
        <v>18300</v>
      </c>
      <c r="AC482" s="66">
        <v>15000</v>
      </c>
      <c r="AD482" s="66">
        <v>15000</v>
      </c>
      <c r="AE482" s="66">
        <v>15000</v>
      </c>
      <c r="AF482" s="66">
        <f>Travel!$T$312</f>
        <v>18300</v>
      </c>
      <c r="AG482" s="66">
        <f>Travel!$T$312</f>
        <v>18300</v>
      </c>
      <c r="AI482" s="191"/>
      <c r="AJ482"/>
      <c r="AK482"/>
      <c r="AL482"/>
      <c r="AM482"/>
      <c r="AN482"/>
    </row>
    <row r="483" spans="1:40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181"/>
        <v>70814.95</v>
      </c>
      <c r="O483" s="66">
        <f t="shared" si="181"/>
        <v>78000</v>
      </c>
      <c r="P483" s="69">
        <f t="shared" si="167"/>
        <v>23604.983333333334</v>
      </c>
      <c r="Q483" s="69">
        <f t="shared" si="167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6">
        <f>Travel!$T$332</f>
        <v>30500</v>
      </c>
      <c r="AC483" s="66">
        <v>25000</v>
      </c>
      <c r="AD483" s="66">
        <v>25000</v>
      </c>
      <c r="AE483" s="66">
        <v>25000</v>
      </c>
      <c r="AF483" s="66">
        <f>Travel!$T$332</f>
        <v>30500</v>
      </c>
      <c r="AG483" s="66">
        <f>Travel!$T$332</f>
        <v>30500</v>
      </c>
      <c r="AI483" s="191"/>
      <c r="AJ483"/>
      <c r="AK483"/>
      <c r="AL483"/>
      <c r="AM483"/>
      <c r="AN483"/>
    </row>
    <row r="484" spans="1:40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181"/>
        <v>4458.2</v>
      </c>
      <c r="O484" s="66">
        <f t="shared" si="181"/>
        <v>14615</v>
      </c>
      <c r="P484" s="69">
        <f t="shared" si="167"/>
        <v>1486.0666666666666</v>
      </c>
      <c r="Q484" s="69">
        <f t="shared" si="167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6">
        <f>Travel!$T$336</f>
        <v>5000</v>
      </c>
      <c r="AC484" s="66">
        <f>Travel!$T$336</f>
        <v>5000</v>
      </c>
      <c r="AD484" s="66">
        <f>Travel!$T$336</f>
        <v>5000</v>
      </c>
      <c r="AE484" s="66">
        <f>Travel!$T$336</f>
        <v>5000</v>
      </c>
      <c r="AF484" s="66">
        <f>Travel!$T$336</f>
        <v>5000</v>
      </c>
      <c r="AG484" s="66">
        <f>Travel!$T$336</f>
        <v>5000</v>
      </c>
      <c r="AI484" s="191"/>
      <c r="AJ484"/>
      <c r="AK484"/>
      <c r="AL484"/>
      <c r="AM484"/>
      <c r="AN484"/>
    </row>
    <row r="485" spans="1:40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181"/>
        <v>10610.4</v>
      </c>
      <c r="O485" s="66">
        <f t="shared" si="181"/>
        <v>61200</v>
      </c>
      <c r="P485" s="69">
        <f t="shared" si="167"/>
        <v>3536.7999999999997</v>
      </c>
      <c r="Q485" s="69">
        <f t="shared" si="167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6">
        <f>Travel!$T$352</f>
        <v>21000</v>
      </c>
      <c r="AC485" s="66">
        <v>15000</v>
      </c>
      <c r="AD485" s="66">
        <v>15000</v>
      </c>
      <c r="AE485" s="66">
        <v>15000</v>
      </c>
      <c r="AF485" s="66">
        <f>Travel!$T$352</f>
        <v>21000</v>
      </c>
      <c r="AG485" s="66">
        <f>Travel!$T$352</f>
        <v>21000</v>
      </c>
      <c r="AI485" s="191"/>
      <c r="AJ485"/>
      <c r="AK485"/>
      <c r="AL485"/>
      <c r="AM485"/>
      <c r="AN485"/>
    </row>
    <row r="486" spans="1:40" ht="32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181"/>
        <v>81544.240000000005</v>
      </c>
      <c r="O486" s="66">
        <f t="shared" si="181"/>
        <v>84000</v>
      </c>
      <c r="P486" s="69">
        <f t="shared" si="167"/>
        <v>27181.413333333334</v>
      </c>
      <c r="Q486" s="69">
        <f t="shared" si="167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6">
        <f>Travel!$T$361</f>
        <v>39999.994999999995</v>
      </c>
      <c r="AC486" s="66">
        <v>30000</v>
      </c>
      <c r="AD486" s="66">
        <v>30000</v>
      </c>
      <c r="AE486" s="66">
        <v>30000</v>
      </c>
      <c r="AF486" s="66">
        <f>Travel!$T$361</f>
        <v>39999.994999999995</v>
      </c>
      <c r="AG486" s="66">
        <f>Travel!$T$361</f>
        <v>39999.994999999995</v>
      </c>
      <c r="AI486" s="191" t="s">
        <v>979</v>
      </c>
      <c r="AJ486"/>
      <c r="AK486"/>
      <c r="AL486"/>
      <c r="AM486"/>
      <c r="AN486"/>
    </row>
    <row r="487" spans="1:40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181"/>
        <v>2890.95</v>
      </c>
      <c r="O487" s="66">
        <f t="shared" si="181"/>
        <v>5000</v>
      </c>
      <c r="P487" s="69">
        <f t="shared" si="167"/>
        <v>963.65</v>
      </c>
      <c r="Q487" s="69">
        <f t="shared" si="167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6">
        <f>Travel!$T$362</f>
        <v>5000</v>
      </c>
      <c r="AC487" s="66">
        <f>Travel!$T$362</f>
        <v>5000</v>
      </c>
      <c r="AD487" s="66">
        <f>Travel!$T$362</f>
        <v>5000</v>
      </c>
      <c r="AE487" s="66">
        <f>Travel!$T$362</f>
        <v>5000</v>
      </c>
      <c r="AF487" s="66">
        <f>Travel!$T$362</f>
        <v>5000</v>
      </c>
      <c r="AG487" s="66">
        <f>Travel!$T$362</f>
        <v>5000</v>
      </c>
      <c r="AI487" s="191"/>
      <c r="AJ487"/>
      <c r="AK487"/>
      <c r="AL487"/>
      <c r="AM487"/>
      <c r="AN487"/>
    </row>
    <row r="488" spans="1:40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182">ROUND(SUM(H480:H487),5)</f>
        <v>59874.94</v>
      </c>
      <c r="I488" s="75">
        <f t="shared" si="182"/>
        <v>92500</v>
      </c>
      <c r="J488" s="76">
        <f t="shared" si="182"/>
        <v>75252.66</v>
      </c>
      <c r="K488" s="76">
        <f t="shared" si="182"/>
        <v>95000</v>
      </c>
      <c r="L488" s="77">
        <f t="shared" si="182"/>
        <v>113605.97</v>
      </c>
      <c r="M488" s="77">
        <f t="shared" si="182"/>
        <v>113615</v>
      </c>
      <c r="N488" s="78">
        <f t="shared" si="181"/>
        <v>248733.57</v>
      </c>
      <c r="O488" s="78">
        <f t="shared" si="181"/>
        <v>301115</v>
      </c>
      <c r="P488" s="79">
        <f t="shared" si="167"/>
        <v>82911.19</v>
      </c>
      <c r="Q488" s="79">
        <f t="shared" si="167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 t="shared" ref="AB488:AG488" si="183">ROUND(SUM(AB480:AB487),5)</f>
        <v>130299.995</v>
      </c>
      <c r="AC488" s="91">
        <f t="shared" si="183"/>
        <v>105500</v>
      </c>
      <c r="AD488" s="91">
        <f t="shared" si="183"/>
        <v>105500</v>
      </c>
      <c r="AE488" s="91">
        <f t="shared" si="183"/>
        <v>105500</v>
      </c>
      <c r="AF488" s="91">
        <f t="shared" si="183"/>
        <v>130299.995</v>
      </c>
      <c r="AG488" s="91">
        <f t="shared" si="183"/>
        <v>130299.995</v>
      </c>
      <c r="AI488" s="191"/>
      <c r="AJ488"/>
      <c r="AK488"/>
      <c r="AL488"/>
      <c r="AM488"/>
      <c r="AN488"/>
    </row>
    <row r="489" spans="1:40" ht="1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184">ROUND(H429+H441+H455+H464+H469+H479+SUM(H488:H488),5)</f>
        <v>418230.26</v>
      </c>
      <c r="I489" s="75">
        <f t="shared" si="184"/>
        <v>595000</v>
      </c>
      <c r="J489" s="76">
        <f t="shared" si="184"/>
        <v>490473.05</v>
      </c>
      <c r="K489" s="76">
        <f t="shared" si="184"/>
        <v>579550</v>
      </c>
      <c r="L489" s="77">
        <f t="shared" si="184"/>
        <v>559533.9</v>
      </c>
      <c r="M489" s="77">
        <f t="shared" si="184"/>
        <v>649239</v>
      </c>
      <c r="N489" s="78">
        <f t="shared" si="181"/>
        <v>1468237.21</v>
      </c>
      <c r="O489" s="78">
        <f t="shared" si="181"/>
        <v>1823789</v>
      </c>
      <c r="P489" s="79">
        <f t="shared" si="167"/>
        <v>489412.40333333332</v>
      </c>
      <c r="Q489" s="79">
        <f t="shared" si="167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 t="shared" ref="AB489:AG489" si="185">ROUND(AB429+AB441+AB455+AB464+AB469+AB479+SUM(AB488:AB488),5)</f>
        <v>720549.995</v>
      </c>
      <c r="AC489" s="78">
        <f t="shared" si="185"/>
        <v>605300</v>
      </c>
      <c r="AD489" s="78">
        <f t="shared" si="185"/>
        <v>625300</v>
      </c>
      <c r="AE489" s="78">
        <f t="shared" si="185"/>
        <v>647100</v>
      </c>
      <c r="AF489" s="78">
        <f t="shared" si="185"/>
        <v>720649.995</v>
      </c>
      <c r="AG489" s="78">
        <f t="shared" si="185"/>
        <v>718699.995</v>
      </c>
      <c r="AI489" s="191"/>
      <c r="AJ489"/>
      <c r="AK489"/>
      <c r="AL489"/>
      <c r="AM489"/>
      <c r="AN489"/>
    </row>
    <row r="490" spans="1:40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167"/>
        <v>0</v>
      </c>
      <c r="Q490" s="69">
        <f t="shared" si="167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F490" s="66"/>
      <c r="AG490" s="66"/>
      <c r="AI490" s="191"/>
      <c r="AJ490"/>
      <c r="AK490"/>
      <c r="AL490"/>
      <c r="AM490"/>
      <c r="AN490"/>
    </row>
    <row r="491" spans="1:40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4" si="186">ROUND(H491+J491+L491,5)</f>
        <v>10042.5</v>
      </c>
      <c r="O491" s="66">
        <f t="shared" si="186"/>
        <v>30000</v>
      </c>
      <c r="P491" s="69">
        <f t="shared" si="167"/>
        <v>3347.5</v>
      </c>
      <c r="Q491" s="69">
        <f t="shared" si="167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I491" s="191"/>
      <c r="AJ491"/>
      <c r="AK491"/>
      <c r="AL491"/>
      <c r="AM491"/>
      <c r="AN491"/>
    </row>
    <row r="492" spans="1:40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186"/>
        <v>7205.43</v>
      </c>
      <c r="O492" s="66">
        <f t="shared" si="186"/>
        <v>8000</v>
      </c>
      <c r="P492" s="69">
        <f t="shared" si="167"/>
        <v>2401.81</v>
      </c>
      <c r="Q492" s="69">
        <f t="shared" si="167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G492" s="66">
        <v>2500</v>
      </c>
      <c r="AI492" s="191"/>
      <c r="AJ492"/>
      <c r="AK492"/>
      <c r="AL492"/>
      <c r="AM492"/>
      <c r="AN492"/>
    </row>
    <row r="493" spans="1:40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186"/>
        <v>15127.94</v>
      </c>
      <c r="O493" s="66">
        <f t="shared" si="186"/>
        <v>16500</v>
      </c>
      <c r="P493" s="69">
        <f t="shared" si="167"/>
        <v>5042.6466666666665</v>
      </c>
      <c r="Q493" s="69">
        <f t="shared" si="167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6">
        <v>6000</v>
      </c>
      <c r="AC493" s="66">
        <v>6000</v>
      </c>
      <c r="AD493" s="66">
        <v>6000</v>
      </c>
      <c r="AE493" s="66">
        <v>6000</v>
      </c>
      <c r="AF493" s="66">
        <v>6000</v>
      </c>
      <c r="AG493" s="66">
        <v>6000</v>
      </c>
      <c r="AI493" s="191"/>
      <c r="AJ493"/>
      <c r="AK493"/>
      <c r="AL493"/>
      <c r="AM493"/>
      <c r="AN493"/>
    </row>
    <row r="494" spans="1:40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186"/>
        <v>13298.77</v>
      </c>
      <c r="O494" s="66">
        <f t="shared" si="186"/>
        <v>7000</v>
      </c>
      <c r="P494" s="69">
        <f t="shared" si="167"/>
        <v>4432.9233333333332</v>
      </c>
      <c r="Q494" s="69">
        <f t="shared" si="167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G494" s="66">
        <v>3000</v>
      </c>
      <c r="AI494" s="191"/>
      <c r="AJ494"/>
      <c r="AK494"/>
      <c r="AL494"/>
      <c r="AM494"/>
      <c r="AN494"/>
    </row>
    <row r="495" spans="1:40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186"/>
        <v>510268.35</v>
      </c>
      <c r="O495" s="66">
        <f t="shared" si="186"/>
        <v>437243.12</v>
      </c>
      <c r="P495" s="69">
        <f t="shared" si="167"/>
        <v>170089.44999999998</v>
      </c>
      <c r="Q495" s="69">
        <f t="shared" si="167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 t="shared" ref="AB495:AF495" si="187">ROUND(AB220*0.0386, 0)</f>
        <v>205031</v>
      </c>
      <c r="AC495" s="66">
        <f t="shared" si="187"/>
        <v>205031</v>
      </c>
      <c r="AD495" s="66">
        <f t="shared" si="187"/>
        <v>207550</v>
      </c>
      <c r="AE495" s="66">
        <f t="shared" si="187"/>
        <v>206778</v>
      </c>
      <c r="AF495" s="66">
        <f t="shared" si="187"/>
        <v>212691</v>
      </c>
      <c r="AG495" s="66">
        <f>ROUND(AG220*0.0386, 0)</f>
        <v>216120</v>
      </c>
      <c r="AH495" s="197"/>
      <c r="AI495" s="193" t="s">
        <v>844</v>
      </c>
      <c r="AJ495"/>
      <c r="AK495"/>
      <c r="AL495"/>
      <c r="AM495"/>
      <c r="AN495"/>
    </row>
    <row r="496" spans="1:40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186"/>
        <v>0</v>
      </c>
      <c r="O496" s="66">
        <f>ROUND(I496+K496+M496,5)</f>
        <v>1000</v>
      </c>
      <c r="P496" s="69">
        <f t="shared" si="167"/>
        <v>0</v>
      </c>
      <c r="Q496" s="69">
        <f t="shared" si="167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197"/>
      <c r="AI496" s="147"/>
      <c r="AJ496"/>
      <c r="AK496"/>
      <c r="AL496"/>
      <c r="AM496"/>
      <c r="AN496"/>
    </row>
    <row r="497" spans="1:40" x14ac:dyDescent="0.35">
      <c r="A497" s="66"/>
      <c r="B497" s="66"/>
      <c r="C497" s="49"/>
      <c r="D497" s="49"/>
      <c r="E497" s="49"/>
      <c r="F497" s="49"/>
      <c r="G497" s="49"/>
      <c r="H497" s="63"/>
      <c r="I497" s="63"/>
      <c r="J497" s="64"/>
      <c r="K497" s="64"/>
      <c r="L497" s="65"/>
      <c r="M497" s="65"/>
      <c r="N497" s="66"/>
      <c r="O497" s="66"/>
      <c r="P497" s="69"/>
      <c r="Q497" s="69"/>
      <c r="R497" s="54"/>
      <c r="S497" s="49"/>
      <c r="T497" s="49"/>
      <c r="U497" s="49"/>
      <c r="V497" s="49"/>
      <c r="W497" s="49" t="s">
        <v>967</v>
      </c>
      <c r="X497" s="49"/>
      <c r="Y497" s="49"/>
      <c r="Z497" s="66"/>
      <c r="AA497" s="140"/>
      <c r="AB497" s="66"/>
      <c r="AC497" s="66"/>
      <c r="AD497" s="66"/>
      <c r="AE497" s="66"/>
      <c r="AF497" s="66"/>
      <c r="AG497" s="66"/>
      <c r="AH497" s="197"/>
      <c r="AI497" s="147"/>
      <c r="AJ497"/>
      <c r="AK497"/>
      <c r="AL497"/>
      <c r="AM497"/>
      <c r="AN497"/>
    </row>
    <row r="498" spans="1:40" ht="16" x14ac:dyDescent="0.35">
      <c r="A498" s="66"/>
      <c r="B498" s="66"/>
      <c r="C498" s="49"/>
      <c r="D498" s="49"/>
      <c r="E498" s="49" t="s">
        <v>493</v>
      </c>
      <c r="F498" s="49"/>
      <c r="G498" s="49"/>
      <c r="H498" s="63">
        <v>3322.5</v>
      </c>
      <c r="I498" s="63">
        <v>6000</v>
      </c>
      <c r="J498" s="64">
        <v>5750.2</v>
      </c>
      <c r="K498" s="64">
        <v>4000</v>
      </c>
      <c r="L498" s="65">
        <v>26568.75</v>
      </c>
      <c r="M498" s="65">
        <v>4000</v>
      </c>
      <c r="N498" s="66">
        <f t="shared" si="186"/>
        <v>35641.449999999997</v>
      </c>
      <c r="O498" s="66">
        <f t="shared" si="186"/>
        <v>14000</v>
      </c>
      <c r="P498" s="69">
        <f t="shared" si="167"/>
        <v>11880.483333333332</v>
      </c>
      <c r="Q498" s="69">
        <f t="shared" si="167"/>
        <v>4666.666666666667</v>
      </c>
      <c r="R498" s="54"/>
      <c r="S498" s="49"/>
      <c r="T498" s="49"/>
      <c r="U498" s="49"/>
      <c r="V498" s="49"/>
      <c r="W498" s="49" t="s">
        <v>493</v>
      </c>
      <c r="X498" s="49"/>
      <c r="Y498" s="49"/>
      <c r="Z498" s="66">
        <v>37500</v>
      </c>
      <c r="AA498" s="140"/>
      <c r="AB498" s="66">
        <v>24000</v>
      </c>
      <c r="AC498" s="66">
        <v>24000</v>
      </c>
      <c r="AD498" s="66">
        <v>24000</v>
      </c>
      <c r="AE498" s="66">
        <v>24000</v>
      </c>
      <c r="AF498" s="66">
        <v>24000</v>
      </c>
      <c r="AG498" s="66">
        <v>15000</v>
      </c>
      <c r="AI498" s="191"/>
      <c r="AJ498"/>
      <c r="AK498"/>
      <c r="AL498"/>
      <c r="AM498"/>
      <c r="AN498"/>
    </row>
    <row r="499" spans="1:40" ht="16" x14ac:dyDescent="0.35">
      <c r="A499" s="66"/>
      <c r="B499" s="66"/>
      <c r="C499" s="49"/>
      <c r="D499" s="49"/>
      <c r="E499" s="49" t="s">
        <v>494</v>
      </c>
      <c r="F499" s="49"/>
      <c r="G499" s="49"/>
      <c r="H499" s="63">
        <v>2934</v>
      </c>
      <c r="I499" s="63">
        <v>5607</v>
      </c>
      <c r="J499" s="64">
        <v>0</v>
      </c>
      <c r="K499" s="64">
        <v>0</v>
      </c>
      <c r="L499" s="65">
        <v>0</v>
      </c>
      <c r="M499" s="65">
        <v>0</v>
      </c>
      <c r="N499" s="66">
        <f t="shared" si="186"/>
        <v>2934</v>
      </c>
      <c r="O499" s="66">
        <f t="shared" si="186"/>
        <v>5607</v>
      </c>
      <c r="P499" s="69">
        <f t="shared" si="167"/>
        <v>978</v>
      </c>
      <c r="Q499" s="69">
        <f t="shared" si="167"/>
        <v>1869</v>
      </c>
      <c r="R499" s="54"/>
      <c r="S499" s="49"/>
      <c r="T499" s="49"/>
      <c r="U499" s="49"/>
      <c r="V499" s="49"/>
      <c r="W499" s="49" t="s">
        <v>494</v>
      </c>
      <c r="X499" s="49"/>
      <c r="Y499" s="49"/>
      <c r="Z499" s="66">
        <v>0</v>
      </c>
      <c r="AA499" s="140"/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I499" s="191"/>
      <c r="AJ499"/>
      <c r="AK499"/>
      <c r="AL499"/>
      <c r="AM499"/>
      <c r="AN499"/>
    </row>
    <row r="500" spans="1:40" ht="29" x14ac:dyDescent="0.35">
      <c r="A500" s="66"/>
      <c r="B500" s="66"/>
      <c r="C500" s="49"/>
      <c r="D500" s="49"/>
      <c r="E500" s="49" t="s">
        <v>495</v>
      </c>
      <c r="F500" s="49"/>
      <c r="G500" s="49"/>
      <c r="H500" s="63">
        <v>74809.66</v>
      </c>
      <c r="I500" s="63">
        <v>105600</v>
      </c>
      <c r="J500" s="64">
        <v>52243.49</v>
      </c>
      <c r="K500" s="64">
        <v>53000</v>
      </c>
      <c r="L500" s="65">
        <v>51678.79</v>
      </c>
      <c r="M500" s="65">
        <v>70507</v>
      </c>
      <c r="N500" s="66">
        <f t="shared" si="186"/>
        <v>178731.94</v>
      </c>
      <c r="O500" s="66">
        <f t="shared" si="186"/>
        <v>229107</v>
      </c>
      <c r="P500" s="69">
        <f t="shared" si="167"/>
        <v>59577.313333333332</v>
      </c>
      <c r="Q500" s="69">
        <f t="shared" si="167"/>
        <v>76369</v>
      </c>
      <c r="R500" s="54"/>
      <c r="S500" s="49"/>
      <c r="T500" s="49"/>
      <c r="U500" s="49"/>
      <c r="V500" s="49"/>
      <c r="W500" s="49" t="s">
        <v>495</v>
      </c>
      <c r="X500" s="49"/>
      <c r="Y500" s="49"/>
      <c r="Z500" s="66">
        <v>74122.820000000007</v>
      </c>
      <c r="AA500" s="140"/>
      <c r="AB500" s="66">
        <v>109482.14</v>
      </c>
      <c r="AC500" s="66">
        <v>109482.14</v>
      </c>
      <c r="AD500" s="66">
        <v>109482.14</v>
      </c>
      <c r="AE500" s="66">
        <v>109482.14</v>
      </c>
      <c r="AF500" s="66">
        <f>ROUND(135482.14, 0)</f>
        <v>135482</v>
      </c>
      <c r="AG500" s="66">
        <f>ROUND(145282.14, 0)</f>
        <v>145282</v>
      </c>
      <c r="AH500" s="206" t="s">
        <v>1000</v>
      </c>
      <c r="AI500" s="147" t="s">
        <v>969</v>
      </c>
      <c r="AJ500"/>
      <c r="AK500"/>
      <c r="AL500"/>
      <c r="AM500"/>
      <c r="AN500"/>
    </row>
    <row r="501" spans="1:40" ht="16" x14ac:dyDescent="0.35">
      <c r="A501" s="66"/>
      <c r="B501" s="66"/>
      <c r="C501" s="49"/>
      <c r="D501" s="49"/>
      <c r="E501" s="49" t="s">
        <v>496</v>
      </c>
      <c r="F501" s="49"/>
      <c r="G501" s="49"/>
      <c r="H501" s="63">
        <v>2727.19</v>
      </c>
      <c r="I501" s="63">
        <v>4500</v>
      </c>
      <c r="J501" s="64">
        <v>4935.63</v>
      </c>
      <c r="K501" s="64">
        <v>4500</v>
      </c>
      <c r="L501" s="65">
        <v>6253.02</v>
      </c>
      <c r="M501" s="65">
        <v>4025</v>
      </c>
      <c r="N501" s="66">
        <f t="shared" si="186"/>
        <v>13915.84</v>
      </c>
      <c r="O501" s="66">
        <f t="shared" si="186"/>
        <v>13025</v>
      </c>
      <c r="P501" s="69">
        <f t="shared" si="167"/>
        <v>4638.6133333333337</v>
      </c>
      <c r="Q501" s="69">
        <f t="shared" si="167"/>
        <v>4341.666666666667</v>
      </c>
      <c r="R501" s="54"/>
      <c r="S501" s="49"/>
      <c r="T501" s="49"/>
      <c r="U501" s="49"/>
      <c r="V501" s="49"/>
      <c r="W501" s="49" t="s">
        <v>496</v>
      </c>
      <c r="X501" s="49"/>
      <c r="Y501" s="49"/>
      <c r="Z501" s="66">
        <v>8352</v>
      </c>
      <c r="AA501" s="140"/>
      <c r="AB501" s="66">
        <v>4563</v>
      </c>
      <c r="AC501" s="66">
        <v>4563</v>
      </c>
      <c r="AD501" s="66">
        <v>4563</v>
      </c>
      <c r="AE501" s="66">
        <v>4563</v>
      </c>
      <c r="AF501" s="66">
        <v>4563</v>
      </c>
      <c r="AG501" s="66">
        <v>4563</v>
      </c>
      <c r="AI501" s="191"/>
      <c r="AJ501"/>
      <c r="AK501"/>
      <c r="AL501"/>
      <c r="AM501"/>
      <c r="AN501"/>
    </row>
    <row r="502" spans="1:40" ht="16" x14ac:dyDescent="0.35">
      <c r="A502" s="66"/>
      <c r="B502" s="66"/>
      <c r="C502" s="49"/>
      <c r="D502" s="49"/>
      <c r="E502" s="49" t="s">
        <v>497</v>
      </c>
      <c r="F502" s="49"/>
      <c r="G502" s="49"/>
      <c r="H502" s="63">
        <v>3590</v>
      </c>
      <c r="I502" s="63">
        <v>4608</v>
      </c>
      <c r="J502" s="64">
        <v>3588</v>
      </c>
      <c r="K502" s="64">
        <v>3700</v>
      </c>
      <c r="L502" s="65">
        <v>689</v>
      </c>
      <c r="M502" s="65">
        <v>3600</v>
      </c>
      <c r="N502" s="66">
        <f t="shared" si="186"/>
        <v>7867</v>
      </c>
      <c r="O502" s="66">
        <f t="shared" si="186"/>
        <v>11908</v>
      </c>
      <c r="P502" s="69">
        <f t="shared" si="167"/>
        <v>2622.3333333333335</v>
      </c>
      <c r="Q502" s="69">
        <f t="shared" si="167"/>
        <v>3969.3333333333335</v>
      </c>
      <c r="R502" s="54"/>
      <c r="S502" s="49"/>
      <c r="T502" s="49"/>
      <c r="U502" s="49"/>
      <c r="V502" s="49"/>
      <c r="W502" s="49" t="s">
        <v>497</v>
      </c>
      <c r="X502" s="49"/>
      <c r="Y502" s="49"/>
      <c r="Z502" s="66">
        <v>2000</v>
      </c>
      <c r="AA502" s="140"/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I502" s="191"/>
      <c r="AJ502"/>
      <c r="AK502"/>
      <c r="AL502"/>
      <c r="AM502"/>
      <c r="AN502"/>
    </row>
    <row r="503" spans="1:40" ht="16" x14ac:dyDescent="0.35">
      <c r="A503" s="66"/>
      <c r="B503" s="66"/>
      <c r="C503" s="49"/>
      <c r="D503" s="49"/>
      <c r="E503" s="49" t="s">
        <v>498</v>
      </c>
      <c r="F503" s="49"/>
      <c r="G503" s="49"/>
      <c r="H503" s="63">
        <v>12597.17</v>
      </c>
      <c r="I503" s="63">
        <v>12766</v>
      </c>
      <c r="J503" s="64">
        <v>11637.22</v>
      </c>
      <c r="K503" s="64">
        <v>12771.48</v>
      </c>
      <c r="L503" s="65">
        <v>11300</v>
      </c>
      <c r="M503" s="65">
        <v>11832</v>
      </c>
      <c r="N503" s="66">
        <f t="shared" si="186"/>
        <v>35534.39</v>
      </c>
      <c r="O503" s="66">
        <f t="shared" si="186"/>
        <v>37369.480000000003</v>
      </c>
      <c r="P503" s="69">
        <f t="shared" si="167"/>
        <v>11844.796666666667</v>
      </c>
      <c r="Q503" s="69">
        <f t="shared" si="167"/>
        <v>12456.493333333334</v>
      </c>
      <c r="R503" s="54"/>
      <c r="S503" s="49"/>
      <c r="T503" s="49"/>
      <c r="U503" s="49"/>
      <c r="V503" s="49"/>
      <c r="W503" s="49" t="s">
        <v>498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G503" s="66">
        <v>11767.5</v>
      </c>
      <c r="AI503" s="191"/>
      <c r="AJ503"/>
      <c r="AK503"/>
      <c r="AL503"/>
      <c r="AM503"/>
      <c r="AN503"/>
    </row>
    <row r="504" spans="1:40" ht="16" x14ac:dyDescent="0.35">
      <c r="A504" s="66"/>
      <c r="B504" s="66"/>
      <c r="C504" s="49"/>
      <c r="D504" s="49"/>
      <c r="E504" s="49" t="s">
        <v>499</v>
      </c>
      <c r="F504" s="49"/>
      <c r="G504" s="49"/>
      <c r="H504" s="63">
        <v>12597.14</v>
      </c>
      <c r="I504" s="63">
        <v>12766</v>
      </c>
      <c r="J504" s="64">
        <v>11637.22</v>
      </c>
      <c r="K504" s="64">
        <v>12771.35</v>
      </c>
      <c r="L504" s="65">
        <v>11300</v>
      </c>
      <c r="M504" s="65">
        <v>11832</v>
      </c>
      <c r="N504" s="66">
        <f t="shared" si="186"/>
        <v>35534.36</v>
      </c>
      <c r="O504" s="66">
        <f t="shared" si="186"/>
        <v>37369.35</v>
      </c>
      <c r="P504" s="69">
        <f t="shared" si="167"/>
        <v>11844.786666666667</v>
      </c>
      <c r="Q504" s="69">
        <f t="shared" si="167"/>
        <v>12456.449999999999</v>
      </c>
      <c r="R504" s="54"/>
      <c r="S504" s="49"/>
      <c r="T504" s="49"/>
      <c r="U504" s="49"/>
      <c r="V504" s="49"/>
      <c r="W504" s="49" t="s">
        <v>499</v>
      </c>
      <c r="X504" s="49"/>
      <c r="Y504" s="49"/>
      <c r="Z504" s="66">
        <v>12424</v>
      </c>
      <c r="AA504" s="140"/>
      <c r="AB504" s="66">
        <v>11767.5</v>
      </c>
      <c r="AC504" s="66">
        <v>11767.5</v>
      </c>
      <c r="AD504" s="66">
        <v>11767.5</v>
      </c>
      <c r="AE504" s="66">
        <v>11767.5</v>
      </c>
      <c r="AF504" s="66">
        <v>11767.5</v>
      </c>
      <c r="AG504" s="66">
        <v>11767.5</v>
      </c>
      <c r="AI504" s="191"/>
      <c r="AJ504"/>
      <c r="AK504"/>
      <c r="AL504"/>
      <c r="AM504"/>
      <c r="AN504"/>
    </row>
    <row r="505" spans="1:40" ht="16" x14ac:dyDescent="0.35">
      <c r="A505" s="66"/>
      <c r="B505" s="66"/>
      <c r="C505" s="49"/>
      <c r="D505" s="49"/>
      <c r="E505" s="49" t="s">
        <v>500</v>
      </c>
      <c r="F505" s="49"/>
      <c r="G505" s="49"/>
      <c r="H505" s="63">
        <v>4694</v>
      </c>
      <c r="I505" s="63">
        <v>4807</v>
      </c>
      <c r="J505" s="64">
        <v>5020.5</v>
      </c>
      <c r="K505" s="64">
        <v>4700</v>
      </c>
      <c r="L505" s="65">
        <v>5177.16</v>
      </c>
      <c r="M505" s="65">
        <v>5244</v>
      </c>
      <c r="N505" s="66">
        <f t="shared" si="186"/>
        <v>14891.66</v>
      </c>
      <c r="O505" s="66">
        <f t="shared" si="186"/>
        <v>14751</v>
      </c>
      <c r="P505" s="69">
        <f t="shared" si="167"/>
        <v>4963.8866666666663</v>
      </c>
      <c r="Q505" s="69">
        <f t="shared" si="167"/>
        <v>4917</v>
      </c>
      <c r="R505" s="54"/>
      <c r="S505" s="49"/>
      <c r="T505" s="49"/>
      <c r="U505" s="49"/>
      <c r="V505" s="49"/>
      <c r="W505" s="49" t="s">
        <v>500</v>
      </c>
      <c r="X505" s="49"/>
      <c r="Y505" s="49"/>
      <c r="Z505" s="66">
        <v>5411</v>
      </c>
      <c r="AA505" s="140"/>
      <c r="AB505" s="66">
        <f t="shared" ref="AB505:AG505" si="188">ROUND(7535.85, 0)</f>
        <v>7536</v>
      </c>
      <c r="AC505" s="66">
        <f t="shared" si="188"/>
        <v>7536</v>
      </c>
      <c r="AD505" s="66">
        <f t="shared" si="188"/>
        <v>7536</v>
      </c>
      <c r="AE505" s="66">
        <f t="shared" si="188"/>
        <v>7536</v>
      </c>
      <c r="AF505" s="66">
        <f t="shared" si="188"/>
        <v>7536</v>
      </c>
      <c r="AG505" s="66">
        <f t="shared" si="188"/>
        <v>7536</v>
      </c>
      <c r="AI505" s="191" t="s">
        <v>992</v>
      </c>
      <c r="AJ505"/>
      <c r="AK505"/>
      <c r="AL505"/>
      <c r="AM505"/>
      <c r="AN505"/>
    </row>
    <row r="506" spans="1:40" ht="16" x14ac:dyDescent="0.35">
      <c r="A506" s="66"/>
      <c r="B506" s="66"/>
      <c r="C506" s="49"/>
      <c r="D506" s="49"/>
      <c r="E506" s="49" t="s">
        <v>501</v>
      </c>
      <c r="F506" s="49"/>
      <c r="G506" s="49"/>
      <c r="H506" s="63">
        <v>0</v>
      </c>
      <c r="I506" s="63">
        <v>0</v>
      </c>
      <c r="J506" s="64">
        <v>14469.34</v>
      </c>
      <c r="K506" s="64">
        <v>2000</v>
      </c>
      <c r="L506" s="65">
        <v>16282.95</v>
      </c>
      <c r="M506" s="65">
        <v>2000</v>
      </c>
      <c r="N506" s="66">
        <f t="shared" si="186"/>
        <v>30752.29</v>
      </c>
      <c r="O506" s="66">
        <f t="shared" si="186"/>
        <v>4000</v>
      </c>
      <c r="P506" s="69">
        <f t="shared" si="167"/>
        <v>10250.763333333334</v>
      </c>
      <c r="Q506" s="69">
        <f t="shared" si="167"/>
        <v>1333.3333333333333</v>
      </c>
      <c r="R506" s="54"/>
      <c r="S506" s="49"/>
      <c r="T506" s="49"/>
      <c r="U506" s="49"/>
      <c r="V506" s="49"/>
      <c r="W506" s="49" t="s">
        <v>501</v>
      </c>
      <c r="X506" s="49"/>
      <c r="Y506" s="49"/>
      <c r="Z506" s="66">
        <v>2000</v>
      </c>
      <c r="AA506" s="140"/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I506" s="191"/>
      <c r="AJ506"/>
      <c r="AK506"/>
      <c r="AL506"/>
      <c r="AM506"/>
      <c r="AN506"/>
    </row>
    <row r="507" spans="1:40" ht="29" x14ac:dyDescent="0.35">
      <c r="A507" s="66"/>
      <c r="B507" s="66"/>
      <c r="C507" s="49"/>
      <c r="D507" s="49"/>
      <c r="E507" s="49" t="s">
        <v>502</v>
      </c>
      <c r="F507" s="49"/>
      <c r="G507" s="49"/>
      <c r="H507" s="63">
        <v>15158.69</v>
      </c>
      <c r="I507" s="63">
        <v>50000</v>
      </c>
      <c r="J507" s="64">
        <v>5299.22</v>
      </c>
      <c r="K507" s="64">
        <v>10000</v>
      </c>
      <c r="L507" s="65">
        <v>10963.76</v>
      </c>
      <c r="M507" s="65">
        <v>45000</v>
      </c>
      <c r="N507" s="66">
        <f t="shared" si="186"/>
        <v>31421.67</v>
      </c>
      <c r="O507" s="66">
        <f t="shared" si="186"/>
        <v>105000</v>
      </c>
      <c r="P507" s="69">
        <f t="shared" si="167"/>
        <v>10473.89</v>
      </c>
      <c r="Q507" s="69">
        <f t="shared" si="167"/>
        <v>35000</v>
      </c>
      <c r="R507" s="54"/>
      <c r="S507" s="49"/>
      <c r="T507" s="49"/>
      <c r="U507" s="49"/>
      <c r="V507" s="49"/>
      <c r="W507" s="49" t="s">
        <v>502</v>
      </c>
      <c r="X507" s="49"/>
      <c r="Y507" s="49"/>
      <c r="Z507" s="66">
        <v>20000</v>
      </c>
      <c r="AA507" s="140"/>
      <c r="AB507" s="66">
        <v>20000</v>
      </c>
      <c r="AC507" s="66">
        <v>10000</v>
      </c>
      <c r="AD507" s="66">
        <v>10000</v>
      </c>
      <c r="AE507" s="66">
        <v>10000</v>
      </c>
      <c r="AF507" s="66">
        <v>20000</v>
      </c>
      <c r="AG507" s="66">
        <f>20000+5000</f>
        <v>25000</v>
      </c>
      <c r="AH507" s="206" t="s">
        <v>1000</v>
      </c>
      <c r="AI507" s="110" t="s">
        <v>966</v>
      </c>
      <c r="AJ507"/>
      <c r="AK507"/>
      <c r="AL507"/>
      <c r="AM507"/>
      <c r="AN507"/>
    </row>
    <row r="508" spans="1:40" x14ac:dyDescent="0.35">
      <c r="A508" s="66"/>
      <c r="B508" s="66"/>
      <c r="C508" s="49"/>
      <c r="D508" s="49"/>
      <c r="E508" s="49" t="s">
        <v>503</v>
      </c>
      <c r="F508" s="49"/>
      <c r="G508" s="49"/>
      <c r="H508" s="63">
        <v>1942.71</v>
      </c>
      <c r="I508" s="63">
        <v>0</v>
      </c>
      <c r="J508" s="64">
        <v>1701.44</v>
      </c>
      <c r="K508" s="64">
        <v>1500</v>
      </c>
      <c r="L508" s="65">
        <v>1553.27</v>
      </c>
      <c r="M508" s="65">
        <v>1650</v>
      </c>
      <c r="N508" s="66">
        <f t="shared" si="186"/>
        <v>5197.42</v>
      </c>
      <c r="O508" s="66">
        <f t="shared" si="186"/>
        <v>3150</v>
      </c>
      <c r="P508" s="69">
        <f t="shared" si="167"/>
        <v>1732.4733333333334</v>
      </c>
      <c r="Q508" s="69">
        <f t="shared" si="167"/>
        <v>1050</v>
      </c>
      <c r="R508" s="54"/>
      <c r="S508" s="49"/>
      <c r="T508" s="49"/>
      <c r="U508" s="49"/>
      <c r="V508" s="49"/>
      <c r="W508" s="49" t="s">
        <v>503</v>
      </c>
      <c r="X508" s="49"/>
      <c r="Y508" s="49"/>
      <c r="Z508" s="66">
        <v>1650</v>
      </c>
      <c r="AA508" s="140"/>
      <c r="AB508" s="66">
        <v>1600</v>
      </c>
      <c r="AC508" s="66">
        <v>1600</v>
      </c>
      <c r="AD508" s="66">
        <v>1600</v>
      </c>
      <c r="AE508" s="66">
        <v>1600</v>
      </c>
      <c r="AF508" s="66">
        <v>1600</v>
      </c>
      <c r="AG508" s="66">
        <v>1600</v>
      </c>
      <c r="AJ508"/>
      <c r="AK508"/>
      <c r="AL508"/>
      <c r="AM508"/>
      <c r="AN508"/>
    </row>
    <row r="509" spans="1:40" x14ac:dyDescent="0.35">
      <c r="A509" s="66"/>
      <c r="B509" s="66"/>
      <c r="C509" s="49"/>
      <c r="D509" s="49"/>
      <c r="E509" s="49" t="s">
        <v>504</v>
      </c>
      <c r="F509" s="49"/>
      <c r="G509" s="49"/>
      <c r="H509" s="63">
        <v>43056.86</v>
      </c>
      <c r="I509" s="63">
        <v>43200</v>
      </c>
      <c r="J509" s="64">
        <v>49577.21</v>
      </c>
      <c r="K509" s="64">
        <v>40000</v>
      </c>
      <c r="L509" s="65">
        <v>49198.66</v>
      </c>
      <c r="M509" s="65">
        <v>43000</v>
      </c>
      <c r="N509" s="66">
        <f t="shared" si="186"/>
        <v>141832.73000000001</v>
      </c>
      <c r="O509" s="66">
        <f t="shared" si="186"/>
        <v>126200</v>
      </c>
      <c r="P509" s="69">
        <f t="shared" si="167"/>
        <v>47277.576666666668</v>
      </c>
      <c r="Q509" s="69">
        <f t="shared" si="167"/>
        <v>42066.666666666664</v>
      </c>
      <c r="R509" s="54"/>
      <c r="S509" s="49"/>
      <c r="T509" s="49"/>
      <c r="U509" s="49"/>
      <c r="V509" s="49"/>
      <c r="W509" s="49" t="s">
        <v>504</v>
      </c>
      <c r="X509" s="49"/>
      <c r="Y509" s="49"/>
      <c r="Z509" s="66">
        <v>53400</v>
      </c>
      <c r="AA509" s="140"/>
      <c r="AB509" s="66">
        <v>50400</v>
      </c>
      <c r="AC509" s="66">
        <v>50400</v>
      </c>
      <c r="AD509" s="66">
        <v>50400</v>
      </c>
      <c r="AE509" s="66">
        <v>50400</v>
      </c>
      <c r="AF509" s="66">
        <v>50400</v>
      </c>
      <c r="AG509" s="66">
        <v>50400</v>
      </c>
      <c r="AI509" s="182"/>
      <c r="AJ509"/>
      <c r="AK509"/>
      <c r="AL509"/>
      <c r="AM509"/>
      <c r="AN509"/>
    </row>
    <row r="510" spans="1:40" x14ac:dyDescent="0.35">
      <c r="A510" s="66"/>
      <c r="B510" s="66"/>
      <c r="C510" s="49"/>
      <c r="D510" s="49"/>
      <c r="E510" s="49" t="s">
        <v>505</v>
      </c>
      <c r="F510" s="49"/>
      <c r="G510" s="49"/>
      <c r="H510" s="63">
        <v>29693.03</v>
      </c>
      <c r="I510" s="63">
        <v>25200</v>
      </c>
      <c r="J510" s="64">
        <v>29633.54</v>
      </c>
      <c r="K510" s="64">
        <v>26000</v>
      </c>
      <c r="L510" s="65">
        <v>30299.87</v>
      </c>
      <c r="M510" s="65">
        <v>30000</v>
      </c>
      <c r="N510" s="66">
        <f t="shared" si="186"/>
        <v>89626.44</v>
      </c>
      <c r="O510" s="66">
        <f t="shared" si="186"/>
        <v>81200</v>
      </c>
      <c r="P510" s="69">
        <f t="shared" ref="P510:Q571" si="189">N510/3</f>
        <v>29875.48</v>
      </c>
      <c r="Q510" s="69">
        <f t="shared" si="189"/>
        <v>27066.666666666668</v>
      </c>
      <c r="R510" s="54"/>
      <c r="S510" s="49"/>
      <c r="T510" s="49"/>
      <c r="U510" s="49"/>
      <c r="V510" s="49"/>
      <c r="W510" s="49" t="s">
        <v>505</v>
      </c>
      <c r="X510" s="49"/>
      <c r="Y510" s="49"/>
      <c r="Z510" s="66">
        <v>32964</v>
      </c>
      <c r="AA510" s="140"/>
      <c r="AB510" s="66">
        <v>29886</v>
      </c>
      <c r="AC510" s="66">
        <v>29886</v>
      </c>
      <c r="AD510" s="66">
        <v>29886</v>
      </c>
      <c r="AE510" s="66">
        <v>29886</v>
      </c>
      <c r="AF510" s="66">
        <v>29886</v>
      </c>
      <c r="AG510" s="66">
        <v>31436</v>
      </c>
      <c r="AI510" s="190"/>
      <c r="AJ510"/>
      <c r="AK510"/>
      <c r="AL510"/>
      <c r="AM510"/>
      <c r="AN510"/>
    </row>
    <row r="511" spans="1:40" x14ac:dyDescent="0.35">
      <c r="A511" s="66"/>
      <c r="B511" s="66"/>
      <c r="C511" s="49"/>
      <c r="D511" s="49"/>
      <c r="E511" s="49" t="s">
        <v>506</v>
      </c>
      <c r="F511" s="49"/>
      <c r="G511" s="49"/>
      <c r="H511" s="63">
        <v>0</v>
      </c>
      <c r="I511" s="63">
        <v>700</v>
      </c>
      <c r="J511" s="64">
        <v>0</v>
      </c>
      <c r="K511" s="64">
        <v>500</v>
      </c>
      <c r="L511" s="65">
        <v>0</v>
      </c>
      <c r="M511" s="65">
        <v>575</v>
      </c>
      <c r="N511" s="66">
        <f t="shared" si="186"/>
        <v>0</v>
      </c>
      <c r="O511" s="66">
        <f t="shared" si="186"/>
        <v>1775</v>
      </c>
      <c r="P511" s="69">
        <f t="shared" si="189"/>
        <v>0</v>
      </c>
      <c r="Q511" s="69">
        <f t="shared" si="189"/>
        <v>591.66666666666663</v>
      </c>
      <c r="R511" s="54"/>
      <c r="S511" s="49"/>
      <c r="T511" s="49"/>
      <c r="U511" s="49"/>
      <c r="V511" s="49"/>
      <c r="W511" s="49" t="s">
        <v>506</v>
      </c>
      <c r="X511" s="49"/>
      <c r="Y511" s="49"/>
      <c r="Z511" s="66">
        <v>700</v>
      </c>
      <c r="AA511" s="140"/>
      <c r="AB511" s="66">
        <v>700</v>
      </c>
      <c r="AC511" s="66">
        <v>700</v>
      </c>
      <c r="AD511" s="66">
        <v>700</v>
      </c>
      <c r="AE511" s="66">
        <v>700</v>
      </c>
      <c r="AF511" s="66">
        <v>700</v>
      </c>
      <c r="AG511" s="66">
        <v>700</v>
      </c>
      <c r="AJ511"/>
      <c r="AK511"/>
      <c r="AL511"/>
      <c r="AM511"/>
      <c r="AN511"/>
    </row>
    <row r="512" spans="1:40" x14ac:dyDescent="0.35">
      <c r="A512" s="66"/>
      <c r="B512" s="66"/>
      <c r="C512" s="49"/>
      <c r="D512" s="49"/>
      <c r="E512" s="49" t="s">
        <v>507</v>
      </c>
      <c r="F512" s="49"/>
      <c r="G512" s="49"/>
      <c r="H512" s="63">
        <v>11143.42</v>
      </c>
      <c r="I512" s="63">
        <v>11688</v>
      </c>
      <c r="J512" s="64">
        <v>11624.25</v>
      </c>
      <c r="K512" s="64">
        <v>10368</v>
      </c>
      <c r="L512" s="65">
        <v>11804</v>
      </c>
      <c r="M512" s="65">
        <v>11238</v>
      </c>
      <c r="N512" s="66">
        <f t="shared" si="186"/>
        <v>34571.67</v>
      </c>
      <c r="O512" s="66">
        <f t="shared" si="186"/>
        <v>33294</v>
      </c>
      <c r="P512" s="69">
        <f t="shared" si="189"/>
        <v>11523.89</v>
      </c>
      <c r="Q512" s="69">
        <f t="shared" si="189"/>
        <v>11098</v>
      </c>
      <c r="R512" s="54"/>
      <c r="S512" s="49"/>
      <c r="T512" s="49"/>
      <c r="U512" s="49"/>
      <c r="V512" s="49"/>
      <c r="W512" s="49" t="s">
        <v>507</v>
      </c>
      <c r="X512" s="49"/>
      <c r="Y512" s="49"/>
      <c r="Z512" s="66">
        <v>10173</v>
      </c>
      <c r="AA512" s="140"/>
      <c r="AB512" s="66">
        <v>13488</v>
      </c>
      <c r="AC512" s="66">
        <v>13488</v>
      </c>
      <c r="AD512" s="66">
        <v>13488</v>
      </c>
      <c r="AE512" s="66">
        <v>13488</v>
      </c>
      <c r="AF512" s="66">
        <v>13488</v>
      </c>
      <c r="AG512" s="66">
        <v>13000</v>
      </c>
      <c r="AJ512"/>
      <c r="AK512"/>
      <c r="AL512"/>
      <c r="AM512"/>
      <c r="AN512"/>
    </row>
    <row r="513" spans="1:40" ht="16" x14ac:dyDescent="0.35">
      <c r="A513" s="66"/>
      <c r="B513" s="66"/>
      <c r="C513" s="49"/>
      <c r="D513" s="49"/>
      <c r="E513" s="49" t="s">
        <v>508</v>
      </c>
      <c r="F513" s="49"/>
      <c r="G513" s="49"/>
      <c r="H513" s="63">
        <v>23426.28</v>
      </c>
      <c r="I513" s="63">
        <v>12424</v>
      </c>
      <c r="J513" s="64">
        <v>25016.84</v>
      </c>
      <c r="K513" s="64">
        <v>23200</v>
      </c>
      <c r="L513" s="65">
        <v>28552.11</v>
      </c>
      <c r="M513" s="65">
        <v>26073</v>
      </c>
      <c r="N513" s="66">
        <f t="shared" si="186"/>
        <v>76995.23</v>
      </c>
      <c r="O513" s="66">
        <f t="shared" si="186"/>
        <v>61697</v>
      </c>
      <c r="P513" s="69">
        <f t="shared" si="189"/>
        <v>25665.076666666664</v>
      </c>
      <c r="Q513" s="69">
        <f t="shared" si="189"/>
        <v>20565.666666666668</v>
      </c>
      <c r="R513" s="54"/>
      <c r="S513" s="49"/>
      <c r="T513" s="49"/>
      <c r="U513" s="49"/>
      <c r="V513" s="49"/>
      <c r="W513" s="49" t="s">
        <v>508</v>
      </c>
      <c r="X513" s="49"/>
      <c r="Y513" s="49"/>
      <c r="Z513" s="66">
        <v>29969</v>
      </c>
      <c r="AA513" s="140"/>
      <c r="AB513" s="66">
        <v>0</v>
      </c>
      <c r="AC513" s="66">
        <v>0</v>
      </c>
      <c r="AD513" s="66">
        <v>0</v>
      </c>
      <c r="AE513" s="66">
        <v>0</v>
      </c>
      <c r="AF513" s="66">
        <v>0</v>
      </c>
      <c r="AG513" s="66">
        <v>31650</v>
      </c>
      <c r="AH513" s="206" t="s">
        <v>1000</v>
      </c>
      <c r="AI513" s="110" t="s">
        <v>847</v>
      </c>
      <c r="AJ513"/>
      <c r="AK513"/>
      <c r="AL513"/>
      <c r="AM513"/>
      <c r="AN513"/>
    </row>
    <row r="514" spans="1:40" ht="16" x14ac:dyDescent="0.35">
      <c r="A514" s="66"/>
      <c r="B514" s="66"/>
      <c r="C514" s="49"/>
      <c r="D514" s="49"/>
      <c r="E514" s="49" t="s">
        <v>509</v>
      </c>
      <c r="F514" s="49"/>
      <c r="G514" s="49"/>
      <c r="H514" s="63">
        <v>32596.51</v>
      </c>
      <c r="I514" s="63">
        <v>32227.24</v>
      </c>
      <c r="J514" s="64">
        <v>35370.050000000003</v>
      </c>
      <c r="K514" s="64">
        <v>32800</v>
      </c>
      <c r="L514" s="65">
        <v>38961.4</v>
      </c>
      <c r="M514" s="65">
        <v>35599</v>
      </c>
      <c r="N514" s="66">
        <f t="shared" si="186"/>
        <v>106927.96</v>
      </c>
      <c r="O514" s="66">
        <f t="shared" si="186"/>
        <v>100626.24000000001</v>
      </c>
      <c r="P514" s="69">
        <f t="shared" si="189"/>
        <v>35642.653333333335</v>
      </c>
      <c r="Q514" s="69">
        <f t="shared" si="189"/>
        <v>33542.080000000002</v>
      </c>
      <c r="R514" s="54"/>
      <c r="S514" s="49"/>
      <c r="T514" s="49"/>
      <c r="U514" s="49"/>
      <c r="V514" s="49"/>
      <c r="W514" s="49" t="s">
        <v>509</v>
      </c>
      <c r="X514" s="49"/>
      <c r="Y514" s="49"/>
      <c r="Z514" s="66">
        <v>50578</v>
      </c>
      <c r="AA514" s="140"/>
      <c r="AB514" s="66">
        <v>49805</v>
      </c>
      <c r="AC514" s="66">
        <v>49805</v>
      </c>
      <c r="AD514" s="66">
        <v>49805</v>
      </c>
      <c r="AE514" s="66">
        <v>49805</v>
      </c>
      <c r="AF514" s="66">
        <v>49805</v>
      </c>
      <c r="AG514" s="66">
        <f>ROUND(55578.03, -2)</f>
        <v>55600</v>
      </c>
      <c r="AH514" s="206" t="s">
        <v>1000</v>
      </c>
      <c r="AI514" s="110" t="s">
        <v>980</v>
      </c>
      <c r="AJ514"/>
      <c r="AK514"/>
      <c r="AL514"/>
      <c r="AM514"/>
      <c r="AN514"/>
    </row>
    <row r="515" spans="1:40" x14ac:dyDescent="0.35">
      <c r="A515" s="66"/>
      <c r="B515" s="66"/>
      <c r="C515" s="49"/>
      <c r="D515" s="49"/>
      <c r="E515" s="49" t="s">
        <v>510</v>
      </c>
      <c r="F515" s="49"/>
      <c r="G515" s="49"/>
      <c r="H515" s="63"/>
      <c r="I515" s="63"/>
      <c r="J515" s="64"/>
      <c r="K515" s="64"/>
      <c r="L515" s="65"/>
      <c r="M515" s="65"/>
      <c r="N515" s="66"/>
      <c r="O515" s="66"/>
      <c r="P515" s="69"/>
      <c r="Q515" s="69"/>
      <c r="R515" s="54"/>
      <c r="S515" s="49"/>
      <c r="T515" s="49"/>
      <c r="U515" s="49"/>
      <c r="V515" s="49"/>
      <c r="W515" s="49" t="s">
        <v>510</v>
      </c>
      <c r="X515" s="49"/>
      <c r="Y515" s="49"/>
      <c r="Z515" s="66"/>
      <c r="AA515" s="140"/>
      <c r="AB515" s="66"/>
      <c r="AC515" s="66"/>
      <c r="AD515" s="66"/>
      <c r="AE515" s="66"/>
      <c r="AF515" s="66"/>
      <c r="AJ515"/>
      <c r="AK515"/>
      <c r="AL515"/>
      <c r="AM515"/>
      <c r="AN515"/>
    </row>
    <row r="516" spans="1:40" x14ac:dyDescent="0.35">
      <c r="A516" s="66"/>
      <c r="B516" s="66"/>
      <c r="C516" s="49"/>
      <c r="D516" s="49"/>
      <c r="E516" s="49"/>
      <c r="F516" s="49" t="s">
        <v>511</v>
      </c>
      <c r="G516" s="49"/>
      <c r="H516" s="63">
        <v>8700</v>
      </c>
      <c r="I516" s="63">
        <v>15000</v>
      </c>
      <c r="J516" s="64">
        <v>24061</v>
      </c>
      <c r="K516" s="64">
        <v>25000</v>
      </c>
      <c r="L516" s="65">
        <v>24976</v>
      </c>
      <c r="M516" s="65">
        <v>25000</v>
      </c>
      <c r="N516" s="66">
        <f t="shared" ref="N516:O532" si="190">ROUND(H516+J516+L516,5)</f>
        <v>57737</v>
      </c>
      <c r="O516" s="66">
        <f t="shared" si="190"/>
        <v>65000</v>
      </c>
      <c r="P516" s="69">
        <f t="shared" si="189"/>
        <v>19245.666666666668</v>
      </c>
      <c r="Q516" s="69">
        <f t="shared" si="189"/>
        <v>21666.666666666668</v>
      </c>
      <c r="R516" s="54"/>
      <c r="S516" s="49"/>
      <c r="T516" s="49"/>
      <c r="U516" s="49"/>
      <c r="V516" s="49"/>
      <c r="W516" s="49"/>
      <c r="X516" s="49" t="s">
        <v>511</v>
      </c>
      <c r="Y516" s="49"/>
      <c r="Z516" s="66">
        <v>25000</v>
      </c>
      <c r="AA516" s="140"/>
      <c r="AB516" s="66">
        <v>25000</v>
      </c>
      <c r="AC516" s="66">
        <v>20000</v>
      </c>
      <c r="AD516" s="66">
        <v>20000</v>
      </c>
      <c r="AE516" s="66">
        <v>20000</v>
      </c>
      <c r="AF516" s="66">
        <v>25000</v>
      </c>
      <c r="AG516" s="66">
        <v>25000</v>
      </c>
      <c r="AJ516"/>
      <c r="AK516"/>
      <c r="AL516"/>
      <c r="AM516"/>
      <c r="AN516"/>
    </row>
    <row r="517" spans="1:40" ht="29" x14ac:dyDescent="0.35">
      <c r="A517" s="66"/>
      <c r="B517" s="66"/>
      <c r="C517" s="49"/>
      <c r="D517" s="49"/>
      <c r="E517" s="49"/>
      <c r="F517" s="49" t="s">
        <v>512</v>
      </c>
      <c r="G517" s="49"/>
      <c r="H517" s="63">
        <v>968.76</v>
      </c>
      <c r="I517" s="63">
        <v>40000</v>
      </c>
      <c r="J517" s="64">
        <v>11604.98</v>
      </c>
      <c r="K517" s="64">
        <v>18000</v>
      </c>
      <c r="L517" s="65">
        <v>9768.11</v>
      </c>
      <c r="M517" s="65">
        <v>30000</v>
      </c>
      <c r="N517" s="66">
        <f t="shared" si="190"/>
        <v>22341.85</v>
      </c>
      <c r="O517" s="66">
        <f t="shared" si="190"/>
        <v>88000</v>
      </c>
      <c r="P517" s="69">
        <f t="shared" si="189"/>
        <v>7447.2833333333328</v>
      </c>
      <c r="Q517" s="69">
        <f t="shared" si="189"/>
        <v>29333.333333333332</v>
      </c>
      <c r="R517" s="54"/>
      <c r="S517" s="49"/>
      <c r="T517" s="49"/>
      <c r="U517" s="49"/>
      <c r="V517" s="49"/>
      <c r="W517" s="49"/>
      <c r="X517" s="49" t="s">
        <v>512</v>
      </c>
      <c r="Y517" s="49"/>
      <c r="Z517" s="66">
        <v>35000</v>
      </c>
      <c r="AA517" s="140"/>
      <c r="AB517" s="66">
        <v>20000</v>
      </c>
      <c r="AC517" s="66">
        <v>15000</v>
      </c>
      <c r="AD517" s="66">
        <v>15000</v>
      </c>
      <c r="AE517" s="66">
        <v>15000</v>
      </c>
      <c r="AF517" s="66">
        <v>20000</v>
      </c>
      <c r="AG517" s="66">
        <f>20000+3500</f>
        <v>23500</v>
      </c>
      <c r="AH517" s="206" t="s">
        <v>1000</v>
      </c>
      <c r="AI517" s="110" t="s">
        <v>968</v>
      </c>
      <c r="AJ517"/>
      <c r="AK517"/>
      <c r="AL517"/>
      <c r="AM517"/>
      <c r="AN517"/>
    </row>
    <row r="518" spans="1:40" ht="16.5" thickBot="1" x14ac:dyDescent="0.4">
      <c r="A518" s="66"/>
      <c r="B518" s="66"/>
      <c r="C518" s="49"/>
      <c r="D518" s="49"/>
      <c r="E518" s="49"/>
      <c r="F518" s="49" t="s">
        <v>513</v>
      </c>
      <c r="G518" s="49"/>
      <c r="H518" s="70">
        <v>18640.98</v>
      </c>
      <c r="I518" s="70">
        <v>20000</v>
      </c>
      <c r="J518" s="71">
        <v>34056.79</v>
      </c>
      <c r="K518" s="71">
        <v>15000</v>
      </c>
      <c r="L518" s="72">
        <v>41936.720000000001</v>
      </c>
      <c r="M518" s="72">
        <v>20000</v>
      </c>
      <c r="N518" s="73">
        <f t="shared" si="190"/>
        <v>94634.49</v>
      </c>
      <c r="O518" s="73">
        <f t="shared" si="190"/>
        <v>55000</v>
      </c>
      <c r="P518" s="74">
        <f t="shared" si="189"/>
        <v>31544.83</v>
      </c>
      <c r="Q518" s="74">
        <f t="shared" si="189"/>
        <v>18333.333333333332</v>
      </c>
      <c r="R518" s="54"/>
      <c r="S518" s="49"/>
      <c r="T518" s="49"/>
      <c r="U518" s="49"/>
      <c r="V518" s="49"/>
      <c r="W518" s="49"/>
      <c r="X518" s="49" t="s">
        <v>513</v>
      </c>
      <c r="Y518" s="49"/>
      <c r="Z518" s="66">
        <v>30000</v>
      </c>
      <c r="AA518" s="140"/>
      <c r="AB518" s="66">
        <v>35000</v>
      </c>
      <c r="AC518" s="66">
        <v>30000</v>
      </c>
      <c r="AD518" s="66">
        <v>30000</v>
      </c>
      <c r="AE518" s="66">
        <v>30000</v>
      </c>
      <c r="AF518" s="66">
        <v>35000</v>
      </c>
      <c r="AG518" s="66">
        <f>35000+7000</f>
        <v>42000</v>
      </c>
      <c r="AH518" s="206" t="s">
        <v>1000</v>
      </c>
      <c r="AI518" s="110" t="s">
        <v>982</v>
      </c>
      <c r="AJ518"/>
      <c r="AK518"/>
      <c r="AL518"/>
      <c r="AM518"/>
      <c r="AN518"/>
    </row>
    <row r="519" spans="1:40" ht="16.5" thickBot="1" x14ac:dyDescent="0.4">
      <c r="A519" s="66"/>
      <c r="B519" s="66"/>
      <c r="C519" s="49"/>
      <c r="D519" s="49"/>
      <c r="E519" s="49"/>
      <c r="F519" s="49"/>
      <c r="G519" s="49"/>
      <c r="H519" s="63"/>
      <c r="I519" s="63"/>
      <c r="J519" s="64"/>
      <c r="K519" s="64"/>
      <c r="L519" s="65"/>
      <c r="M519" s="65"/>
      <c r="N519" s="66"/>
      <c r="O519" s="66"/>
      <c r="P519" s="69"/>
      <c r="Q519" s="69"/>
      <c r="R519" s="54"/>
      <c r="S519" s="49"/>
      <c r="T519" s="49"/>
      <c r="U519" s="49"/>
      <c r="V519" s="49"/>
      <c r="W519" s="49"/>
      <c r="X519" s="49" t="s">
        <v>986</v>
      </c>
      <c r="Y519" s="49"/>
      <c r="Z519" s="73">
        <v>0</v>
      </c>
      <c r="AA519" s="140"/>
      <c r="AB519" s="73">
        <v>0</v>
      </c>
      <c r="AC519" s="73">
        <v>0</v>
      </c>
      <c r="AD519" s="73">
        <v>0</v>
      </c>
      <c r="AE519" s="73">
        <v>0</v>
      </c>
      <c r="AF519" s="73">
        <v>0</v>
      </c>
      <c r="AG519" s="73">
        <v>10000</v>
      </c>
      <c r="AH519" s="206" t="s">
        <v>1000</v>
      </c>
      <c r="AI519" s="110" t="s">
        <v>981</v>
      </c>
      <c r="AJ519"/>
      <c r="AK519"/>
      <c r="AL519"/>
      <c r="AM519"/>
      <c r="AN519"/>
    </row>
    <row r="520" spans="1:40" x14ac:dyDescent="0.35">
      <c r="A520" s="66"/>
      <c r="B520" s="66"/>
      <c r="C520" s="49"/>
      <c r="D520" s="49"/>
      <c r="E520" s="49" t="s">
        <v>514</v>
      </c>
      <c r="F520" s="49"/>
      <c r="G520" s="49"/>
      <c r="H520" s="63">
        <f t="shared" ref="H520:M520" si="191">ROUND(SUM(H515:H518),5)</f>
        <v>28309.74</v>
      </c>
      <c r="I520" s="63">
        <f t="shared" si="191"/>
        <v>75000</v>
      </c>
      <c r="J520" s="64">
        <f t="shared" si="191"/>
        <v>69722.77</v>
      </c>
      <c r="K520" s="64">
        <f t="shared" si="191"/>
        <v>58000</v>
      </c>
      <c r="L520" s="65">
        <f t="shared" si="191"/>
        <v>76680.83</v>
      </c>
      <c r="M520" s="65">
        <f t="shared" si="191"/>
        <v>75000</v>
      </c>
      <c r="N520" s="66">
        <f t="shared" si="190"/>
        <v>174713.34</v>
      </c>
      <c r="O520" s="66">
        <f t="shared" si="190"/>
        <v>208000</v>
      </c>
      <c r="P520" s="69">
        <f t="shared" si="189"/>
        <v>58237.78</v>
      </c>
      <c r="Q520" s="69">
        <f t="shared" si="189"/>
        <v>69333.333333333328</v>
      </c>
      <c r="R520" s="54"/>
      <c r="S520" s="49"/>
      <c r="T520" s="49"/>
      <c r="U520" s="49"/>
      <c r="V520" s="49"/>
      <c r="W520" s="49" t="s">
        <v>514</v>
      </c>
      <c r="X520" s="49"/>
      <c r="Y520" s="49"/>
      <c r="Z520" s="66">
        <f>ROUND(SUM(Z515:Z518),5)</f>
        <v>90000</v>
      </c>
      <c r="AA520" s="140"/>
      <c r="AB520" s="66">
        <f t="shared" ref="AB520:AF520" si="192">ROUND(SUM(AB515:AB519),5)</f>
        <v>80000</v>
      </c>
      <c r="AC520" s="66">
        <f t="shared" si="192"/>
        <v>65000</v>
      </c>
      <c r="AD520" s="66">
        <f t="shared" si="192"/>
        <v>65000</v>
      </c>
      <c r="AE520" s="66">
        <f t="shared" si="192"/>
        <v>65000</v>
      </c>
      <c r="AF520" s="66">
        <f t="shared" si="192"/>
        <v>80000</v>
      </c>
      <c r="AG520" s="66">
        <f>ROUND(SUM(AG516:AG519),5)</f>
        <v>100500</v>
      </c>
      <c r="AJ520"/>
      <c r="AK520"/>
      <c r="AL520"/>
      <c r="AM520"/>
      <c r="AN520"/>
    </row>
    <row r="521" spans="1:40" x14ac:dyDescent="0.35">
      <c r="A521" s="66"/>
      <c r="B521" s="66"/>
      <c r="C521" s="49"/>
      <c r="D521" s="49"/>
      <c r="E521" s="49" t="s">
        <v>515</v>
      </c>
      <c r="F521" s="49"/>
      <c r="G521" s="49"/>
      <c r="H521" s="63">
        <v>4964.49</v>
      </c>
      <c r="I521" s="63">
        <v>2000</v>
      </c>
      <c r="J521" s="64">
        <v>2885.14</v>
      </c>
      <c r="K521" s="64">
        <v>2880</v>
      </c>
      <c r="L521" s="65">
        <v>670.2</v>
      </c>
      <c r="M521" s="65">
        <v>3000</v>
      </c>
      <c r="N521" s="66">
        <f t="shared" si="190"/>
        <v>8519.83</v>
      </c>
      <c r="O521" s="66">
        <f t="shared" si="190"/>
        <v>7880</v>
      </c>
      <c r="P521" s="69">
        <f t="shared" si="189"/>
        <v>2839.9433333333332</v>
      </c>
      <c r="Q521" s="69">
        <f t="shared" si="189"/>
        <v>2626.6666666666665</v>
      </c>
      <c r="R521" s="54"/>
      <c r="S521" s="49"/>
      <c r="T521" s="49"/>
      <c r="U521" s="49"/>
      <c r="V521" s="49"/>
      <c r="W521" s="49" t="s">
        <v>515</v>
      </c>
      <c r="X521" s="49"/>
      <c r="Y521" s="49"/>
      <c r="Z521" s="66">
        <v>8000</v>
      </c>
      <c r="AA521" s="140"/>
      <c r="AB521" s="66">
        <v>2000</v>
      </c>
      <c r="AC521" s="66">
        <v>2000</v>
      </c>
      <c r="AD521" s="66">
        <v>2000</v>
      </c>
      <c r="AE521" s="66">
        <v>2000</v>
      </c>
      <c r="AF521" s="66">
        <v>2000</v>
      </c>
      <c r="AG521" s="66">
        <v>2000</v>
      </c>
      <c r="AJ521"/>
      <c r="AK521"/>
      <c r="AL521"/>
      <c r="AM521"/>
      <c r="AN521"/>
    </row>
    <row r="522" spans="1:40" ht="16" x14ac:dyDescent="0.35">
      <c r="A522" s="66"/>
      <c r="B522" s="66"/>
      <c r="C522" s="49"/>
      <c r="D522" s="49"/>
      <c r="E522" s="49" t="s">
        <v>516</v>
      </c>
      <c r="F522" s="49"/>
      <c r="G522" s="49"/>
      <c r="H522" s="63">
        <v>47274.94</v>
      </c>
      <c r="I522" s="63">
        <v>28524</v>
      </c>
      <c r="J522" s="64">
        <v>40863.71</v>
      </c>
      <c r="K522" s="64">
        <v>43665</v>
      </c>
      <c r="L522" s="65">
        <v>42646.15</v>
      </c>
      <c r="M522" s="65">
        <v>44757</v>
      </c>
      <c r="N522" s="66">
        <f t="shared" si="190"/>
        <v>130784.8</v>
      </c>
      <c r="O522" s="66">
        <f t="shared" si="190"/>
        <v>116946</v>
      </c>
      <c r="P522" s="69">
        <f t="shared" si="189"/>
        <v>43594.933333333334</v>
      </c>
      <c r="Q522" s="69">
        <f t="shared" si="189"/>
        <v>38982</v>
      </c>
      <c r="R522" s="54"/>
      <c r="S522" s="49"/>
      <c r="T522" s="49"/>
      <c r="U522" s="49"/>
      <c r="V522" s="49"/>
      <c r="W522" s="49" t="s">
        <v>516</v>
      </c>
      <c r="X522" s="49"/>
      <c r="Y522" s="49"/>
      <c r="Z522" s="66">
        <v>49516</v>
      </c>
      <c r="AA522" s="140"/>
      <c r="AB522" s="66">
        <v>82667.42</v>
      </c>
      <c r="AC522" s="66">
        <v>82667.42</v>
      </c>
      <c r="AD522" s="66">
        <v>82667.42</v>
      </c>
      <c r="AE522" s="66">
        <v>82667.42</v>
      </c>
      <c r="AF522" s="66">
        <v>82667.42</v>
      </c>
      <c r="AG522" s="66">
        <f>ROUND(82667.42, 0)</f>
        <v>82667</v>
      </c>
      <c r="AH522" s="206" t="s">
        <v>1000</v>
      </c>
      <c r="AI522" s="110" t="s">
        <v>1001</v>
      </c>
      <c r="AJ522"/>
      <c r="AK522"/>
      <c r="AL522"/>
      <c r="AM522"/>
      <c r="AN522"/>
    </row>
    <row r="523" spans="1:40" ht="16" x14ac:dyDescent="0.35">
      <c r="A523" s="66"/>
      <c r="B523" s="66"/>
      <c r="C523" s="49"/>
      <c r="D523" s="49"/>
      <c r="E523" s="49" t="s">
        <v>517</v>
      </c>
      <c r="F523" s="49"/>
      <c r="G523" s="49"/>
      <c r="H523" s="63">
        <v>4530.93</v>
      </c>
      <c r="I523" s="63">
        <v>3000</v>
      </c>
      <c r="J523" s="64">
        <v>2569.27</v>
      </c>
      <c r="K523" s="64">
        <v>5000</v>
      </c>
      <c r="L523" s="65">
        <v>3451.72</v>
      </c>
      <c r="M523" s="65">
        <v>0</v>
      </c>
      <c r="N523" s="66">
        <f t="shared" si="190"/>
        <v>10551.92</v>
      </c>
      <c r="O523" s="66">
        <f t="shared" si="190"/>
        <v>8000</v>
      </c>
      <c r="P523" s="69">
        <f t="shared" si="189"/>
        <v>3517.3066666666668</v>
      </c>
      <c r="Q523" s="69">
        <f t="shared" si="189"/>
        <v>2666.6666666666665</v>
      </c>
      <c r="R523" s="54"/>
      <c r="S523" s="49"/>
      <c r="T523" s="49"/>
      <c r="U523" s="49"/>
      <c r="V523" s="49"/>
      <c r="W523" s="49" t="s">
        <v>517</v>
      </c>
      <c r="X523" s="49"/>
      <c r="Y523" s="49"/>
      <c r="Z523" s="66">
        <v>3000</v>
      </c>
      <c r="AA523" s="140"/>
      <c r="AB523" s="66">
        <v>2000</v>
      </c>
      <c r="AC523" s="66">
        <v>2000</v>
      </c>
      <c r="AD523" s="66">
        <v>2000</v>
      </c>
      <c r="AE523" s="66">
        <v>0</v>
      </c>
      <c r="AF523" s="66">
        <v>0</v>
      </c>
      <c r="AG523" s="66">
        <v>3000</v>
      </c>
      <c r="AH523" s="206" t="s">
        <v>1000</v>
      </c>
      <c r="AJ523"/>
      <c r="AK523"/>
      <c r="AL523"/>
      <c r="AM523"/>
      <c r="AN523"/>
    </row>
    <row r="524" spans="1:40" x14ac:dyDescent="0.35">
      <c r="A524" s="66"/>
      <c r="B524" s="66"/>
      <c r="C524" s="49"/>
      <c r="D524" s="49"/>
      <c r="E524" s="49" t="s">
        <v>518</v>
      </c>
      <c r="F524" s="49"/>
      <c r="G524" s="49"/>
      <c r="H524" s="63">
        <v>898.07</v>
      </c>
      <c r="I524" s="63">
        <v>2000</v>
      </c>
      <c r="J524" s="64">
        <v>386.15</v>
      </c>
      <c r="K524" s="64">
        <v>1000</v>
      </c>
      <c r="L524" s="65">
        <v>324.02999999999997</v>
      </c>
      <c r="M524" s="65">
        <v>1000</v>
      </c>
      <c r="N524" s="66">
        <f t="shared" si="190"/>
        <v>1608.25</v>
      </c>
      <c r="O524" s="66">
        <f t="shared" si="190"/>
        <v>4000</v>
      </c>
      <c r="P524" s="69">
        <f t="shared" si="189"/>
        <v>536.08333333333337</v>
      </c>
      <c r="Q524" s="69">
        <f t="shared" si="189"/>
        <v>1333.3333333333333</v>
      </c>
      <c r="R524" s="54"/>
      <c r="S524" s="49"/>
      <c r="T524" s="49"/>
      <c r="U524" s="49"/>
      <c r="V524" s="49"/>
      <c r="W524" s="49" t="s">
        <v>518</v>
      </c>
      <c r="X524" s="49"/>
      <c r="Y524" s="49"/>
      <c r="Z524" s="66">
        <v>1000</v>
      </c>
      <c r="AA524" s="140"/>
      <c r="AB524" s="66">
        <v>1000</v>
      </c>
      <c r="AC524" s="66">
        <v>1000</v>
      </c>
      <c r="AD524" s="66">
        <v>1000</v>
      </c>
      <c r="AE524" s="66">
        <v>1000</v>
      </c>
      <c r="AF524" s="66">
        <v>1000</v>
      </c>
      <c r="AG524" s="66">
        <v>1000</v>
      </c>
      <c r="AJ524"/>
      <c r="AK524"/>
      <c r="AL524"/>
      <c r="AM524"/>
      <c r="AN524"/>
    </row>
    <row r="525" spans="1:40" x14ac:dyDescent="0.35">
      <c r="A525" s="66"/>
      <c r="B525" s="66"/>
      <c r="C525" s="49"/>
      <c r="D525" s="49"/>
      <c r="E525" s="49" t="s">
        <v>519</v>
      </c>
      <c r="F525" s="49"/>
      <c r="G525" s="49"/>
      <c r="H525" s="63">
        <v>0</v>
      </c>
      <c r="I525" s="63"/>
      <c r="J525" s="64">
        <v>0</v>
      </c>
      <c r="K525" s="64"/>
      <c r="L525" s="65">
        <v>86.03</v>
      </c>
      <c r="M525" s="65"/>
      <c r="N525" s="66">
        <f t="shared" si="190"/>
        <v>86.03</v>
      </c>
      <c r="O525" s="66"/>
      <c r="P525" s="69">
        <f t="shared" si="189"/>
        <v>28.676666666666666</v>
      </c>
      <c r="Q525" s="69">
        <f t="shared" si="189"/>
        <v>0</v>
      </c>
      <c r="R525" s="54"/>
      <c r="S525" s="49"/>
      <c r="T525" s="49"/>
      <c r="U525" s="49"/>
      <c r="V525" s="49"/>
      <c r="W525" s="49" t="s">
        <v>519</v>
      </c>
      <c r="X525" s="49"/>
      <c r="Y525" s="49"/>
      <c r="Z525" s="66">
        <v>0</v>
      </c>
      <c r="AA525" s="140"/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J525"/>
      <c r="AK525"/>
      <c r="AL525"/>
      <c r="AM525"/>
      <c r="AN525"/>
    </row>
    <row r="526" spans="1:40" x14ac:dyDescent="0.35">
      <c r="A526" s="66"/>
      <c r="B526" s="66"/>
      <c r="C526" s="49"/>
      <c r="D526" s="49"/>
      <c r="E526" s="49" t="s">
        <v>520</v>
      </c>
      <c r="F526" s="49"/>
      <c r="G526" s="49"/>
      <c r="H526" s="63">
        <v>22781.57</v>
      </c>
      <c r="I526" s="63">
        <v>20000</v>
      </c>
      <c r="J526" s="64">
        <v>23123.1</v>
      </c>
      <c r="K526" s="64">
        <v>15000</v>
      </c>
      <c r="L526" s="65">
        <v>27051.87</v>
      </c>
      <c r="M526" s="65">
        <v>15000</v>
      </c>
      <c r="N526" s="66">
        <f t="shared" si="190"/>
        <v>72956.539999999994</v>
      </c>
      <c r="O526" s="66">
        <f t="shared" si="190"/>
        <v>50000</v>
      </c>
      <c r="P526" s="69">
        <f t="shared" si="189"/>
        <v>24318.846666666665</v>
      </c>
      <c r="Q526" s="69">
        <f t="shared" si="189"/>
        <v>16666.666666666668</v>
      </c>
      <c r="R526" s="54"/>
      <c r="S526" s="49"/>
      <c r="T526" s="49"/>
      <c r="U526" s="49"/>
      <c r="V526" s="49"/>
      <c r="W526" s="49" t="s">
        <v>520</v>
      </c>
      <c r="X526" s="49"/>
      <c r="Y526" s="49"/>
      <c r="Z526" s="66">
        <v>17000</v>
      </c>
      <c r="AA526" s="140"/>
      <c r="AB526" s="66">
        <v>22000</v>
      </c>
      <c r="AC526" s="66">
        <v>22000</v>
      </c>
      <c r="AD526" s="66">
        <v>22000</v>
      </c>
      <c r="AE526" s="66">
        <v>22000</v>
      </c>
      <c r="AF526" s="66">
        <v>22000</v>
      </c>
      <c r="AG526" s="66">
        <v>22000</v>
      </c>
      <c r="AJ526"/>
      <c r="AK526"/>
      <c r="AL526"/>
      <c r="AM526"/>
      <c r="AN526"/>
    </row>
    <row r="527" spans="1:40" x14ac:dyDescent="0.35">
      <c r="A527" s="66"/>
      <c r="B527" s="66"/>
      <c r="C527" s="49"/>
      <c r="D527" s="49"/>
      <c r="E527" s="49" t="s">
        <v>521</v>
      </c>
      <c r="F527" s="49"/>
      <c r="G527" s="49"/>
      <c r="H527" s="63">
        <v>207.16</v>
      </c>
      <c r="I527" s="63">
        <v>1700</v>
      </c>
      <c r="J527" s="64">
        <v>485.58</v>
      </c>
      <c r="K527" s="64">
        <v>1100</v>
      </c>
      <c r="L527" s="65">
        <v>90.48</v>
      </c>
      <c r="M527" s="65">
        <v>1000</v>
      </c>
      <c r="N527" s="66">
        <f t="shared" si="190"/>
        <v>783.22</v>
      </c>
      <c r="O527" s="66">
        <f t="shared" si="190"/>
        <v>3800</v>
      </c>
      <c r="P527" s="69">
        <f t="shared" si="189"/>
        <v>261.07333333333332</v>
      </c>
      <c r="Q527" s="69">
        <f t="shared" si="189"/>
        <v>1266.6666666666667</v>
      </c>
      <c r="R527" s="54"/>
      <c r="S527" s="49"/>
      <c r="T527" s="49"/>
      <c r="U527" s="49"/>
      <c r="V527" s="49"/>
      <c r="W527" s="49" t="s">
        <v>521</v>
      </c>
      <c r="X527" s="49"/>
      <c r="Y527" s="49"/>
      <c r="Z527" s="66">
        <v>1000</v>
      </c>
      <c r="AA527" s="140"/>
      <c r="AB527" s="66">
        <v>1000</v>
      </c>
      <c r="AC527" s="66">
        <v>1000</v>
      </c>
      <c r="AD527" s="66">
        <v>1000</v>
      </c>
      <c r="AE527" s="66">
        <v>1000</v>
      </c>
      <c r="AF527" s="66">
        <v>1000</v>
      </c>
      <c r="AG527" s="66">
        <v>1000</v>
      </c>
      <c r="AJ527"/>
      <c r="AK527"/>
      <c r="AL527"/>
      <c r="AM527"/>
      <c r="AN527"/>
    </row>
    <row r="528" spans="1:40" x14ac:dyDescent="0.35">
      <c r="A528" s="66"/>
      <c r="B528" s="66"/>
      <c r="C528" s="49"/>
      <c r="D528" s="49"/>
      <c r="E528" s="49" t="s">
        <v>522</v>
      </c>
      <c r="F528" s="49"/>
      <c r="G528" s="49"/>
      <c r="H528" s="63">
        <v>39999.96</v>
      </c>
      <c r="I528" s="63">
        <v>40000</v>
      </c>
      <c r="J528" s="64">
        <v>39999.96</v>
      </c>
      <c r="K528" s="64">
        <v>37800</v>
      </c>
      <c r="L528" s="65">
        <v>39999.96</v>
      </c>
      <c r="M528" s="65">
        <v>41000</v>
      </c>
      <c r="N528" s="66">
        <f t="shared" si="190"/>
        <v>119999.88</v>
      </c>
      <c r="O528" s="66">
        <f t="shared" si="190"/>
        <v>118800</v>
      </c>
      <c r="P528" s="69">
        <f t="shared" si="189"/>
        <v>39999.96</v>
      </c>
      <c r="Q528" s="69">
        <f t="shared" si="189"/>
        <v>39600</v>
      </c>
      <c r="R528" s="54"/>
      <c r="S528" s="49"/>
      <c r="T528" s="49"/>
      <c r="U528" s="49"/>
      <c r="V528" s="49"/>
      <c r="W528" s="49" t="s">
        <v>522</v>
      </c>
      <c r="X528" s="49"/>
      <c r="Y528" s="49"/>
      <c r="Z528" s="66">
        <v>42000</v>
      </c>
      <c r="AA528" s="140"/>
      <c r="AB528" s="66">
        <v>42000</v>
      </c>
      <c r="AC528" s="66">
        <v>42000</v>
      </c>
      <c r="AD528" s="66">
        <v>42000</v>
      </c>
      <c r="AE528" s="66">
        <v>42000</v>
      </c>
      <c r="AF528" s="66">
        <v>42000</v>
      </c>
      <c r="AG528" s="66">
        <v>42000</v>
      </c>
      <c r="AJ528"/>
      <c r="AK528"/>
      <c r="AL528"/>
      <c r="AM528"/>
      <c r="AN528"/>
    </row>
    <row r="529" spans="1:40" x14ac:dyDescent="0.35">
      <c r="A529" s="66"/>
      <c r="B529" s="66"/>
      <c r="C529" s="49"/>
      <c r="D529" s="49"/>
      <c r="E529" s="49" t="s">
        <v>523</v>
      </c>
      <c r="F529" s="49"/>
      <c r="G529" s="49"/>
      <c r="H529" s="63">
        <v>2400</v>
      </c>
      <c r="I529" s="63">
        <v>2580</v>
      </c>
      <c r="J529" s="64">
        <v>3000</v>
      </c>
      <c r="K529" s="64">
        <v>2200</v>
      </c>
      <c r="L529" s="65">
        <v>2250</v>
      </c>
      <c r="M529" s="65">
        <v>3000</v>
      </c>
      <c r="N529" s="66">
        <f t="shared" si="190"/>
        <v>7650</v>
      </c>
      <c r="O529" s="66">
        <f t="shared" si="190"/>
        <v>7780</v>
      </c>
      <c r="P529" s="69">
        <f t="shared" si="189"/>
        <v>2550</v>
      </c>
      <c r="Q529" s="69">
        <f t="shared" si="189"/>
        <v>2593.3333333333335</v>
      </c>
      <c r="R529" s="54"/>
      <c r="S529" s="49"/>
      <c r="T529" s="49"/>
      <c r="U529" s="49"/>
      <c r="V529" s="49"/>
      <c r="W529" s="49" t="s">
        <v>523</v>
      </c>
      <c r="X529" s="49"/>
      <c r="Y529" s="49"/>
      <c r="Z529" s="66">
        <v>3000</v>
      </c>
      <c r="AA529" s="140"/>
      <c r="AB529" s="66">
        <v>2500</v>
      </c>
      <c r="AC529" s="66">
        <v>2500</v>
      </c>
      <c r="AD529" s="66">
        <v>2500</v>
      </c>
      <c r="AE529" s="66">
        <v>2500</v>
      </c>
      <c r="AF529" s="66">
        <v>2500</v>
      </c>
      <c r="AG529" s="66">
        <v>2500</v>
      </c>
      <c r="AJ529"/>
      <c r="AK529"/>
      <c r="AL529"/>
      <c r="AM529"/>
      <c r="AN529"/>
    </row>
    <row r="530" spans="1:40" x14ac:dyDescent="0.35">
      <c r="A530" s="66"/>
      <c r="B530" s="66"/>
      <c r="C530" s="49"/>
      <c r="D530" s="49"/>
      <c r="E530" s="49" t="s">
        <v>524</v>
      </c>
      <c r="F530" s="49"/>
      <c r="G530" s="49"/>
      <c r="H530" s="63">
        <v>1650</v>
      </c>
      <c r="I530" s="63">
        <v>10000</v>
      </c>
      <c r="J530" s="64">
        <v>3475.37</v>
      </c>
      <c r="K530" s="64">
        <v>5000</v>
      </c>
      <c r="L530" s="65">
        <v>2086.8000000000002</v>
      </c>
      <c r="M530" s="65">
        <v>3000</v>
      </c>
      <c r="N530" s="66">
        <f t="shared" si="190"/>
        <v>7212.17</v>
      </c>
      <c r="O530" s="66">
        <f t="shared" si="190"/>
        <v>18000</v>
      </c>
      <c r="P530" s="69">
        <f t="shared" si="189"/>
        <v>2404.0566666666668</v>
      </c>
      <c r="Q530" s="69">
        <f t="shared" si="189"/>
        <v>6000</v>
      </c>
      <c r="R530" s="54"/>
      <c r="S530" s="49"/>
      <c r="T530" s="49"/>
      <c r="U530" s="49"/>
      <c r="V530" s="49"/>
      <c r="W530" s="49" t="s">
        <v>524</v>
      </c>
      <c r="X530" s="49"/>
      <c r="Y530" s="49"/>
      <c r="Z530" s="66">
        <v>3000</v>
      </c>
      <c r="AA530" s="140"/>
      <c r="AB530" s="66">
        <v>3000</v>
      </c>
      <c r="AC530" s="66">
        <v>3000</v>
      </c>
      <c r="AD530" s="66">
        <v>3000</v>
      </c>
      <c r="AE530" s="66">
        <v>3000</v>
      </c>
      <c r="AF530" s="66">
        <v>3000</v>
      </c>
      <c r="AG530" s="66">
        <v>3000</v>
      </c>
      <c r="AI530" s="110" t="s">
        <v>851</v>
      </c>
      <c r="AJ530"/>
      <c r="AK530"/>
      <c r="AL530"/>
      <c r="AM530"/>
      <c r="AN530"/>
    </row>
    <row r="531" spans="1:40" x14ac:dyDescent="0.35">
      <c r="A531" s="66"/>
      <c r="B531" s="66"/>
      <c r="C531" s="49"/>
      <c r="D531" s="49"/>
      <c r="E531" s="49" t="s">
        <v>525</v>
      </c>
      <c r="F531" s="49"/>
      <c r="G531" s="49"/>
      <c r="H531" s="63">
        <v>5295.35</v>
      </c>
      <c r="I531" s="63">
        <v>17000</v>
      </c>
      <c r="J531" s="64">
        <v>0</v>
      </c>
      <c r="K531" s="64">
        <v>0</v>
      </c>
      <c r="L531" s="65">
        <v>0</v>
      </c>
      <c r="M531" s="65"/>
      <c r="N531" s="66">
        <f t="shared" si="190"/>
        <v>5295.35</v>
      </c>
      <c r="O531" s="66">
        <f t="shared" si="190"/>
        <v>17000</v>
      </c>
      <c r="P531" s="69">
        <f t="shared" si="189"/>
        <v>1765.1166666666668</v>
      </c>
      <c r="Q531" s="69">
        <f t="shared" si="189"/>
        <v>5666.666666666667</v>
      </c>
      <c r="R531" s="54"/>
      <c r="S531" s="49"/>
      <c r="T531" s="49"/>
      <c r="U531" s="49"/>
      <c r="V531" s="49"/>
      <c r="W531" s="49" t="s">
        <v>525</v>
      </c>
      <c r="X531" s="49"/>
      <c r="Y531" s="49"/>
      <c r="Z531" s="66">
        <v>0</v>
      </c>
      <c r="AA531" s="140"/>
      <c r="AB531" s="66">
        <v>0</v>
      </c>
      <c r="AC531" s="66">
        <v>0</v>
      </c>
      <c r="AD531" s="66">
        <v>0</v>
      </c>
      <c r="AE531" s="66">
        <v>0</v>
      </c>
      <c r="AF531" s="66">
        <v>0</v>
      </c>
      <c r="AG531" s="66">
        <v>0</v>
      </c>
      <c r="AJ531"/>
      <c r="AK531"/>
      <c r="AL531"/>
      <c r="AM531"/>
      <c r="AN531"/>
    </row>
    <row r="532" spans="1:40" x14ac:dyDescent="0.35">
      <c r="A532" s="66"/>
      <c r="B532" s="66"/>
      <c r="C532" s="49"/>
      <c r="D532" s="49"/>
      <c r="E532" s="49" t="s">
        <v>526</v>
      </c>
      <c r="F532" s="49"/>
      <c r="G532" s="49"/>
      <c r="H532" s="63">
        <v>65498.5</v>
      </c>
      <c r="I532" s="63">
        <v>38325</v>
      </c>
      <c r="J532" s="64">
        <v>65504.98</v>
      </c>
      <c r="K532" s="64">
        <v>55000</v>
      </c>
      <c r="L532" s="65">
        <v>112725.58</v>
      </c>
      <c r="M532" s="65">
        <v>69540</v>
      </c>
      <c r="N532" s="66">
        <f t="shared" si="190"/>
        <v>243729.06</v>
      </c>
      <c r="O532" s="66">
        <f t="shared" si="190"/>
        <v>162865</v>
      </c>
      <c r="P532" s="69">
        <f t="shared" si="189"/>
        <v>81243.02</v>
      </c>
      <c r="Q532" s="69">
        <f t="shared" si="189"/>
        <v>54288.333333333336</v>
      </c>
      <c r="R532" s="54"/>
      <c r="S532" s="49"/>
      <c r="T532" s="49"/>
      <c r="U532" s="49"/>
      <c r="V532" s="49"/>
      <c r="W532" s="49" t="s">
        <v>906</v>
      </c>
      <c r="X532" s="49"/>
      <c r="Y532" s="49"/>
      <c r="Z532" s="66">
        <v>45000</v>
      </c>
      <c r="AA532" s="140"/>
      <c r="AB532" s="66">
        <f t="shared" ref="AB532:AG532" si="193">ROUND(42665.15, 0)</f>
        <v>42665</v>
      </c>
      <c r="AC532" s="66">
        <f t="shared" si="193"/>
        <v>42665</v>
      </c>
      <c r="AD532" s="66">
        <f t="shared" si="193"/>
        <v>42665</v>
      </c>
      <c r="AE532" s="66">
        <f t="shared" si="193"/>
        <v>42665</v>
      </c>
      <c r="AF532" s="66">
        <f t="shared" si="193"/>
        <v>42665</v>
      </c>
      <c r="AG532" s="66">
        <f t="shared" si="193"/>
        <v>42665</v>
      </c>
      <c r="AJ532"/>
      <c r="AK532"/>
      <c r="AL532"/>
      <c r="AM532"/>
      <c r="AN532"/>
    </row>
    <row r="533" spans="1:40" x14ac:dyDescent="0.35">
      <c r="A533" s="66"/>
      <c r="B533" s="66"/>
      <c r="C533" s="49"/>
      <c r="D533" s="49"/>
      <c r="E533" s="49" t="s">
        <v>527</v>
      </c>
      <c r="F533" s="49"/>
      <c r="G533" s="49"/>
      <c r="H533" s="63">
        <v>4664.29</v>
      </c>
      <c r="I533" s="63">
        <v>2716.8</v>
      </c>
      <c r="J533" s="64">
        <v>3018.33</v>
      </c>
      <c r="K533" s="64">
        <v>4360</v>
      </c>
      <c r="L533" s="65">
        <v>4947.66</v>
      </c>
      <c r="M533" s="65">
        <v>5328</v>
      </c>
      <c r="N533" s="66">
        <f t="shared" ref="N533:O544" si="194">ROUND(H533+J533+L533,5)</f>
        <v>12630.28</v>
      </c>
      <c r="O533" s="66">
        <f t="shared" si="194"/>
        <v>12404.8</v>
      </c>
      <c r="P533" s="69">
        <f t="shared" si="189"/>
        <v>4210.0933333333332</v>
      </c>
      <c r="Q533" s="69">
        <f t="shared" si="189"/>
        <v>4134.9333333333334</v>
      </c>
      <c r="R533" s="54"/>
      <c r="S533" s="49"/>
      <c r="T533" s="49"/>
      <c r="U533" s="49"/>
      <c r="V533" s="49"/>
      <c r="W533" s="49" t="s">
        <v>527</v>
      </c>
      <c r="X533" s="49"/>
      <c r="Y533" s="49"/>
      <c r="Z533" s="66">
        <v>5027</v>
      </c>
      <c r="AA533" s="140"/>
      <c r="AB533" s="66">
        <v>6033.32</v>
      </c>
      <c r="AC533" s="66">
        <v>6033.32</v>
      </c>
      <c r="AD533" s="66">
        <v>6033.32</v>
      </c>
      <c r="AE533" s="66">
        <v>6033.32</v>
      </c>
      <c r="AF533" s="66">
        <v>6033.32</v>
      </c>
      <c r="AG533" s="66">
        <f>ROUND(6033.32, 0)</f>
        <v>6033</v>
      </c>
      <c r="AJ533"/>
      <c r="AK533"/>
      <c r="AL533"/>
      <c r="AM533"/>
      <c r="AN533"/>
    </row>
    <row r="534" spans="1:40" ht="29" x14ac:dyDescent="0.35">
      <c r="A534" s="66"/>
      <c r="B534" s="66"/>
      <c r="C534" s="49"/>
      <c r="D534" s="49"/>
      <c r="E534" s="49" t="s">
        <v>528</v>
      </c>
      <c r="F534" s="49"/>
      <c r="G534" s="49"/>
      <c r="H534" s="63">
        <v>4727</v>
      </c>
      <c r="I534" s="63">
        <v>4572</v>
      </c>
      <c r="J534" s="64">
        <v>5187</v>
      </c>
      <c r="K534" s="64">
        <v>4900</v>
      </c>
      <c r="L534" s="65">
        <v>3671</v>
      </c>
      <c r="M534" s="65">
        <v>5431</v>
      </c>
      <c r="N534" s="66">
        <f t="shared" si="194"/>
        <v>13585</v>
      </c>
      <c r="O534" s="66">
        <f t="shared" si="194"/>
        <v>14903</v>
      </c>
      <c r="P534" s="69">
        <f t="shared" si="189"/>
        <v>4528.333333333333</v>
      </c>
      <c r="Q534" s="69">
        <f t="shared" si="189"/>
        <v>4967.666666666667</v>
      </c>
      <c r="R534" s="54"/>
      <c r="S534" s="49"/>
      <c r="T534" s="49"/>
      <c r="U534" s="49"/>
      <c r="V534" s="49"/>
      <c r="W534" s="49" t="s">
        <v>528</v>
      </c>
      <c r="X534" s="49"/>
      <c r="Y534" s="49"/>
      <c r="Z534" s="66">
        <v>3132</v>
      </c>
      <c r="AA534" s="140"/>
      <c r="AB534" s="66">
        <f t="shared" ref="AB534:AF534" si="195">ROUND(3414.6, 0)</f>
        <v>3415</v>
      </c>
      <c r="AC534" s="66">
        <f t="shared" si="195"/>
        <v>3415</v>
      </c>
      <c r="AD534" s="66">
        <f t="shared" si="195"/>
        <v>3415</v>
      </c>
      <c r="AE534" s="66">
        <f t="shared" si="195"/>
        <v>3415</v>
      </c>
      <c r="AF534" s="66">
        <f t="shared" si="195"/>
        <v>3415</v>
      </c>
      <c r="AG534" s="66">
        <v>3415</v>
      </c>
      <c r="AH534" s="110" t="s">
        <v>993</v>
      </c>
      <c r="AJ534"/>
      <c r="AK534"/>
      <c r="AL534"/>
      <c r="AM534"/>
      <c r="AN534"/>
    </row>
    <row r="535" spans="1:40" x14ac:dyDescent="0.35">
      <c r="A535" s="66"/>
      <c r="B535" s="66"/>
      <c r="C535" s="49"/>
      <c r="D535" s="49"/>
      <c r="E535" s="49" t="s">
        <v>529</v>
      </c>
      <c r="F535" s="49"/>
      <c r="G535" s="49"/>
      <c r="H535" s="63">
        <v>89.42</v>
      </c>
      <c r="I535" s="63">
        <v>5000</v>
      </c>
      <c r="J535" s="64">
        <v>12728.53</v>
      </c>
      <c r="K535" s="64">
        <v>0</v>
      </c>
      <c r="L535" s="65">
        <v>0</v>
      </c>
      <c r="M535" s="65">
        <v>0</v>
      </c>
      <c r="N535" s="66">
        <f t="shared" si="194"/>
        <v>12817.95</v>
      </c>
      <c r="O535" s="66">
        <f t="shared" si="194"/>
        <v>5000</v>
      </c>
      <c r="P535" s="69">
        <f t="shared" si="189"/>
        <v>4272.6500000000005</v>
      </c>
      <c r="Q535" s="69">
        <f t="shared" si="189"/>
        <v>1666.6666666666667</v>
      </c>
      <c r="R535" s="54"/>
      <c r="S535" s="49"/>
      <c r="T535" s="49"/>
      <c r="U535" s="49"/>
      <c r="V535" s="49"/>
      <c r="W535" s="49" t="s">
        <v>529</v>
      </c>
      <c r="X535" s="49"/>
      <c r="Y535" s="49"/>
      <c r="Z535" s="66">
        <v>5000</v>
      </c>
      <c r="AA535" s="140"/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110" t="s">
        <v>983</v>
      </c>
      <c r="AJ535"/>
      <c r="AK535"/>
      <c r="AL535"/>
      <c r="AM535"/>
      <c r="AN535"/>
    </row>
    <row r="536" spans="1:40" x14ac:dyDescent="0.35">
      <c r="A536" s="66"/>
      <c r="B536" s="66"/>
      <c r="C536" s="49"/>
      <c r="D536" s="49"/>
      <c r="E536" s="49" t="s">
        <v>530</v>
      </c>
      <c r="F536" s="49"/>
      <c r="G536" s="49"/>
      <c r="H536" s="63">
        <v>3574.34</v>
      </c>
      <c r="I536" s="63">
        <v>4992</v>
      </c>
      <c r="J536" s="64">
        <v>3364.92</v>
      </c>
      <c r="K536" s="64">
        <v>5562</v>
      </c>
      <c r="L536" s="65">
        <v>2926.66</v>
      </c>
      <c r="M536" s="65">
        <v>5000</v>
      </c>
      <c r="N536" s="66">
        <f t="shared" si="194"/>
        <v>9865.92</v>
      </c>
      <c r="O536" s="66">
        <f t="shared" si="194"/>
        <v>15554</v>
      </c>
      <c r="P536" s="69">
        <f t="shared" si="189"/>
        <v>3288.64</v>
      </c>
      <c r="Q536" s="69">
        <f t="shared" si="189"/>
        <v>5184.666666666667</v>
      </c>
      <c r="R536" s="54"/>
      <c r="S536" s="49"/>
      <c r="T536" s="49"/>
      <c r="U536" s="49"/>
      <c r="V536" s="49"/>
      <c r="W536" s="49" t="s">
        <v>530</v>
      </c>
      <c r="X536" s="49"/>
      <c r="Y536" s="49"/>
      <c r="Z536" s="66">
        <v>5000</v>
      </c>
      <c r="AA536" s="140"/>
      <c r="AB536" s="66">
        <v>4000</v>
      </c>
      <c r="AC536" s="66">
        <v>4000</v>
      </c>
      <c r="AD536" s="66">
        <v>4000</v>
      </c>
      <c r="AE536" s="66">
        <v>4000</v>
      </c>
      <c r="AF536" s="66">
        <v>4000</v>
      </c>
      <c r="AG536" s="66">
        <v>4000</v>
      </c>
      <c r="AJ536"/>
      <c r="AK536"/>
      <c r="AL536"/>
      <c r="AM536"/>
      <c r="AN536"/>
    </row>
    <row r="537" spans="1:40" x14ac:dyDescent="0.35">
      <c r="A537" s="66"/>
      <c r="B537" s="66"/>
      <c r="C537" s="49"/>
      <c r="D537" s="49"/>
      <c r="E537" s="49" t="s">
        <v>531</v>
      </c>
      <c r="F537" s="49"/>
      <c r="G537" s="49"/>
      <c r="H537" s="63">
        <v>10575.38</v>
      </c>
      <c r="I537" s="63">
        <v>11000</v>
      </c>
      <c r="J537" s="64">
        <v>7582.88</v>
      </c>
      <c r="K537" s="64">
        <v>11700</v>
      </c>
      <c r="L537" s="65">
        <v>8602.8799999999992</v>
      </c>
      <c r="M537" s="65">
        <v>10000</v>
      </c>
      <c r="N537" s="66">
        <f t="shared" si="194"/>
        <v>26761.14</v>
      </c>
      <c r="O537" s="66">
        <f t="shared" si="194"/>
        <v>32700</v>
      </c>
      <c r="P537" s="69">
        <f t="shared" si="189"/>
        <v>8920.3799999999992</v>
      </c>
      <c r="Q537" s="69">
        <f t="shared" si="189"/>
        <v>10900</v>
      </c>
      <c r="R537" s="54"/>
      <c r="S537" s="49"/>
      <c r="T537" s="49"/>
      <c r="U537" s="49"/>
      <c r="V537" s="49"/>
      <c r="W537" s="49" t="s">
        <v>531</v>
      </c>
      <c r="X537" s="49"/>
      <c r="Y537" s="49"/>
      <c r="Z537" s="66">
        <v>10000</v>
      </c>
      <c r="AA537" s="140"/>
      <c r="AB537" s="66">
        <v>9000</v>
      </c>
      <c r="AC537" s="66">
        <v>9000</v>
      </c>
      <c r="AD537" s="66">
        <v>9000</v>
      </c>
      <c r="AE537" s="66">
        <v>9000</v>
      </c>
      <c r="AF537" s="66">
        <v>9000</v>
      </c>
      <c r="AG537" s="66">
        <v>9000</v>
      </c>
      <c r="AJ537"/>
      <c r="AK537"/>
      <c r="AL537"/>
      <c r="AM537"/>
      <c r="AN537"/>
    </row>
    <row r="538" spans="1:40" x14ac:dyDescent="0.35">
      <c r="A538" s="66"/>
      <c r="B538" s="66"/>
      <c r="C538" s="49"/>
      <c r="D538" s="49"/>
      <c r="E538" s="49" t="s">
        <v>532</v>
      </c>
      <c r="F538" s="49"/>
      <c r="G538" s="49"/>
      <c r="H538" s="63">
        <v>3539.31</v>
      </c>
      <c r="I538" s="63">
        <v>3645</v>
      </c>
      <c r="J538" s="64">
        <v>3316.13</v>
      </c>
      <c r="K538" s="64">
        <v>3200</v>
      </c>
      <c r="L538" s="65">
        <v>3381.09</v>
      </c>
      <c r="M538" s="65">
        <v>3250</v>
      </c>
      <c r="N538" s="66">
        <f t="shared" si="194"/>
        <v>10236.530000000001</v>
      </c>
      <c r="O538" s="66">
        <f t="shared" si="194"/>
        <v>10095</v>
      </c>
      <c r="P538" s="69">
        <f t="shared" si="189"/>
        <v>3412.1766666666667</v>
      </c>
      <c r="Q538" s="69">
        <f t="shared" si="189"/>
        <v>3365</v>
      </c>
      <c r="R538" s="54"/>
      <c r="S538" s="49"/>
      <c r="T538" s="49"/>
      <c r="U538" s="49"/>
      <c r="V538" s="49"/>
      <c r="W538" s="49" t="s">
        <v>532</v>
      </c>
      <c r="X538" s="49"/>
      <c r="Y538" s="49"/>
      <c r="Z538" s="66">
        <v>3405</v>
      </c>
      <c r="AA538" s="140"/>
      <c r="AB538" s="66">
        <v>3050</v>
      </c>
      <c r="AC538" s="66">
        <v>3050</v>
      </c>
      <c r="AD538" s="66">
        <v>3050</v>
      </c>
      <c r="AE538" s="66">
        <v>3050</v>
      </c>
      <c r="AF538" s="66">
        <v>3050</v>
      </c>
      <c r="AG538" s="66">
        <v>3050</v>
      </c>
      <c r="AJ538"/>
      <c r="AK538"/>
      <c r="AL538"/>
      <c r="AM538"/>
      <c r="AN538"/>
    </row>
    <row r="539" spans="1:40" x14ac:dyDescent="0.35">
      <c r="A539" s="66"/>
      <c r="B539" s="66"/>
      <c r="C539" s="49"/>
      <c r="D539" s="49"/>
      <c r="E539" s="49" t="s">
        <v>533</v>
      </c>
      <c r="F539" s="49"/>
      <c r="G539" s="49"/>
      <c r="H539" s="63">
        <v>8875.7999999999993</v>
      </c>
      <c r="I539" s="63">
        <v>9376</v>
      </c>
      <c r="J539" s="64">
        <v>6026.59</v>
      </c>
      <c r="K539" s="64">
        <v>8800</v>
      </c>
      <c r="L539" s="65">
        <v>0</v>
      </c>
      <c r="M539" s="65">
        <v>0</v>
      </c>
      <c r="N539" s="66">
        <f t="shared" si="194"/>
        <v>14902.39</v>
      </c>
      <c r="O539" s="66">
        <f t="shared" si="194"/>
        <v>18176</v>
      </c>
      <c r="P539" s="69">
        <f t="shared" si="189"/>
        <v>4967.4633333333331</v>
      </c>
      <c r="Q539" s="69">
        <f t="shared" si="189"/>
        <v>6058.666666666667</v>
      </c>
      <c r="R539" s="54"/>
      <c r="S539" s="49"/>
      <c r="T539" s="49"/>
      <c r="U539" s="49"/>
      <c r="V539" s="49"/>
      <c r="W539" s="49" t="s">
        <v>533</v>
      </c>
      <c r="X539" s="49"/>
      <c r="Y539" s="49"/>
      <c r="Z539" s="66">
        <v>0</v>
      </c>
      <c r="AA539" s="140"/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J539"/>
      <c r="AK539"/>
      <c r="AL539"/>
      <c r="AM539"/>
      <c r="AN539"/>
    </row>
    <row r="540" spans="1:40" x14ac:dyDescent="0.35">
      <c r="A540" s="66"/>
      <c r="B540" s="66"/>
      <c r="C540" s="49"/>
      <c r="D540" s="49"/>
      <c r="E540" s="49" t="s">
        <v>534</v>
      </c>
      <c r="F540" s="49"/>
      <c r="G540" s="49"/>
      <c r="H540" s="63">
        <v>27953.49</v>
      </c>
      <c r="I540" s="63">
        <v>28074</v>
      </c>
      <c r="J540" s="64">
        <v>19873.310000000001</v>
      </c>
      <c r="K540" s="64">
        <v>17150</v>
      </c>
      <c r="L540" s="65">
        <v>19701.16</v>
      </c>
      <c r="M540" s="65">
        <v>19345</v>
      </c>
      <c r="N540" s="66">
        <f t="shared" si="194"/>
        <v>67527.960000000006</v>
      </c>
      <c r="O540" s="66">
        <f t="shared" si="194"/>
        <v>64569</v>
      </c>
      <c r="P540" s="69">
        <f t="shared" si="189"/>
        <v>22509.320000000003</v>
      </c>
      <c r="Q540" s="69">
        <f t="shared" si="189"/>
        <v>21523</v>
      </c>
      <c r="R540" s="54"/>
      <c r="S540" s="49"/>
      <c r="T540" s="49"/>
      <c r="U540" s="49"/>
      <c r="V540" s="49"/>
      <c r="W540" s="49" t="s">
        <v>534</v>
      </c>
      <c r="X540" s="49"/>
      <c r="Y540" s="49"/>
      <c r="Z540" s="66">
        <v>19503</v>
      </c>
      <c r="AA540" s="140"/>
      <c r="AB540" s="66">
        <v>20400</v>
      </c>
      <c r="AC540" s="66">
        <v>20400</v>
      </c>
      <c r="AD540" s="66">
        <v>20400</v>
      </c>
      <c r="AE540" s="66">
        <v>22860</v>
      </c>
      <c r="AF540" s="66">
        <v>22860</v>
      </c>
      <c r="AG540" s="66">
        <v>22860</v>
      </c>
      <c r="AJ540"/>
      <c r="AK540"/>
      <c r="AL540"/>
      <c r="AM540"/>
      <c r="AN540"/>
    </row>
    <row r="541" spans="1:40" x14ac:dyDescent="0.35">
      <c r="A541" s="66"/>
      <c r="B541" s="66"/>
      <c r="C541" s="49"/>
      <c r="D541" s="49"/>
      <c r="E541" s="49" t="s">
        <v>535</v>
      </c>
      <c r="F541" s="49"/>
      <c r="G541" s="49"/>
      <c r="H541" s="63">
        <v>0</v>
      </c>
      <c r="I541" s="63">
        <v>6000</v>
      </c>
      <c r="J541" s="64">
        <v>21228.95</v>
      </c>
      <c r="K541" s="64">
        <v>0</v>
      </c>
      <c r="L541" s="65">
        <v>47757.3</v>
      </c>
      <c r="M541" s="65">
        <v>3000</v>
      </c>
      <c r="N541" s="66">
        <f t="shared" si="194"/>
        <v>68986.25</v>
      </c>
      <c r="O541" s="66">
        <f t="shared" si="194"/>
        <v>9000</v>
      </c>
      <c r="P541" s="69">
        <f t="shared" si="189"/>
        <v>22995.416666666668</v>
      </c>
      <c r="Q541" s="69">
        <f t="shared" si="189"/>
        <v>3000</v>
      </c>
      <c r="R541" s="54"/>
      <c r="S541" s="49"/>
      <c r="T541" s="49"/>
      <c r="U541" s="49"/>
      <c r="V541" s="49"/>
      <c r="W541" s="49" t="s">
        <v>535</v>
      </c>
      <c r="X541" s="49"/>
      <c r="Y541" s="49"/>
      <c r="Z541" s="66">
        <v>3000</v>
      </c>
      <c r="AA541" s="140"/>
      <c r="AB541" s="66">
        <v>3000</v>
      </c>
      <c r="AC541" s="66">
        <v>3000</v>
      </c>
      <c r="AD541" s="66">
        <v>3000</v>
      </c>
      <c r="AE541" s="66">
        <v>3000</v>
      </c>
      <c r="AF541" s="66">
        <v>3000</v>
      </c>
      <c r="AG541" s="66">
        <v>3000</v>
      </c>
      <c r="AJ541"/>
      <c r="AK541"/>
      <c r="AL541"/>
      <c r="AM541"/>
      <c r="AN541"/>
    </row>
    <row r="542" spans="1:40" x14ac:dyDescent="0.35">
      <c r="A542" s="66"/>
      <c r="B542" s="66"/>
      <c r="C542" s="49"/>
      <c r="D542" s="49"/>
      <c r="E542" s="49" t="s">
        <v>536</v>
      </c>
      <c r="F542" s="49"/>
      <c r="G542" s="49"/>
      <c r="H542" s="63">
        <v>19982.650000000001</v>
      </c>
      <c r="I542" s="63">
        <v>32500</v>
      </c>
      <c r="J542" s="64">
        <v>16665.71</v>
      </c>
      <c r="K542" s="64">
        <v>34050</v>
      </c>
      <c r="L542" s="65">
        <v>22645.33</v>
      </c>
      <c r="M542" s="65">
        <v>35000</v>
      </c>
      <c r="N542" s="66">
        <f t="shared" si="194"/>
        <v>59293.69</v>
      </c>
      <c r="O542" s="66">
        <f t="shared" si="194"/>
        <v>101550</v>
      </c>
      <c r="P542" s="69">
        <f t="shared" si="189"/>
        <v>19764.563333333335</v>
      </c>
      <c r="Q542" s="69">
        <f t="shared" si="189"/>
        <v>33850</v>
      </c>
      <c r="R542" s="54"/>
      <c r="S542" s="49"/>
      <c r="T542" s="49"/>
      <c r="U542" s="49"/>
      <c r="V542" s="49"/>
      <c r="W542" s="49" t="s">
        <v>536</v>
      </c>
      <c r="X542" s="49"/>
      <c r="Y542" s="49"/>
      <c r="Z542" s="66">
        <v>35000</v>
      </c>
      <c r="AA542" s="140"/>
      <c r="AB542" s="66">
        <v>35000</v>
      </c>
      <c r="AC542" s="66">
        <v>30000</v>
      </c>
      <c r="AD542" s="66">
        <v>30000</v>
      </c>
      <c r="AE542" s="66">
        <v>30000</v>
      </c>
      <c r="AF542" s="66">
        <v>35000</v>
      </c>
      <c r="AG542" s="66">
        <v>35000</v>
      </c>
      <c r="AJ542"/>
      <c r="AK542"/>
      <c r="AL542"/>
      <c r="AM542"/>
      <c r="AN542"/>
    </row>
    <row r="543" spans="1:40" x14ac:dyDescent="0.35">
      <c r="A543" s="66"/>
      <c r="B543" s="66"/>
      <c r="C543" s="49"/>
      <c r="D543" s="49"/>
      <c r="E543" s="49" t="s">
        <v>537</v>
      </c>
      <c r="F543" s="49"/>
      <c r="G543" s="49"/>
      <c r="H543" s="63">
        <v>0</v>
      </c>
      <c r="I543" s="63"/>
      <c r="J543" s="64">
        <v>0</v>
      </c>
      <c r="K543" s="64"/>
      <c r="L543" s="65">
        <v>0</v>
      </c>
      <c r="M543" s="65"/>
      <c r="N543" s="66">
        <f t="shared" si="194"/>
        <v>0</v>
      </c>
      <c r="O543" s="66"/>
      <c r="P543" s="69">
        <f t="shared" si="189"/>
        <v>0</v>
      </c>
      <c r="Q543" s="69">
        <f t="shared" si="189"/>
        <v>0</v>
      </c>
      <c r="R543" s="54"/>
      <c r="S543" s="49"/>
      <c r="T543" s="49"/>
      <c r="U543" s="49"/>
      <c r="V543" s="49"/>
      <c r="W543" s="49" t="s">
        <v>537</v>
      </c>
      <c r="X543" s="49"/>
      <c r="Y543" s="49"/>
      <c r="Z543" s="66">
        <v>0</v>
      </c>
      <c r="AA543" s="140"/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J543"/>
      <c r="AK543"/>
      <c r="AL543"/>
      <c r="AM543"/>
      <c r="AN543"/>
    </row>
    <row r="544" spans="1:40" x14ac:dyDescent="0.35">
      <c r="A544" s="66"/>
      <c r="B544" s="66"/>
      <c r="C544" s="49"/>
      <c r="D544" s="49"/>
      <c r="E544" s="49" t="s">
        <v>538</v>
      </c>
      <c r="F544" s="49"/>
      <c r="G544" s="49"/>
      <c r="H544" s="63">
        <v>14880.27</v>
      </c>
      <c r="I544" s="63">
        <v>15000</v>
      </c>
      <c r="J544" s="64">
        <v>16092.2</v>
      </c>
      <c r="K544" s="64">
        <v>10000</v>
      </c>
      <c r="L544" s="65">
        <v>-1635.48</v>
      </c>
      <c r="M544" s="65">
        <v>10000</v>
      </c>
      <c r="N544" s="66">
        <f t="shared" si="194"/>
        <v>29336.99</v>
      </c>
      <c r="O544" s="66">
        <f>ROUND(I544+K544+M544,5)</f>
        <v>35000</v>
      </c>
      <c r="P544" s="69">
        <f t="shared" si="189"/>
        <v>9778.9966666666678</v>
      </c>
      <c r="Q544" s="69">
        <f t="shared" si="189"/>
        <v>11666.666666666666</v>
      </c>
      <c r="R544" s="54"/>
      <c r="S544" s="49"/>
      <c r="T544" s="49"/>
      <c r="U544" s="49"/>
      <c r="V544" s="49"/>
      <c r="W544" s="49" t="s">
        <v>538</v>
      </c>
      <c r="X544" s="49"/>
      <c r="Y544" s="49"/>
      <c r="Z544" s="66">
        <v>10000</v>
      </c>
      <c r="AA544" s="140"/>
      <c r="AB544" s="66">
        <v>10000</v>
      </c>
      <c r="AC544" s="66">
        <v>10000</v>
      </c>
      <c r="AD544" s="66">
        <v>10000</v>
      </c>
      <c r="AE544" s="66">
        <v>10000</v>
      </c>
      <c r="AF544" s="66">
        <v>10000</v>
      </c>
      <c r="AG544" s="66">
        <v>10000</v>
      </c>
      <c r="AJ544"/>
      <c r="AK544"/>
      <c r="AL544"/>
      <c r="AM544"/>
      <c r="AN544"/>
    </row>
    <row r="545" spans="1:40" x14ac:dyDescent="0.35">
      <c r="A545" s="66"/>
      <c r="B545" s="66"/>
      <c r="C545" s="49"/>
      <c r="D545" s="49"/>
      <c r="E545" s="49" t="s">
        <v>539</v>
      </c>
      <c r="F545" s="49"/>
      <c r="G545" s="49"/>
      <c r="H545" s="63"/>
      <c r="I545" s="63"/>
      <c r="J545" s="64"/>
      <c r="K545" s="64"/>
      <c r="L545" s="65"/>
      <c r="M545" s="65"/>
      <c r="N545" s="66"/>
      <c r="O545" s="66"/>
      <c r="P545" s="69"/>
      <c r="Q545" s="69"/>
      <c r="R545" s="54"/>
      <c r="S545" s="49"/>
      <c r="T545" s="49"/>
      <c r="U545" s="49"/>
      <c r="V545" s="49"/>
      <c r="W545" s="49" t="s">
        <v>539</v>
      </c>
      <c r="X545" s="49"/>
      <c r="Y545" s="49"/>
      <c r="Z545" s="66"/>
      <c r="AA545" s="140"/>
      <c r="AB545" s="66"/>
      <c r="AC545" s="66"/>
      <c r="AD545" s="66"/>
      <c r="AE545" s="66"/>
      <c r="AF545" s="66"/>
      <c r="AG545" s="66"/>
      <c r="AJ545"/>
      <c r="AK545"/>
      <c r="AL545"/>
      <c r="AM545"/>
      <c r="AN545"/>
    </row>
    <row r="546" spans="1:40" x14ac:dyDescent="0.35">
      <c r="A546" s="66"/>
      <c r="B546" s="66"/>
      <c r="C546" s="49"/>
      <c r="D546" s="49"/>
      <c r="E546" s="49"/>
      <c r="F546" s="49" t="s">
        <v>540</v>
      </c>
      <c r="G546" s="49"/>
      <c r="H546" s="63">
        <v>11400</v>
      </c>
      <c r="I546" s="63">
        <v>11970</v>
      </c>
      <c r="J546" s="64">
        <v>11400</v>
      </c>
      <c r="K546" s="64">
        <v>11400</v>
      </c>
      <c r="L546" s="65">
        <v>11400</v>
      </c>
      <c r="M546" s="65">
        <v>11970</v>
      </c>
      <c r="N546" s="66">
        <f t="shared" ref="N546:O550" si="196">ROUND(H546+J546+L546,5)</f>
        <v>34200</v>
      </c>
      <c r="O546" s="66">
        <f t="shared" si="196"/>
        <v>35340</v>
      </c>
      <c r="P546" s="69">
        <f t="shared" si="189"/>
        <v>11400</v>
      </c>
      <c r="Q546" s="69">
        <f t="shared" si="189"/>
        <v>11780</v>
      </c>
      <c r="R546" s="54"/>
      <c r="S546" s="49"/>
      <c r="T546" s="49"/>
      <c r="U546" s="49"/>
      <c r="V546" s="49"/>
      <c r="W546" s="49"/>
      <c r="X546" s="49" t="s">
        <v>540</v>
      </c>
      <c r="Y546" s="49"/>
      <c r="Z546" s="66">
        <v>11970</v>
      </c>
      <c r="AA546" s="140"/>
      <c r="AB546" s="66">
        <v>11970</v>
      </c>
      <c r="AC546" s="66">
        <v>11970</v>
      </c>
      <c r="AD546" s="66">
        <v>11970</v>
      </c>
      <c r="AE546" s="66">
        <v>11970</v>
      </c>
      <c r="AF546" s="66">
        <v>11970</v>
      </c>
      <c r="AG546" s="66">
        <v>11970</v>
      </c>
      <c r="AJ546"/>
      <c r="AK546"/>
      <c r="AL546"/>
      <c r="AM546"/>
      <c r="AN546"/>
    </row>
    <row r="547" spans="1:40" x14ac:dyDescent="0.35">
      <c r="A547" s="66"/>
      <c r="B547" s="66"/>
      <c r="C547" s="49"/>
      <c r="D547" s="49"/>
      <c r="E547" s="49"/>
      <c r="F547" s="49" t="s">
        <v>541</v>
      </c>
      <c r="G547" s="49"/>
      <c r="H547" s="63">
        <v>20000</v>
      </c>
      <c r="I547" s="63">
        <v>20000</v>
      </c>
      <c r="J547" s="64">
        <v>20000.04</v>
      </c>
      <c r="K547" s="64">
        <v>20000</v>
      </c>
      <c r="L547" s="65">
        <v>20000.04</v>
      </c>
      <c r="M547" s="65">
        <v>20000</v>
      </c>
      <c r="N547" s="66">
        <f t="shared" si="196"/>
        <v>60000.08</v>
      </c>
      <c r="O547" s="66">
        <f t="shared" si="196"/>
        <v>60000</v>
      </c>
      <c r="P547" s="69">
        <f t="shared" si="189"/>
        <v>20000.026666666668</v>
      </c>
      <c r="Q547" s="69">
        <f t="shared" si="189"/>
        <v>20000</v>
      </c>
      <c r="R547" s="54"/>
      <c r="S547" s="49"/>
      <c r="T547" s="49"/>
      <c r="U547" s="49"/>
      <c r="V547" s="49"/>
      <c r="W547" s="49"/>
      <c r="X547" s="49" t="s">
        <v>541</v>
      </c>
      <c r="Y547" s="49"/>
      <c r="Z547" s="66">
        <v>21000</v>
      </c>
      <c r="AA547" s="140"/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I547" s="110" t="s">
        <v>946</v>
      </c>
      <c r="AJ547"/>
      <c r="AK547"/>
      <c r="AL547"/>
      <c r="AM547"/>
      <c r="AN547"/>
    </row>
    <row r="548" spans="1:40" ht="16" thickBot="1" x14ac:dyDescent="0.4">
      <c r="A548" s="66"/>
      <c r="B548" s="66"/>
      <c r="C548" s="49"/>
      <c r="D548" s="49"/>
      <c r="E548" s="49"/>
      <c r="F548" s="49" t="s">
        <v>542</v>
      </c>
      <c r="G548" s="49"/>
      <c r="H548" s="70">
        <v>34792.800000000003</v>
      </c>
      <c r="I548" s="70">
        <v>34464</v>
      </c>
      <c r="J548" s="71">
        <v>36880.32</v>
      </c>
      <c r="K548" s="71">
        <v>32823.360000000001</v>
      </c>
      <c r="L548" s="72">
        <v>39093.120000000003</v>
      </c>
      <c r="M548" s="72">
        <v>38724.339999999997</v>
      </c>
      <c r="N548" s="73">
        <f t="shared" si="196"/>
        <v>110766.24</v>
      </c>
      <c r="O548" s="73">
        <f t="shared" si="196"/>
        <v>106011.7</v>
      </c>
      <c r="P548" s="74">
        <f t="shared" si="189"/>
        <v>36922.080000000002</v>
      </c>
      <c r="Q548" s="74">
        <f t="shared" si="189"/>
        <v>35337.23333333333</v>
      </c>
      <c r="R548" s="54"/>
      <c r="S548" s="49"/>
      <c r="T548" s="49"/>
      <c r="U548" s="49"/>
      <c r="V548" s="49"/>
      <c r="W548" s="49"/>
      <c r="X548" s="49" t="s">
        <v>542</v>
      </c>
      <c r="Y548" s="49"/>
      <c r="Z548" s="73">
        <v>41048</v>
      </c>
      <c r="AA548" s="140"/>
      <c r="AB548" s="73">
        <v>75353.289999999994</v>
      </c>
      <c r="AC548" s="73">
        <v>75353.289999999994</v>
      </c>
      <c r="AD548" s="73">
        <v>75353.289999999994</v>
      </c>
      <c r="AE548" s="73">
        <v>75353.289999999994</v>
      </c>
      <c r="AF548" s="73">
        <v>75353.289999999994</v>
      </c>
      <c r="AG548" s="73">
        <v>43000</v>
      </c>
      <c r="AJ548"/>
      <c r="AK548"/>
      <c r="AL548"/>
      <c r="AM548"/>
      <c r="AN548"/>
    </row>
    <row r="549" spans="1:40" ht="16" thickBot="1" x14ac:dyDescent="0.4">
      <c r="A549" s="66"/>
      <c r="B549" s="66"/>
      <c r="C549" s="49"/>
      <c r="D549" s="49"/>
      <c r="E549" s="49" t="s">
        <v>543</v>
      </c>
      <c r="F549" s="49"/>
      <c r="G549" s="49"/>
      <c r="H549" s="63">
        <f t="shared" ref="H549:M549" si="197">ROUND(SUM(H545:H548),5)</f>
        <v>66192.800000000003</v>
      </c>
      <c r="I549" s="63">
        <f t="shared" si="197"/>
        <v>66434</v>
      </c>
      <c r="J549" s="64">
        <f t="shared" si="197"/>
        <v>68280.36</v>
      </c>
      <c r="K549" s="64">
        <f t="shared" si="197"/>
        <v>64223.360000000001</v>
      </c>
      <c r="L549" s="65">
        <f t="shared" si="197"/>
        <v>70493.16</v>
      </c>
      <c r="M549" s="65">
        <f t="shared" si="197"/>
        <v>70694.34</v>
      </c>
      <c r="N549" s="66">
        <f t="shared" si="196"/>
        <v>204966.32</v>
      </c>
      <c r="O549" s="66">
        <f t="shared" si="196"/>
        <v>201351.7</v>
      </c>
      <c r="P549" s="69">
        <f t="shared" si="189"/>
        <v>68322.106666666674</v>
      </c>
      <c r="Q549" s="69">
        <f t="shared" si="189"/>
        <v>67117.233333333337</v>
      </c>
      <c r="R549" s="54"/>
      <c r="S549" s="49"/>
      <c r="T549" s="49"/>
      <c r="U549" s="49"/>
      <c r="V549" s="49"/>
      <c r="W549" s="49" t="s">
        <v>543</v>
      </c>
      <c r="X549" s="49"/>
      <c r="Y549" s="49"/>
      <c r="Z549" s="66">
        <f>ROUND(SUM(Z545:Z548),5)</f>
        <v>74018</v>
      </c>
      <c r="AA549" s="140"/>
      <c r="AB549" s="66">
        <f t="shared" ref="AB549:AG549" si="198">ROUND(SUM(AB545:AB548),5)</f>
        <v>87323.29</v>
      </c>
      <c r="AC549" s="66">
        <f t="shared" si="198"/>
        <v>87323.29</v>
      </c>
      <c r="AD549" s="66">
        <f t="shared" si="198"/>
        <v>87323.29</v>
      </c>
      <c r="AE549" s="66">
        <f t="shared" si="198"/>
        <v>87323.29</v>
      </c>
      <c r="AF549" s="66">
        <f t="shared" si="198"/>
        <v>87323.29</v>
      </c>
      <c r="AG549" s="66">
        <f t="shared" si="198"/>
        <v>54970</v>
      </c>
      <c r="AJ549"/>
      <c r="AK549"/>
      <c r="AL549"/>
      <c r="AM549"/>
      <c r="AN549"/>
    </row>
    <row r="550" spans="1:40" x14ac:dyDescent="0.35">
      <c r="A550" s="66"/>
      <c r="B550" s="66"/>
      <c r="C550" s="49"/>
      <c r="D550" s="49" t="s">
        <v>544</v>
      </c>
      <c r="E550" s="49"/>
      <c r="F550" s="49"/>
      <c r="G550" s="49"/>
      <c r="H550" s="63">
        <f t="shared" ref="H550:M550" si="199">ROUND(SUM(H490:H514)+SUM(H520:H544)+SUM(H549:H549),5)</f>
        <v>820827.03</v>
      </c>
      <c r="I550" s="63">
        <f t="shared" si="199"/>
        <v>933251.5</v>
      </c>
      <c r="J550" s="64">
        <f t="shared" si="199"/>
        <v>885822.56</v>
      </c>
      <c r="K550" s="64">
        <f t="shared" si="199"/>
        <v>789393.59</v>
      </c>
      <c r="L550" s="65">
        <f t="shared" si="199"/>
        <v>1006470.26</v>
      </c>
      <c r="M550" s="65">
        <f t="shared" si="199"/>
        <v>900551.6</v>
      </c>
      <c r="N550" s="66">
        <f t="shared" si="196"/>
        <v>2713119.85</v>
      </c>
      <c r="O550" s="66">
        <f t="shared" si="196"/>
        <v>2623196.69</v>
      </c>
      <c r="P550" s="69">
        <f t="shared" si="189"/>
        <v>904373.28333333333</v>
      </c>
      <c r="Q550" s="69">
        <f t="shared" si="189"/>
        <v>874398.89666666661</v>
      </c>
      <c r="R550" s="54"/>
      <c r="S550" s="49"/>
      <c r="T550" s="49"/>
      <c r="U550" s="49"/>
      <c r="V550" s="49" t="s">
        <v>544</v>
      </c>
      <c r="W550" s="49"/>
      <c r="X550" s="49"/>
      <c r="Y550" s="49"/>
      <c r="Z550" s="78">
        <f>ROUND(SUM(Z490:Z514)+SUM(Z520:Z544)+SUM(Z549:Z549),5)</f>
        <v>979664.82</v>
      </c>
      <c r="AA550" s="140"/>
      <c r="AB550" s="91">
        <f t="shared" ref="AB550:AG550" si="200">ROUND(SUM(AB490:AB514)+SUM(AB520:AB544)+SUM(AB549:AB549),5)</f>
        <v>1013580.17</v>
      </c>
      <c r="AC550" s="91">
        <f t="shared" si="200"/>
        <v>983580.17</v>
      </c>
      <c r="AD550" s="91">
        <f t="shared" si="200"/>
        <v>986099.17</v>
      </c>
      <c r="AE550" s="91">
        <f t="shared" si="200"/>
        <v>985787.17</v>
      </c>
      <c r="AF550" s="91">
        <f t="shared" si="200"/>
        <v>1047700.03</v>
      </c>
      <c r="AG550" s="91">
        <f t="shared" si="200"/>
        <v>1086582</v>
      </c>
      <c r="AJ550"/>
      <c r="AK550"/>
      <c r="AL550"/>
      <c r="AM550"/>
      <c r="AN550"/>
    </row>
    <row r="551" spans="1:40" x14ac:dyDescent="0.35">
      <c r="A551" s="66"/>
      <c r="B551" s="66"/>
      <c r="C551" s="49"/>
      <c r="D551" s="49" t="s">
        <v>545</v>
      </c>
      <c r="E551" s="49"/>
      <c r="F551" s="49"/>
      <c r="G551" s="49"/>
      <c r="H551" s="63"/>
      <c r="I551" s="63"/>
      <c r="J551" s="64"/>
      <c r="K551" s="64"/>
      <c r="L551" s="65"/>
      <c r="M551" s="65"/>
      <c r="N551" s="66"/>
      <c r="O551" s="66"/>
      <c r="P551" s="69"/>
      <c r="Q551" s="69"/>
      <c r="R551" s="54"/>
      <c r="S551" s="49"/>
      <c r="T551" s="49"/>
      <c r="U551" s="49"/>
      <c r="V551" s="49" t="s">
        <v>545</v>
      </c>
      <c r="W551" s="49"/>
      <c r="X551" s="49"/>
      <c r="Y551" s="49"/>
      <c r="Z551" s="66"/>
      <c r="AA551" s="140"/>
      <c r="AB551" s="66"/>
      <c r="AC551" s="66"/>
      <c r="AD551" s="66"/>
      <c r="AE551" s="66"/>
      <c r="AF551" s="66"/>
      <c r="AG551" s="66"/>
    </row>
    <row r="552" spans="1:40" ht="16" thickBot="1" x14ac:dyDescent="0.4">
      <c r="A552" s="66"/>
      <c r="B552" s="66"/>
      <c r="C552" s="49"/>
      <c r="D552" s="49"/>
      <c r="E552" s="49" t="s">
        <v>546</v>
      </c>
      <c r="F552" s="49"/>
      <c r="G552" s="49"/>
      <c r="H552" s="63">
        <v>4568.2</v>
      </c>
      <c r="I552" s="63">
        <v>20000</v>
      </c>
      <c r="J552" s="64">
        <v>4000.49</v>
      </c>
      <c r="K552" s="64">
        <v>30000</v>
      </c>
      <c r="L552" s="65">
        <v>22812.77</v>
      </c>
      <c r="M552" s="65">
        <v>10000</v>
      </c>
      <c r="N552" s="66">
        <f t="shared" ref="N552:O555" si="201">ROUND(H552+J552+L552,5)</f>
        <v>31381.46</v>
      </c>
      <c r="O552" s="66">
        <f t="shared" si="201"/>
        <v>60000</v>
      </c>
      <c r="P552" s="69">
        <f t="shared" si="189"/>
        <v>10460.486666666666</v>
      </c>
      <c r="Q552" s="69">
        <f t="shared" si="189"/>
        <v>20000</v>
      </c>
      <c r="R552" s="54"/>
      <c r="S552" s="49"/>
      <c r="T552" s="49"/>
      <c r="U552" s="49"/>
      <c r="V552" s="49"/>
      <c r="W552" s="49" t="s">
        <v>546</v>
      </c>
      <c r="X552" s="49"/>
      <c r="Y552" s="49"/>
      <c r="Z552" s="66">
        <v>15000</v>
      </c>
      <c r="AA552" s="140"/>
      <c r="AB552" s="66">
        <v>10000</v>
      </c>
      <c r="AC552" s="66">
        <v>10000</v>
      </c>
      <c r="AD552" s="66">
        <v>10000</v>
      </c>
      <c r="AE552" s="66">
        <v>10000</v>
      </c>
      <c r="AF552" s="66">
        <v>10000</v>
      </c>
      <c r="AG552" s="66">
        <v>10000</v>
      </c>
    </row>
    <row r="553" spans="1:40" ht="16" thickBot="1" x14ac:dyDescent="0.4">
      <c r="A553" s="66"/>
      <c r="B553" s="66"/>
      <c r="C553" s="49"/>
      <c r="D553" s="49" t="s">
        <v>547</v>
      </c>
      <c r="E553" s="49"/>
      <c r="F553" s="49"/>
      <c r="G553" s="49"/>
      <c r="H553" s="75">
        <f t="shared" ref="H553:M553" si="202">ROUND(SUM(H551:H552),5)</f>
        <v>4568.2</v>
      </c>
      <c r="I553" s="75">
        <f t="shared" si="202"/>
        <v>20000</v>
      </c>
      <c r="J553" s="76">
        <f t="shared" si="202"/>
        <v>4000.49</v>
      </c>
      <c r="K553" s="76">
        <f t="shared" si="202"/>
        <v>30000</v>
      </c>
      <c r="L553" s="77">
        <f t="shared" si="202"/>
        <v>22812.77</v>
      </c>
      <c r="M553" s="77">
        <f t="shared" si="202"/>
        <v>10000</v>
      </c>
      <c r="N553" s="78">
        <f t="shared" si="201"/>
        <v>31381.46</v>
      </c>
      <c r="O553" s="78">
        <f t="shared" si="201"/>
        <v>60000</v>
      </c>
      <c r="P553" s="79">
        <f t="shared" si="189"/>
        <v>10460.486666666666</v>
      </c>
      <c r="Q553" s="79">
        <f t="shared" si="189"/>
        <v>20000</v>
      </c>
      <c r="R553" s="54"/>
      <c r="S553" s="49"/>
      <c r="T553" s="49"/>
      <c r="U553" s="49"/>
      <c r="V553" s="49" t="s">
        <v>547</v>
      </c>
      <c r="W553" s="49"/>
      <c r="X553" s="49"/>
      <c r="Y553" s="49"/>
      <c r="Z553" s="78">
        <f>ROUND(SUM(Z551:Z552),5)</f>
        <v>15000</v>
      </c>
      <c r="AA553" s="140"/>
      <c r="AB553" s="91">
        <f t="shared" ref="AB553:AG553" si="203">ROUND(SUM(AB551:AB552),5)</f>
        <v>10000</v>
      </c>
      <c r="AC553" s="91">
        <f t="shared" si="203"/>
        <v>10000</v>
      </c>
      <c r="AD553" s="91">
        <f t="shared" si="203"/>
        <v>10000</v>
      </c>
      <c r="AE553" s="91">
        <f t="shared" si="203"/>
        <v>10000</v>
      </c>
      <c r="AF553" s="91">
        <f t="shared" si="203"/>
        <v>10000</v>
      </c>
      <c r="AG553" s="91">
        <f t="shared" si="203"/>
        <v>10000</v>
      </c>
    </row>
    <row r="554" spans="1:40" ht="16" thickBot="1" x14ac:dyDescent="0.4">
      <c r="A554" s="66"/>
      <c r="B554" s="66"/>
      <c r="C554" s="49" t="s">
        <v>548</v>
      </c>
      <c r="D554" s="49"/>
      <c r="E554" s="49"/>
      <c r="F554" s="49"/>
      <c r="G554" s="49"/>
      <c r="H554" s="83">
        <f t="shared" ref="H554:M554" si="204">ROUND(H221+H225+H364+H371+H376+H428+H489+H550+H553,5)</f>
        <v>4602596.84</v>
      </c>
      <c r="I554" s="83">
        <f t="shared" si="204"/>
        <v>4826439.17</v>
      </c>
      <c r="J554" s="84">
        <f t="shared" si="204"/>
        <v>5124859.8899999997</v>
      </c>
      <c r="K554" s="84">
        <f t="shared" si="204"/>
        <v>4876753.51</v>
      </c>
      <c r="L554" s="85">
        <f t="shared" si="204"/>
        <v>5236566.88</v>
      </c>
      <c r="M554" s="85">
        <f t="shared" si="204"/>
        <v>5167354.4800000004</v>
      </c>
      <c r="N554" s="86">
        <f t="shared" si="201"/>
        <v>14964023.609999999</v>
      </c>
      <c r="O554" s="86">
        <f t="shared" si="201"/>
        <v>14870547.16</v>
      </c>
      <c r="P554" s="87">
        <f t="shared" si="189"/>
        <v>4988007.87</v>
      </c>
      <c r="Q554" s="87">
        <f t="shared" si="189"/>
        <v>4956849.0533333337</v>
      </c>
      <c r="R554" s="54"/>
      <c r="S554" s="49"/>
      <c r="T554" s="49"/>
      <c r="U554" s="49" t="s">
        <v>548</v>
      </c>
      <c r="V554" s="49"/>
      <c r="W554" s="49"/>
      <c r="X554" s="49"/>
      <c r="Y554" s="49"/>
      <c r="Z554" s="86">
        <f>ROUND(Z221+Z225+Z364+Z371+Z376+Z428+Z489+Z550+Z553,5)</f>
        <v>5275555.82</v>
      </c>
      <c r="AA554" s="140"/>
      <c r="AB554" s="86">
        <f t="shared" ref="AB554:AG554" si="205">ROUND(AB221+AB225+AB364+AB371+AB376+AB428+AB489+AB550+AB553,5)</f>
        <v>5504831.5764199998</v>
      </c>
      <c r="AC554" s="86">
        <f t="shared" si="205"/>
        <v>5320349.5814199997</v>
      </c>
      <c r="AD554" s="86">
        <f t="shared" si="205"/>
        <v>5361614.52202</v>
      </c>
      <c r="AE554" s="86">
        <f t="shared" si="205"/>
        <v>5353153.41</v>
      </c>
      <c r="AF554" s="86">
        <f t="shared" si="205"/>
        <v>5487840.165</v>
      </c>
      <c r="AG554" s="86">
        <f t="shared" si="205"/>
        <v>5590455.9950000001</v>
      </c>
    </row>
    <row r="555" spans="1:40" x14ac:dyDescent="0.35">
      <c r="A555" s="66"/>
      <c r="B555" s="66" t="s">
        <v>549</v>
      </c>
      <c r="C555" s="49"/>
      <c r="D555" s="49"/>
      <c r="E555" s="49"/>
      <c r="F555" s="49"/>
      <c r="G555" s="49"/>
      <c r="H555" s="63">
        <f t="shared" ref="H555:M555" si="206">ROUND(H5+H220-H554,5)</f>
        <v>-92592.2</v>
      </c>
      <c r="I555" s="63">
        <f t="shared" si="206"/>
        <v>8714.58</v>
      </c>
      <c r="J555" s="64">
        <f t="shared" si="206"/>
        <v>-187378.98</v>
      </c>
      <c r="K555" s="64">
        <f t="shared" si="206"/>
        <v>826.41</v>
      </c>
      <c r="L555" s="65">
        <f t="shared" si="206"/>
        <v>-21575.47</v>
      </c>
      <c r="M555" s="65">
        <f t="shared" si="206"/>
        <v>354.02</v>
      </c>
      <c r="N555" s="66">
        <f t="shared" si="201"/>
        <v>-301546.65000000002</v>
      </c>
      <c r="O555" s="66">
        <f t="shared" si="201"/>
        <v>9895.01</v>
      </c>
      <c r="P555" s="69">
        <f t="shared" si="189"/>
        <v>-100515.55</v>
      </c>
      <c r="Q555" s="69">
        <f t="shared" si="189"/>
        <v>3298.3366666666666</v>
      </c>
      <c r="R555" s="54"/>
      <c r="S555" s="49"/>
      <c r="T555" s="49" t="s">
        <v>549</v>
      </c>
      <c r="U555" s="49"/>
      <c r="V555" s="49"/>
      <c r="W555" s="49"/>
      <c r="X555" s="49"/>
      <c r="Y555" s="49"/>
      <c r="Z555" s="66">
        <f>ROUND(Z5+Z220-Z554,5)</f>
        <v>811.37</v>
      </c>
      <c r="AA555" s="140"/>
      <c r="AB555" s="66">
        <f t="shared" ref="AB555:AF555" si="207">ROUND(AB5+AB220-AB554,5)</f>
        <v>-193160.46642000001</v>
      </c>
      <c r="AC555" s="66">
        <f t="shared" si="207"/>
        <v>-8678.4714199999999</v>
      </c>
      <c r="AD555" s="66">
        <f t="shared" si="207"/>
        <v>15325.98798</v>
      </c>
      <c r="AE555" s="66">
        <f t="shared" si="207"/>
        <v>3787.1</v>
      </c>
      <c r="AF555" s="66">
        <f t="shared" si="207"/>
        <v>22292.035</v>
      </c>
      <c r="AG555" s="66">
        <f>ROUND(AG5+AG220-AG554,0)</f>
        <v>8513</v>
      </c>
    </row>
    <row r="556" spans="1:40" x14ac:dyDescent="0.35">
      <c r="A556" s="66"/>
      <c r="B556" s="66" t="s">
        <v>550</v>
      </c>
      <c r="C556" s="49"/>
      <c r="D556" s="49"/>
      <c r="E556" s="49"/>
      <c r="F556" s="49"/>
      <c r="G556" s="49"/>
      <c r="H556" s="63"/>
      <c r="I556" s="63"/>
      <c r="J556" s="64"/>
      <c r="K556" s="64"/>
      <c r="L556" s="65"/>
      <c r="M556" s="65"/>
      <c r="N556" s="66"/>
      <c r="O556" s="66"/>
      <c r="P556" s="69"/>
      <c r="Q556" s="69"/>
      <c r="R556" s="54"/>
      <c r="S556" s="49"/>
      <c r="T556" s="49" t="s">
        <v>550</v>
      </c>
      <c r="U556" s="49"/>
      <c r="V556" s="49"/>
      <c r="W556" s="49"/>
      <c r="X556" s="49"/>
      <c r="Y556" s="49"/>
      <c r="Z556" s="66"/>
      <c r="AA556" s="140"/>
      <c r="AB556" s="66"/>
      <c r="AC556" s="66"/>
      <c r="AD556" s="66"/>
      <c r="AE556" s="66"/>
      <c r="AF556" s="66"/>
      <c r="AG556" s="66"/>
    </row>
    <row r="557" spans="1:40" x14ac:dyDescent="0.35">
      <c r="A557" s="66"/>
      <c r="B557" s="66"/>
      <c r="C557" s="49" t="s">
        <v>551</v>
      </c>
      <c r="D557" s="49"/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 t="s">
        <v>551</v>
      </c>
      <c r="V557" s="49"/>
      <c r="W557" s="49"/>
      <c r="X557" s="49"/>
      <c r="Y557" s="49"/>
      <c r="Z557" s="66"/>
      <c r="AA557" s="140"/>
      <c r="AB557" s="66"/>
      <c r="AC557" s="66"/>
      <c r="AD557" s="66"/>
      <c r="AE557" s="66"/>
      <c r="AF557" s="66"/>
      <c r="AG557" s="66"/>
    </row>
    <row r="558" spans="1:40" x14ac:dyDescent="0.35">
      <c r="A558" s="66"/>
      <c r="B558" s="66"/>
      <c r="C558" s="49"/>
      <c r="D558" s="49" t="s">
        <v>552</v>
      </c>
      <c r="E558" s="49"/>
      <c r="F558" s="49"/>
      <c r="G558" s="49"/>
      <c r="H558" s="63">
        <v>288386.05</v>
      </c>
      <c r="I558" s="63">
        <v>0</v>
      </c>
      <c r="J558" s="64">
        <v>313714.26</v>
      </c>
      <c r="K558" s="64">
        <v>0</v>
      </c>
      <c r="L558" s="65">
        <v>363433.03</v>
      </c>
      <c r="M558" s="65">
        <v>0</v>
      </c>
      <c r="N558" s="66">
        <f>ROUND(H558+J558+L558,5)</f>
        <v>965533.34</v>
      </c>
      <c r="O558" s="66">
        <f>ROUND(I558+K558+M558,5)</f>
        <v>0</v>
      </c>
      <c r="P558" s="69">
        <f t="shared" si="189"/>
        <v>321844.44666666666</v>
      </c>
      <c r="Q558" s="69">
        <f t="shared" si="189"/>
        <v>0</v>
      </c>
      <c r="R558" s="54"/>
      <c r="S558" s="49"/>
      <c r="T558" s="49"/>
      <c r="U558" s="49"/>
      <c r="V558" s="49" t="s">
        <v>552</v>
      </c>
      <c r="W558" s="49"/>
      <c r="X558" s="49"/>
      <c r="Y558" s="49"/>
      <c r="Z558" s="66"/>
      <c r="AA558" s="140"/>
      <c r="AB558" s="66"/>
      <c r="AC558" s="66"/>
      <c r="AD558" s="66"/>
      <c r="AE558" s="66"/>
      <c r="AF558" s="66"/>
      <c r="AG558" s="66"/>
    </row>
    <row r="559" spans="1:40" x14ac:dyDescent="0.35">
      <c r="A559" s="66"/>
      <c r="B559" s="66"/>
      <c r="C559" s="49"/>
      <c r="D559" s="49" t="s">
        <v>553</v>
      </c>
      <c r="E559" s="49"/>
      <c r="F559" s="49"/>
      <c r="G559" s="49"/>
      <c r="H559" s="63"/>
      <c r="I559" s="63"/>
      <c r="J559" s="64"/>
      <c r="K559" s="64"/>
      <c r="L559" s="65"/>
      <c r="M559" s="65"/>
      <c r="N559" s="66"/>
      <c r="O559" s="66"/>
      <c r="P559" s="69"/>
      <c r="Q559" s="69"/>
      <c r="R559" s="54"/>
      <c r="S559" s="49"/>
      <c r="T559" s="49"/>
      <c r="U559" s="49"/>
      <c r="V559" s="49" t="s">
        <v>553</v>
      </c>
      <c r="W559" s="49"/>
      <c r="X559" s="49"/>
      <c r="Y559" s="49"/>
      <c r="Z559" s="66"/>
      <c r="AA559" s="140"/>
      <c r="AB559" s="66"/>
      <c r="AC559" s="66"/>
      <c r="AD559" s="66"/>
      <c r="AE559" s="66"/>
      <c r="AF559" s="66"/>
      <c r="AG559" s="66"/>
    </row>
    <row r="560" spans="1:40" x14ac:dyDescent="0.35">
      <c r="A560" s="66"/>
      <c r="B560" s="66"/>
      <c r="C560" s="49"/>
      <c r="D560" s="49"/>
      <c r="E560" s="49" t="s">
        <v>554</v>
      </c>
      <c r="F560" s="49"/>
      <c r="G560" s="49"/>
      <c r="H560" s="63">
        <v>0</v>
      </c>
      <c r="I560" s="63">
        <v>0</v>
      </c>
      <c r="J560" s="64">
        <v>0</v>
      </c>
      <c r="K560" s="64">
        <v>0</v>
      </c>
      <c r="L560" s="65">
        <v>0</v>
      </c>
      <c r="M560" s="65">
        <v>0</v>
      </c>
      <c r="N560" s="66">
        <f t="shared" ref="N560:O565" si="208">ROUND(H560+J560+L560,5)</f>
        <v>0</v>
      </c>
      <c r="O560" s="66">
        <f t="shared" si="208"/>
        <v>0</v>
      </c>
      <c r="P560" s="69">
        <f t="shared" si="189"/>
        <v>0</v>
      </c>
      <c r="Q560" s="69">
        <f t="shared" si="189"/>
        <v>0</v>
      </c>
      <c r="R560" s="54"/>
      <c r="S560" s="49"/>
      <c r="T560" s="49"/>
      <c r="U560" s="49"/>
      <c r="V560" s="49"/>
      <c r="W560" s="49" t="s">
        <v>554</v>
      </c>
      <c r="X560" s="49"/>
      <c r="Y560" s="49"/>
      <c r="Z560" s="66"/>
      <c r="AA560" s="140"/>
      <c r="AB560" s="66"/>
      <c r="AC560" s="66"/>
      <c r="AD560" s="66"/>
      <c r="AE560" s="66"/>
      <c r="AF560" s="66"/>
      <c r="AG560" s="66"/>
    </row>
    <row r="561" spans="1:33" x14ac:dyDescent="0.35">
      <c r="A561" s="66"/>
      <c r="B561" s="66"/>
      <c r="C561" s="49"/>
      <c r="D561" s="49"/>
      <c r="E561" s="49" t="s">
        <v>555</v>
      </c>
      <c r="F561" s="49"/>
      <c r="G561" s="49"/>
      <c r="H561" s="63">
        <v>0</v>
      </c>
      <c r="I561" s="63">
        <v>0</v>
      </c>
      <c r="J561" s="64">
        <v>0</v>
      </c>
      <c r="K561" s="64">
        <v>0</v>
      </c>
      <c r="L561" s="65">
        <v>0</v>
      </c>
      <c r="M561" s="65">
        <v>0</v>
      </c>
      <c r="N561" s="66">
        <f t="shared" si="208"/>
        <v>0</v>
      </c>
      <c r="O561" s="66">
        <f t="shared" si="208"/>
        <v>0</v>
      </c>
      <c r="P561" s="69">
        <f t="shared" si="189"/>
        <v>0</v>
      </c>
      <c r="Q561" s="69">
        <f t="shared" si="189"/>
        <v>0</v>
      </c>
      <c r="R561" s="54"/>
      <c r="S561" s="49"/>
      <c r="T561" s="49"/>
      <c r="U561" s="49"/>
      <c r="V561" s="49"/>
      <c r="W561" s="49" t="s">
        <v>555</v>
      </c>
      <c r="X561" s="49"/>
      <c r="Y561" s="49"/>
      <c r="Z561" s="66"/>
      <c r="AA561" s="140"/>
      <c r="AB561" s="66"/>
      <c r="AC561" s="66"/>
      <c r="AD561" s="66"/>
      <c r="AE561" s="66"/>
      <c r="AF561" s="66"/>
      <c r="AG561" s="66"/>
    </row>
    <row r="562" spans="1:33" x14ac:dyDescent="0.35">
      <c r="A562" s="66"/>
      <c r="B562" s="66"/>
      <c r="C562" s="49"/>
      <c r="D562" s="49"/>
      <c r="E562" s="49" t="s">
        <v>556</v>
      </c>
      <c r="F562" s="49"/>
      <c r="G562" s="49"/>
      <c r="H562" s="63">
        <v>10930.61</v>
      </c>
      <c r="I562" s="63">
        <v>0</v>
      </c>
      <c r="J562" s="64">
        <v>16392.32</v>
      </c>
      <c r="K562" s="64">
        <v>0</v>
      </c>
      <c r="L562" s="65">
        <v>17337.490000000002</v>
      </c>
      <c r="M562" s="65">
        <v>0</v>
      </c>
      <c r="N562" s="66">
        <f t="shared" si="208"/>
        <v>44660.42</v>
      </c>
      <c r="O562" s="66">
        <f t="shared" si="208"/>
        <v>0</v>
      </c>
      <c r="P562" s="69">
        <f t="shared" si="189"/>
        <v>14886.806666666665</v>
      </c>
      <c r="Q562" s="69">
        <f t="shared" si="189"/>
        <v>0</v>
      </c>
      <c r="R562" s="54"/>
      <c r="S562" s="49"/>
      <c r="T562" s="49"/>
      <c r="U562" s="49"/>
      <c r="V562" s="49"/>
      <c r="W562" s="49" t="s">
        <v>556</v>
      </c>
      <c r="X562" s="49"/>
      <c r="Y562" s="49"/>
      <c r="Z562" s="66"/>
      <c r="AA562" s="140"/>
      <c r="AB562" s="66"/>
      <c r="AC562" s="66"/>
      <c r="AD562" s="66"/>
      <c r="AE562" s="66"/>
      <c r="AF562" s="66"/>
      <c r="AG562" s="66"/>
    </row>
    <row r="563" spans="1:33" x14ac:dyDescent="0.35">
      <c r="A563" s="66"/>
      <c r="B563" s="66"/>
      <c r="C563" s="49"/>
      <c r="D563" s="49"/>
      <c r="E563" s="49" t="s">
        <v>557</v>
      </c>
      <c r="F563" s="49"/>
      <c r="G563" s="49"/>
      <c r="H563" s="63">
        <v>12442.84</v>
      </c>
      <c r="I563" s="63">
        <v>0</v>
      </c>
      <c r="J563" s="64">
        <v>10602.84</v>
      </c>
      <c r="K563" s="64">
        <v>0</v>
      </c>
      <c r="L563" s="65">
        <v>10395.5</v>
      </c>
      <c r="M563" s="65">
        <v>0</v>
      </c>
      <c r="N563" s="66">
        <f t="shared" si="208"/>
        <v>33441.18</v>
      </c>
      <c r="O563" s="66">
        <f t="shared" si="208"/>
        <v>0</v>
      </c>
      <c r="P563" s="69">
        <f t="shared" si="189"/>
        <v>11147.06</v>
      </c>
      <c r="Q563" s="69">
        <f t="shared" si="189"/>
        <v>0</v>
      </c>
      <c r="R563" s="54"/>
      <c r="S563" s="49"/>
      <c r="T563" s="49"/>
      <c r="U563" s="49"/>
      <c r="V563" s="49"/>
      <c r="W563" s="49" t="s">
        <v>557</v>
      </c>
      <c r="X563" s="49"/>
      <c r="Y563" s="49"/>
      <c r="Z563" s="66"/>
      <c r="AA563" s="140"/>
      <c r="AB563" s="66"/>
      <c r="AC563" s="66"/>
      <c r="AD563" s="66"/>
      <c r="AE563" s="66"/>
      <c r="AF563" s="66"/>
      <c r="AG563" s="66"/>
    </row>
    <row r="564" spans="1:33" ht="16" thickBot="1" x14ac:dyDescent="0.4">
      <c r="A564" s="66"/>
      <c r="B564" s="66"/>
      <c r="C564" s="49"/>
      <c r="D564" s="49"/>
      <c r="E564" s="49" t="s">
        <v>558</v>
      </c>
      <c r="F564" s="49"/>
      <c r="G564" s="49"/>
      <c r="H564" s="70">
        <v>1000</v>
      </c>
      <c r="I564" s="70">
        <v>0</v>
      </c>
      <c r="J564" s="71">
        <v>1000</v>
      </c>
      <c r="K564" s="64">
        <v>0</v>
      </c>
      <c r="L564" s="72">
        <v>1000</v>
      </c>
      <c r="M564" s="65">
        <v>0</v>
      </c>
      <c r="N564" s="73">
        <f t="shared" si="208"/>
        <v>3000</v>
      </c>
      <c r="O564" s="73">
        <f t="shared" si="208"/>
        <v>0</v>
      </c>
      <c r="P564" s="74">
        <f t="shared" si="189"/>
        <v>1000</v>
      </c>
      <c r="Q564" s="74">
        <f t="shared" si="189"/>
        <v>0</v>
      </c>
      <c r="R564" s="54"/>
      <c r="S564" s="49"/>
      <c r="T564" s="49"/>
      <c r="U564" s="49"/>
      <c r="V564" s="49"/>
      <c r="W564" s="49" t="s">
        <v>558</v>
      </c>
      <c r="X564" s="49"/>
      <c r="Y564" s="49"/>
      <c r="Z564" s="66"/>
      <c r="AA564" s="140"/>
      <c r="AB564" s="66"/>
      <c r="AC564" s="66"/>
      <c r="AD564" s="66"/>
      <c r="AE564" s="66"/>
      <c r="AF564" s="66"/>
      <c r="AG564" s="66"/>
    </row>
    <row r="565" spans="1:33" x14ac:dyDescent="0.35">
      <c r="A565" s="66"/>
      <c r="B565" s="66"/>
      <c r="C565" s="49"/>
      <c r="D565" s="49" t="s">
        <v>559</v>
      </c>
      <c r="E565" s="49"/>
      <c r="F565" s="49"/>
      <c r="G565" s="49"/>
      <c r="H565" s="63">
        <f t="shared" ref="H565:M565" si="209">ROUND(SUM(H559:H564),5)</f>
        <v>24373.45</v>
      </c>
      <c r="I565" s="63">
        <f t="shared" si="209"/>
        <v>0</v>
      </c>
      <c r="J565" s="64">
        <f t="shared" si="209"/>
        <v>27995.16</v>
      </c>
      <c r="K565" s="76">
        <f t="shared" si="209"/>
        <v>0</v>
      </c>
      <c r="L565" s="65">
        <f t="shared" si="209"/>
        <v>28732.99</v>
      </c>
      <c r="M565" s="77">
        <f t="shared" si="209"/>
        <v>0</v>
      </c>
      <c r="N565" s="66">
        <f t="shared" si="208"/>
        <v>81101.600000000006</v>
      </c>
      <c r="O565" s="66">
        <f t="shared" si="208"/>
        <v>0</v>
      </c>
      <c r="P565" s="69">
        <f t="shared" si="189"/>
        <v>27033.866666666669</v>
      </c>
      <c r="Q565" s="69">
        <f t="shared" si="189"/>
        <v>0</v>
      </c>
      <c r="R565" s="54"/>
      <c r="S565" s="49"/>
      <c r="T565" s="49"/>
      <c r="U565" s="49"/>
      <c r="V565" s="49" t="s">
        <v>559</v>
      </c>
      <c r="W565" s="49"/>
      <c r="X565" s="49"/>
      <c r="Y565" s="49"/>
      <c r="Z565" s="66"/>
      <c r="AA565" s="140"/>
      <c r="AB565" s="66"/>
      <c r="AC565" s="66"/>
      <c r="AD565" s="66"/>
      <c r="AE565" s="66"/>
      <c r="AF565" s="66"/>
      <c r="AG565" s="66"/>
    </row>
    <row r="566" spans="1:33" x14ac:dyDescent="0.35">
      <c r="A566" s="66"/>
      <c r="B566" s="66"/>
      <c r="C566" s="49"/>
      <c r="D566" s="49" t="s">
        <v>560</v>
      </c>
      <c r="E566" s="49"/>
      <c r="F566" s="49"/>
      <c r="G566" s="49"/>
      <c r="H566" s="63"/>
      <c r="I566" s="63"/>
      <c r="J566" s="64"/>
      <c r="K566" s="64"/>
      <c r="L566" s="65"/>
      <c r="M566" s="65"/>
      <c r="N566" s="66"/>
      <c r="O566" s="66"/>
      <c r="P566" s="69"/>
      <c r="Q566" s="69"/>
      <c r="R566" s="54"/>
      <c r="S566" s="49"/>
      <c r="T566" s="49"/>
      <c r="U566" s="49"/>
      <c r="V566" s="49" t="s">
        <v>560</v>
      </c>
      <c r="W566" s="49"/>
      <c r="X566" s="49"/>
      <c r="Y566" s="49"/>
      <c r="Z566" s="66"/>
      <c r="AA566" s="140"/>
      <c r="AB566" s="66"/>
      <c r="AC566" s="66"/>
      <c r="AD566" s="66"/>
      <c r="AE566" s="66"/>
      <c r="AF566" s="66"/>
      <c r="AG566" s="66"/>
    </row>
    <row r="567" spans="1:33" x14ac:dyDescent="0.35">
      <c r="A567" s="66"/>
      <c r="B567" s="66"/>
      <c r="C567" s="49"/>
      <c r="D567" s="49"/>
      <c r="E567" s="49" t="s">
        <v>561</v>
      </c>
      <c r="F567" s="49"/>
      <c r="G567" s="49"/>
      <c r="H567" s="63">
        <v>558.27</v>
      </c>
      <c r="I567" s="63">
        <v>0</v>
      </c>
      <c r="J567" s="64">
        <v>-985.85</v>
      </c>
      <c r="K567" s="64">
        <v>0</v>
      </c>
      <c r="L567" s="65">
        <v>6774.89</v>
      </c>
      <c r="M567" s="65">
        <v>0</v>
      </c>
      <c r="N567" s="66">
        <f t="shared" ref="N567:O571" si="210">ROUND(H567+J567+L567,5)</f>
        <v>6347.31</v>
      </c>
      <c r="O567" s="66">
        <f t="shared" si="210"/>
        <v>0</v>
      </c>
      <c r="P567" s="69">
        <f t="shared" si="189"/>
        <v>2115.77</v>
      </c>
      <c r="Q567" s="69">
        <f t="shared" si="189"/>
        <v>0</v>
      </c>
      <c r="R567" s="54"/>
      <c r="S567" s="49"/>
      <c r="T567" s="49"/>
      <c r="U567" s="49"/>
      <c r="V567" s="49"/>
      <c r="W567" s="49" t="s">
        <v>561</v>
      </c>
      <c r="X567" s="49"/>
      <c r="Y567" s="49"/>
      <c r="Z567" s="66"/>
      <c r="AA567" s="140"/>
      <c r="AB567" s="66"/>
      <c r="AC567" s="66"/>
      <c r="AD567" s="66"/>
      <c r="AE567" s="66"/>
      <c r="AF567" s="66"/>
      <c r="AG567" s="66"/>
    </row>
    <row r="568" spans="1:33" x14ac:dyDescent="0.35">
      <c r="A568" s="66"/>
      <c r="B568" s="66"/>
      <c r="C568" s="49"/>
      <c r="D568" s="49"/>
      <c r="E568" s="49" t="s">
        <v>562</v>
      </c>
      <c r="F568" s="49"/>
      <c r="G568" s="49"/>
      <c r="H568" s="63">
        <v>0</v>
      </c>
      <c r="I568" s="63">
        <v>0</v>
      </c>
      <c r="J568" s="64">
        <v>0</v>
      </c>
      <c r="K568" s="64">
        <v>0</v>
      </c>
      <c r="L568" s="65">
        <v>-58.71</v>
      </c>
      <c r="M568" s="65">
        <v>0</v>
      </c>
      <c r="N568" s="66">
        <f t="shared" si="210"/>
        <v>-58.71</v>
      </c>
      <c r="O568" s="66">
        <f t="shared" si="210"/>
        <v>0</v>
      </c>
      <c r="P568" s="69">
        <f t="shared" si="189"/>
        <v>-19.57</v>
      </c>
      <c r="Q568" s="69">
        <f t="shared" si="189"/>
        <v>0</v>
      </c>
      <c r="R568" s="54"/>
      <c r="S568" s="49"/>
      <c r="T568" s="49"/>
      <c r="U568" s="49"/>
      <c r="V568" s="49"/>
      <c r="W568" s="49" t="s">
        <v>562</v>
      </c>
      <c r="X568" s="49"/>
      <c r="Y568" s="49"/>
      <c r="Z568" s="66"/>
      <c r="AA568" s="140"/>
      <c r="AB568" s="66"/>
      <c r="AC568" s="66"/>
      <c r="AD568" s="66"/>
      <c r="AE568" s="66"/>
      <c r="AF568" s="66"/>
      <c r="AG568" s="66"/>
    </row>
    <row r="569" spans="1:33" ht="16" thickBot="1" x14ac:dyDescent="0.4">
      <c r="A569" s="66"/>
      <c r="B569" s="66"/>
      <c r="C569" s="49"/>
      <c r="D569" s="49"/>
      <c r="E569" s="49" t="s">
        <v>563</v>
      </c>
      <c r="F569" s="49"/>
      <c r="G569" s="49"/>
      <c r="H569" s="63">
        <v>136732.6</v>
      </c>
      <c r="I569" s="63">
        <v>0</v>
      </c>
      <c r="J569" s="64">
        <v>235676.86</v>
      </c>
      <c r="K569" s="64">
        <v>0</v>
      </c>
      <c r="L569" s="65">
        <v>195303.78</v>
      </c>
      <c r="M569" s="65">
        <v>0</v>
      </c>
      <c r="N569" s="66">
        <f t="shared" si="210"/>
        <v>567713.24</v>
      </c>
      <c r="O569" s="66">
        <f t="shared" si="210"/>
        <v>0</v>
      </c>
      <c r="P569" s="69">
        <f t="shared" si="189"/>
        <v>189237.74666666667</v>
      </c>
      <c r="Q569" s="69">
        <f t="shared" si="189"/>
        <v>0</v>
      </c>
      <c r="R569" s="54"/>
      <c r="S569" s="49"/>
      <c r="T569" s="49"/>
      <c r="U569" s="49"/>
      <c r="V569" s="49"/>
      <c r="W569" s="49" t="s">
        <v>563</v>
      </c>
      <c r="X569" s="49"/>
      <c r="Y569" s="49"/>
      <c r="Z569" s="66"/>
      <c r="AA569" s="140"/>
      <c r="AB569" s="66"/>
      <c r="AC569" s="66"/>
      <c r="AD569" s="66"/>
      <c r="AE569" s="66"/>
      <c r="AF569" s="66"/>
      <c r="AG569" s="66"/>
    </row>
    <row r="570" spans="1:33" ht="16" thickBot="1" x14ac:dyDescent="0.4">
      <c r="A570" s="66"/>
      <c r="B570" s="66"/>
      <c r="C570" s="49"/>
      <c r="D570" s="49" t="s">
        <v>564</v>
      </c>
      <c r="E570" s="49"/>
      <c r="F570" s="49"/>
      <c r="G570" s="49"/>
      <c r="H570" s="83">
        <f t="shared" ref="H570:M570" si="211">ROUND(SUM(H566:H569),5)</f>
        <v>137290.87</v>
      </c>
      <c r="I570" s="83">
        <f t="shared" si="211"/>
        <v>0</v>
      </c>
      <c r="J570" s="84">
        <f t="shared" si="211"/>
        <v>234691.01</v>
      </c>
      <c r="K570" s="84">
        <f t="shared" si="211"/>
        <v>0</v>
      </c>
      <c r="L570" s="85">
        <f t="shared" si="211"/>
        <v>202019.96</v>
      </c>
      <c r="M570" s="85">
        <f t="shared" si="211"/>
        <v>0</v>
      </c>
      <c r="N570" s="86">
        <f t="shared" si="210"/>
        <v>574001.84</v>
      </c>
      <c r="O570" s="86">
        <f t="shared" si="210"/>
        <v>0</v>
      </c>
      <c r="P570" s="87">
        <f t="shared" si="189"/>
        <v>191333.94666666666</v>
      </c>
      <c r="Q570" s="87">
        <f t="shared" si="189"/>
        <v>0</v>
      </c>
      <c r="R570" s="54"/>
      <c r="S570" s="49"/>
      <c r="T570" s="49"/>
      <c r="U570" s="49"/>
      <c r="V570" s="49" t="s">
        <v>564</v>
      </c>
      <c r="W570" s="49"/>
      <c r="X570" s="49"/>
      <c r="Y570" s="49"/>
      <c r="Z570" s="66"/>
      <c r="AA570" s="140"/>
      <c r="AB570" s="66"/>
      <c r="AC570" s="66"/>
      <c r="AD570" s="66"/>
      <c r="AE570" s="66"/>
      <c r="AF570" s="66"/>
      <c r="AG570" s="66"/>
    </row>
    <row r="571" spans="1:33" x14ac:dyDescent="0.35">
      <c r="A571" s="66"/>
      <c r="B571" s="66"/>
      <c r="C571" s="49" t="s">
        <v>565</v>
      </c>
      <c r="D571" s="49"/>
      <c r="E571" s="49"/>
      <c r="F571" s="49"/>
      <c r="G571" s="49"/>
      <c r="H571" s="63">
        <f t="shared" ref="H571:M571" si="212">ROUND(SUM(H557:H558)+H565+H570,5)</f>
        <v>450050.37</v>
      </c>
      <c r="I571" s="63">
        <f t="shared" si="212"/>
        <v>0</v>
      </c>
      <c r="J571" s="64">
        <f t="shared" si="212"/>
        <v>576400.43000000005</v>
      </c>
      <c r="K571" s="64">
        <f t="shared" si="212"/>
        <v>0</v>
      </c>
      <c r="L571" s="65">
        <f t="shared" si="212"/>
        <v>594185.98</v>
      </c>
      <c r="M571" s="65">
        <f t="shared" si="212"/>
        <v>0</v>
      </c>
      <c r="N571" s="66">
        <f t="shared" si="210"/>
        <v>1620636.78</v>
      </c>
      <c r="O571" s="66">
        <f t="shared" si="210"/>
        <v>0</v>
      </c>
      <c r="P571" s="69">
        <f t="shared" si="189"/>
        <v>540212.26</v>
      </c>
      <c r="Q571" s="69">
        <f t="shared" si="189"/>
        <v>0</v>
      </c>
      <c r="R571" s="54"/>
      <c r="S571" s="49"/>
      <c r="T571" s="49"/>
      <c r="U571" s="49" t="s">
        <v>565</v>
      </c>
      <c r="V571" s="49"/>
      <c r="W571" s="49"/>
      <c r="X571" s="49"/>
      <c r="Y571" s="49"/>
      <c r="Z571" s="66"/>
      <c r="AA571" s="140"/>
      <c r="AB571" s="66"/>
      <c r="AC571" s="66"/>
      <c r="AD571" s="66"/>
      <c r="AE571" s="66"/>
      <c r="AF571" s="66"/>
      <c r="AG571" s="66"/>
    </row>
    <row r="572" spans="1:33" x14ac:dyDescent="0.35">
      <c r="A572" s="66"/>
      <c r="B572" s="66"/>
      <c r="C572" s="49" t="s">
        <v>566</v>
      </c>
      <c r="D572" s="49"/>
      <c r="E572" s="49"/>
      <c r="F572" s="49"/>
      <c r="G572" s="49"/>
      <c r="H572" s="63"/>
      <c r="I572" s="63"/>
      <c r="J572" s="64"/>
      <c r="K572" s="64"/>
      <c r="L572" s="65"/>
      <c r="M572" s="65"/>
      <c r="N572" s="66"/>
      <c r="O572" s="66"/>
      <c r="P572" s="69"/>
      <c r="Q572" s="69"/>
      <c r="R572" s="54"/>
      <c r="S572" s="49"/>
      <c r="T572" s="49"/>
      <c r="U572" s="49" t="s">
        <v>566</v>
      </c>
      <c r="V572" s="49"/>
      <c r="W572" s="49"/>
      <c r="X572" s="49"/>
      <c r="Y572" s="49"/>
      <c r="Z572" s="66"/>
      <c r="AA572" s="140"/>
      <c r="AB572" s="66"/>
      <c r="AC572" s="66"/>
      <c r="AD572" s="66"/>
      <c r="AE572" s="66"/>
      <c r="AF572" s="66"/>
      <c r="AG572" s="66"/>
    </row>
    <row r="573" spans="1:33" x14ac:dyDescent="0.35">
      <c r="A573" s="66"/>
      <c r="B573" s="66"/>
      <c r="C573" s="49"/>
      <c r="D573" s="49" t="s">
        <v>567</v>
      </c>
      <c r="E573" s="49"/>
      <c r="F573" s="49"/>
      <c r="G573" s="49"/>
      <c r="H573" s="63"/>
      <c r="I573" s="63"/>
      <c r="J573" s="64"/>
      <c r="K573" s="64"/>
      <c r="L573" s="65"/>
      <c r="M573" s="65"/>
      <c r="N573" s="66"/>
      <c r="O573" s="66"/>
      <c r="P573" s="69"/>
      <c r="Q573" s="69"/>
      <c r="R573" s="54"/>
      <c r="S573" s="49"/>
      <c r="T573" s="49"/>
      <c r="U573" s="49"/>
      <c r="V573" s="49" t="s">
        <v>567</v>
      </c>
      <c r="W573" s="49"/>
      <c r="X573" s="49"/>
      <c r="Y573" s="49"/>
      <c r="Z573" s="66"/>
      <c r="AA573" s="140"/>
      <c r="AB573" s="66"/>
      <c r="AC573" s="66"/>
      <c r="AD573" s="66"/>
      <c r="AE573" s="66"/>
      <c r="AF573" s="66"/>
      <c r="AG573" s="66"/>
    </row>
    <row r="574" spans="1:33" x14ac:dyDescent="0.35">
      <c r="A574" s="66"/>
      <c r="B574" s="66"/>
      <c r="C574" s="49"/>
      <c r="D574" s="49"/>
      <c r="E574" s="49" t="s">
        <v>568</v>
      </c>
      <c r="F574" s="49"/>
      <c r="G574" s="49"/>
      <c r="H574" s="63">
        <v>541.88</v>
      </c>
      <c r="I574" s="63">
        <v>0</v>
      </c>
      <c r="J574" s="64">
        <v>554.29999999999995</v>
      </c>
      <c r="K574" s="64">
        <v>0</v>
      </c>
      <c r="L574" s="65">
        <v>645.24</v>
      </c>
      <c r="M574" s="65">
        <v>0</v>
      </c>
      <c r="N574" s="66">
        <f t="shared" ref="N574:O582" si="213">ROUND(H574+J574+L574,5)</f>
        <v>1741.42</v>
      </c>
      <c r="O574" s="66">
        <f t="shared" si="213"/>
        <v>0</v>
      </c>
      <c r="P574" s="69">
        <f t="shared" ref="P574:Q582" si="214">N574/3</f>
        <v>580.47333333333336</v>
      </c>
      <c r="Q574" s="69">
        <f t="shared" si="214"/>
        <v>0</v>
      </c>
      <c r="R574" s="54"/>
      <c r="S574" s="49"/>
      <c r="T574" s="49"/>
      <c r="U574" s="49"/>
      <c r="V574" s="49"/>
      <c r="W574" s="49" t="s">
        <v>568</v>
      </c>
      <c r="X574" s="49"/>
      <c r="Y574" s="49"/>
      <c r="Z574" s="66"/>
      <c r="AA574" s="140"/>
      <c r="AB574" s="66"/>
      <c r="AC574" s="66"/>
      <c r="AD574" s="66"/>
      <c r="AE574" s="66"/>
      <c r="AF574" s="66"/>
      <c r="AG574" s="66"/>
    </row>
    <row r="575" spans="1:33" x14ac:dyDescent="0.35">
      <c r="A575" s="66"/>
      <c r="B575" s="66"/>
      <c r="C575" s="49"/>
      <c r="D575" s="49"/>
      <c r="E575" s="49" t="s">
        <v>569</v>
      </c>
      <c r="F575" s="49"/>
      <c r="G575" s="49"/>
      <c r="H575" s="63">
        <v>0</v>
      </c>
      <c r="I575" s="63">
        <v>0</v>
      </c>
      <c r="J575" s="64">
        <v>0</v>
      </c>
      <c r="K575" s="64">
        <v>0</v>
      </c>
      <c r="L575" s="65">
        <v>0</v>
      </c>
      <c r="M575" s="65">
        <v>0</v>
      </c>
      <c r="N575" s="66">
        <f t="shared" si="213"/>
        <v>0</v>
      </c>
      <c r="O575" s="66">
        <f t="shared" si="213"/>
        <v>0</v>
      </c>
      <c r="P575" s="69">
        <f t="shared" si="214"/>
        <v>0</v>
      </c>
      <c r="Q575" s="69">
        <f t="shared" si="214"/>
        <v>0</v>
      </c>
      <c r="R575" s="54"/>
      <c r="S575" s="49"/>
      <c r="T575" s="49"/>
      <c r="U575" s="49"/>
      <c r="V575" s="49"/>
      <c r="W575" s="49" t="s">
        <v>569</v>
      </c>
      <c r="X575" s="49"/>
      <c r="Y575" s="49"/>
      <c r="Z575" s="66"/>
      <c r="AA575" s="143"/>
      <c r="AB575" s="66"/>
      <c r="AC575" s="66"/>
      <c r="AD575" s="66"/>
      <c r="AE575" s="66"/>
      <c r="AF575" s="66"/>
      <c r="AG575" s="66"/>
    </row>
    <row r="576" spans="1:33" x14ac:dyDescent="0.35">
      <c r="A576" s="66"/>
      <c r="B576" s="66"/>
      <c r="C576" s="49"/>
      <c r="D576" s="49"/>
      <c r="E576" s="49" t="s">
        <v>570</v>
      </c>
      <c r="F576" s="49"/>
      <c r="G576" s="49"/>
      <c r="H576" s="63">
        <v>2500</v>
      </c>
      <c r="I576" s="63">
        <v>0</v>
      </c>
      <c r="J576" s="64">
        <v>4000</v>
      </c>
      <c r="K576" s="64">
        <v>0</v>
      </c>
      <c r="L576" s="65">
        <v>4500</v>
      </c>
      <c r="M576" s="65">
        <v>0</v>
      </c>
      <c r="N576" s="66">
        <f t="shared" si="213"/>
        <v>11000</v>
      </c>
      <c r="O576" s="66">
        <f t="shared" si="213"/>
        <v>0</v>
      </c>
      <c r="P576" s="69">
        <f t="shared" si="214"/>
        <v>3666.6666666666665</v>
      </c>
      <c r="Q576" s="69">
        <f t="shared" si="214"/>
        <v>0</v>
      </c>
      <c r="R576" s="54"/>
      <c r="S576" s="49"/>
      <c r="T576" s="49"/>
      <c r="U576" s="49"/>
      <c r="V576" s="49"/>
      <c r="W576" s="49" t="s">
        <v>570</v>
      </c>
      <c r="X576" s="49"/>
      <c r="Y576" s="49"/>
      <c r="Z576" s="66"/>
      <c r="AA576" s="140"/>
      <c r="AB576" s="66"/>
      <c r="AC576" s="66"/>
      <c r="AD576" s="66"/>
      <c r="AE576" s="66"/>
      <c r="AF576" s="66"/>
      <c r="AG576" s="66"/>
    </row>
    <row r="577" spans="1:35" ht="16" thickBot="1" x14ac:dyDescent="0.4">
      <c r="A577" s="66"/>
      <c r="B577" s="66"/>
      <c r="C577" s="49"/>
      <c r="D577" s="49"/>
      <c r="E577" s="49" t="s">
        <v>571</v>
      </c>
      <c r="F577" s="49"/>
      <c r="G577" s="49"/>
      <c r="H577" s="70">
        <v>21487.599999999999</v>
      </c>
      <c r="I577" s="70">
        <v>0</v>
      </c>
      <c r="J577" s="71">
        <v>19409.990000000002</v>
      </c>
      <c r="K577" s="64">
        <v>0</v>
      </c>
      <c r="L577" s="72">
        <v>19578.830000000002</v>
      </c>
      <c r="M577" s="65">
        <v>0</v>
      </c>
      <c r="N577" s="73">
        <f t="shared" si="213"/>
        <v>60476.42</v>
      </c>
      <c r="O577" s="73">
        <f t="shared" si="213"/>
        <v>0</v>
      </c>
      <c r="P577" s="74">
        <f t="shared" si="214"/>
        <v>20158.806666666667</v>
      </c>
      <c r="Q577" s="74">
        <f t="shared" si="214"/>
        <v>0</v>
      </c>
      <c r="R577" s="54"/>
      <c r="S577" s="49"/>
      <c r="T577" s="49"/>
      <c r="U577" s="49"/>
      <c r="V577" s="49"/>
      <c r="W577" s="49" t="s">
        <v>571</v>
      </c>
      <c r="X577" s="49"/>
      <c r="Y577" s="49"/>
      <c r="Z577" s="66"/>
      <c r="AA577" s="140"/>
      <c r="AB577" s="66"/>
      <c r="AC577" s="66"/>
      <c r="AD577" s="66"/>
      <c r="AE577" s="66"/>
      <c r="AF577" s="66"/>
      <c r="AG577" s="66"/>
    </row>
    <row r="578" spans="1:35" x14ac:dyDescent="0.35">
      <c r="A578" s="66"/>
      <c r="B578" s="66"/>
      <c r="C578" s="49"/>
      <c r="D578" s="49" t="s">
        <v>572</v>
      </c>
      <c r="E578" s="49"/>
      <c r="F578" s="49"/>
      <c r="G578" s="49"/>
      <c r="H578" s="63">
        <f t="shared" ref="H578:M578" si="215">ROUND(SUM(H573:H577),5)</f>
        <v>24529.48</v>
      </c>
      <c r="I578" s="63">
        <f t="shared" si="215"/>
        <v>0</v>
      </c>
      <c r="J578" s="64">
        <f t="shared" si="215"/>
        <v>23964.29</v>
      </c>
      <c r="K578" s="76">
        <f t="shared" si="215"/>
        <v>0</v>
      </c>
      <c r="L578" s="65">
        <f t="shared" si="215"/>
        <v>24724.07</v>
      </c>
      <c r="M578" s="77">
        <f t="shared" si="215"/>
        <v>0</v>
      </c>
      <c r="N578" s="66">
        <f t="shared" si="213"/>
        <v>73217.84</v>
      </c>
      <c r="O578" s="66">
        <f t="shared" si="213"/>
        <v>0</v>
      </c>
      <c r="P578" s="69">
        <f t="shared" si="214"/>
        <v>24405.946666666667</v>
      </c>
      <c r="Q578" s="69">
        <f t="shared" si="214"/>
        <v>0</v>
      </c>
      <c r="R578" s="54"/>
      <c r="S578" s="49"/>
      <c r="T578" s="49"/>
      <c r="U578" s="49"/>
      <c r="V578" s="49" t="s">
        <v>572</v>
      </c>
      <c r="W578" s="49"/>
      <c r="X578" s="49"/>
      <c r="Y578" s="49"/>
      <c r="Z578" s="66"/>
      <c r="AA578" s="140"/>
      <c r="AB578" s="66"/>
      <c r="AC578" s="66"/>
      <c r="AD578" s="66"/>
      <c r="AE578" s="66"/>
      <c r="AF578" s="66"/>
      <c r="AG578" s="66"/>
    </row>
    <row r="579" spans="1:35" ht="16" thickBot="1" x14ac:dyDescent="0.4">
      <c r="A579" s="66"/>
      <c r="B579" s="66"/>
      <c r="C579" s="49"/>
      <c r="D579" s="49" t="s">
        <v>573</v>
      </c>
      <c r="E579" s="49"/>
      <c r="F579" s="49"/>
      <c r="G579" s="49"/>
      <c r="H579" s="63">
        <v>288386.05</v>
      </c>
      <c r="I579" s="63">
        <v>0</v>
      </c>
      <c r="J579" s="64">
        <v>313714.26</v>
      </c>
      <c r="K579" s="64">
        <v>0</v>
      </c>
      <c r="L579" s="65">
        <v>363433.03</v>
      </c>
      <c r="M579" s="65">
        <v>0</v>
      </c>
      <c r="N579" s="66">
        <f t="shared" si="213"/>
        <v>965533.34</v>
      </c>
      <c r="O579" s="66">
        <f t="shared" si="213"/>
        <v>0</v>
      </c>
      <c r="P579" s="69">
        <f t="shared" si="214"/>
        <v>321844.44666666666</v>
      </c>
      <c r="Q579" s="69">
        <f t="shared" si="214"/>
        <v>0</v>
      </c>
      <c r="R579" s="54"/>
      <c r="S579" s="49"/>
      <c r="T579" s="49"/>
      <c r="U579" s="49"/>
      <c r="V579" s="49" t="s">
        <v>573</v>
      </c>
      <c r="W579" s="49"/>
      <c r="X579" s="49"/>
      <c r="Y579" s="49"/>
      <c r="Z579" s="66"/>
      <c r="AA579" s="140"/>
      <c r="AB579" s="66"/>
      <c r="AC579" s="66"/>
      <c r="AD579" s="66"/>
      <c r="AE579" s="66"/>
      <c r="AF579" s="66"/>
      <c r="AG579" s="66"/>
    </row>
    <row r="580" spans="1:35" ht="16" thickBot="1" x14ac:dyDescent="0.4">
      <c r="A580" s="66"/>
      <c r="B580" s="66"/>
      <c r="C580" s="49" t="s">
        <v>574</v>
      </c>
      <c r="D580" s="49"/>
      <c r="E580" s="49"/>
      <c r="F580" s="49"/>
      <c r="G580" s="49"/>
      <c r="H580" s="75">
        <f t="shared" ref="H580:M580" si="216">ROUND(H572+SUM(H578:H579),5)</f>
        <v>312915.53000000003</v>
      </c>
      <c r="I580" s="75">
        <f t="shared" si="216"/>
        <v>0</v>
      </c>
      <c r="J580" s="76">
        <f t="shared" si="216"/>
        <v>337678.55</v>
      </c>
      <c r="K580" s="76">
        <f t="shared" si="216"/>
        <v>0</v>
      </c>
      <c r="L580" s="77">
        <f t="shared" si="216"/>
        <v>388157.1</v>
      </c>
      <c r="M580" s="77">
        <f t="shared" si="216"/>
        <v>0</v>
      </c>
      <c r="N580" s="78">
        <f t="shared" si="213"/>
        <v>1038751.18</v>
      </c>
      <c r="O580" s="78">
        <f t="shared" si="213"/>
        <v>0</v>
      </c>
      <c r="P580" s="79">
        <f t="shared" si="214"/>
        <v>346250.39333333337</v>
      </c>
      <c r="Q580" s="79">
        <f t="shared" si="214"/>
        <v>0</v>
      </c>
      <c r="R580" s="54"/>
      <c r="S580" s="49"/>
      <c r="T580" s="49"/>
      <c r="U580" s="49" t="s">
        <v>574</v>
      </c>
      <c r="V580" s="49"/>
      <c r="W580" s="49"/>
      <c r="X580" s="49"/>
      <c r="Y580" s="49"/>
      <c r="Z580" s="66"/>
      <c r="AA580" s="140"/>
      <c r="AB580" s="66"/>
      <c r="AC580" s="66"/>
      <c r="AD580" s="66"/>
      <c r="AE580" s="66"/>
      <c r="AF580" s="66"/>
      <c r="AG580" s="66"/>
      <c r="AI580" s="194"/>
    </row>
    <row r="581" spans="1:35" ht="16" thickBot="1" x14ac:dyDescent="0.4">
      <c r="A581" s="66"/>
      <c r="B581" s="66" t="s">
        <v>575</v>
      </c>
      <c r="C581" s="49"/>
      <c r="D581" s="49"/>
      <c r="E581" s="49"/>
      <c r="F581" s="49"/>
      <c r="G581" s="49"/>
      <c r="H581" s="75">
        <f t="shared" ref="H581:M581" si="217">ROUND(H556+H571-H580,5)</f>
        <v>137134.84</v>
      </c>
      <c r="I581" s="75">
        <f t="shared" si="217"/>
        <v>0</v>
      </c>
      <c r="J581" s="76">
        <f t="shared" si="217"/>
        <v>238721.88</v>
      </c>
      <c r="K581" s="76">
        <f t="shared" si="217"/>
        <v>0</v>
      </c>
      <c r="L581" s="77">
        <f t="shared" si="217"/>
        <v>206028.88</v>
      </c>
      <c r="M581" s="77">
        <f t="shared" si="217"/>
        <v>0</v>
      </c>
      <c r="N581" s="78">
        <f t="shared" si="213"/>
        <v>581885.6</v>
      </c>
      <c r="O581" s="78">
        <f t="shared" si="213"/>
        <v>0</v>
      </c>
      <c r="P581" s="79">
        <f t="shared" si="214"/>
        <v>193961.86666666667</v>
      </c>
      <c r="Q581" s="79">
        <f t="shared" si="214"/>
        <v>0</v>
      </c>
      <c r="R581" s="54"/>
      <c r="S581" s="49"/>
      <c r="T581" s="49" t="s">
        <v>575</v>
      </c>
      <c r="U581" s="49"/>
      <c r="V581" s="49"/>
      <c r="W581" s="49"/>
      <c r="X581" s="49"/>
      <c r="Y581" s="49"/>
      <c r="Z581" s="66"/>
      <c r="AA581" s="140"/>
      <c r="AB581" s="66"/>
      <c r="AC581" s="66"/>
      <c r="AD581" s="66"/>
      <c r="AE581" s="66"/>
      <c r="AF581" s="66"/>
      <c r="AG581" s="66"/>
    </row>
    <row r="582" spans="1:35" s="45" customFormat="1" ht="16" thickBot="1" x14ac:dyDescent="0.4">
      <c r="A582" s="95" t="s">
        <v>576</v>
      </c>
      <c r="B582" s="95"/>
      <c r="C582" s="49"/>
      <c r="D582" s="49"/>
      <c r="E582" s="49"/>
      <c r="F582" s="49"/>
      <c r="G582" s="49"/>
      <c r="H582" s="96">
        <f t="shared" ref="H582:M582" si="218">ROUND(H555+H581,5)</f>
        <v>44542.64</v>
      </c>
      <c r="I582" s="96">
        <f t="shared" si="218"/>
        <v>8714.58</v>
      </c>
      <c r="J582" s="97">
        <f t="shared" si="218"/>
        <v>51342.9</v>
      </c>
      <c r="K582" s="97">
        <f t="shared" si="218"/>
        <v>826.41</v>
      </c>
      <c r="L582" s="98">
        <f t="shared" si="218"/>
        <v>184453.41</v>
      </c>
      <c r="M582" s="98">
        <f t="shared" si="218"/>
        <v>354.02</v>
      </c>
      <c r="N582" s="99">
        <f t="shared" si="213"/>
        <v>280338.95</v>
      </c>
      <c r="O582" s="99">
        <f t="shared" si="213"/>
        <v>9895.01</v>
      </c>
      <c r="P582" s="100">
        <f t="shared" si="214"/>
        <v>93446.316666666666</v>
      </c>
      <c r="Q582" s="100">
        <f t="shared" si="214"/>
        <v>3298.3366666666666</v>
      </c>
      <c r="R582" s="101"/>
      <c r="S582" s="49" t="s">
        <v>576</v>
      </c>
      <c r="T582" s="49"/>
      <c r="U582" s="49"/>
      <c r="V582" s="49"/>
      <c r="W582" s="49"/>
      <c r="X582" s="49"/>
      <c r="Y582" s="49"/>
      <c r="Z582" s="99">
        <f>ROUND(Z555+Z581,5)</f>
        <v>811.37</v>
      </c>
      <c r="AA582" s="140"/>
      <c r="AB582" s="99">
        <f t="shared" ref="AB582:AG582" si="219">ROUND(AB555+AB581,5)</f>
        <v>-193160.46642000001</v>
      </c>
      <c r="AC582" s="99">
        <f t="shared" si="219"/>
        <v>-8678.4714199999999</v>
      </c>
      <c r="AD582" s="99">
        <f t="shared" si="219"/>
        <v>15325.98798</v>
      </c>
      <c r="AE582" s="99">
        <f t="shared" si="219"/>
        <v>3787.1</v>
      </c>
      <c r="AF582" s="99">
        <f t="shared" si="219"/>
        <v>22292.035</v>
      </c>
      <c r="AG582" s="99">
        <f t="shared" si="219"/>
        <v>8513</v>
      </c>
      <c r="AH582" s="110"/>
      <c r="AI582" s="110"/>
    </row>
    <row r="583" spans="1:35" ht="16" thickTop="1" x14ac:dyDescent="0.35">
      <c r="AB583" s="47"/>
      <c r="AC583" s="47"/>
      <c r="AD583" s="47"/>
      <c r="AE583" s="47"/>
      <c r="AF583" s="47"/>
      <c r="AG583" s="47"/>
    </row>
  </sheetData>
  <mergeCells count="3">
    <mergeCell ref="P3:Q3"/>
    <mergeCell ref="AO170:AO171"/>
    <mergeCell ref="AL194:AN194"/>
  </mergeCells>
  <printOptions gridLines="1"/>
  <pageMargins left="0.2" right="0.2" top="0.25" bottom="0.25" header="0.3" footer="0.3"/>
  <pageSetup paperSize="17" scale="58" fitToHeight="1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A93D-F153-4271-AC23-704BBC56989D}">
  <sheetPr>
    <tabColor rgb="FFFFFF00"/>
  </sheetPr>
  <dimension ref="A1:AQ583"/>
  <sheetViews>
    <sheetView topLeftCell="Y1" zoomScale="130" zoomScaleNormal="130" workbookViewId="0">
      <pane ySplit="4" topLeftCell="A214" activePane="bottomLeft" state="frozen"/>
      <selection pane="bottomLeft" activeCell="Y1" sqref="A1:XFD1048576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hidden="1" customWidth="1"/>
    <col min="9" max="9" width="14.1796875" style="46" hidden="1" customWidth="1"/>
    <col min="10" max="10" width="16.81640625" style="46" hidden="1" customWidth="1"/>
    <col min="11" max="11" width="14.1796875" style="46" hidden="1" customWidth="1"/>
    <col min="12" max="12" width="16.81640625" style="46" hidden="1" customWidth="1"/>
    <col min="13" max="13" width="14.1796875" style="46" hidden="1" customWidth="1"/>
    <col min="14" max="14" width="16.81640625" style="46" hidden="1" customWidth="1"/>
    <col min="15" max="15" width="14.81640625" style="46" hidden="1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36328125" style="45" bestFit="1" customWidth="1"/>
    <col min="26" max="26" width="22.54296875" style="47" customWidth="1"/>
    <col min="27" max="27" width="0.6328125" style="46" customWidth="1"/>
    <col min="28" max="31" width="17.1796875" style="46" hidden="1" customWidth="1"/>
    <col min="32" max="32" width="17.1796875" style="46" customWidth="1"/>
    <col min="33" max="34" width="17.1796875" style="46" bestFit="1" customWidth="1"/>
    <col min="35" max="35" width="30.90625" style="110" bestFit="1" customWidth="1"/>
    <col min="36" max="36" width="47.81640625" style="110" customWidth="1"/>
    <col min="37" max="37" width="11.54296875" style="46" bestFit="1" customWidth="1"/>
    <col min="38" max="38" width="12.1796875" style="46" bestFit="1" customWidth="1"/>
    <col min="39" max="39" width="18.453125" style="46" bestFit="1" customWidth="1"/>
    <col min="40" max="40" width="14.453125" style="46" customWidth="1"/>
    <col min="41" max="41" width="11.81640625" style="46" bestFit="1" customWidth="1"/>
    <col min="42" max="42" width="11.81640625" style="46" customWidth="1"/>
    <col min="43" max="43" width="11.54296875" style="46" bestFit="1" customWidth="1"/>
    <col min="44" max="16384" width="8.81640625" style="46"/>
  </cols>
  <sheetData>
    <row r="1" spans="1:36" ht="25" customHeight="1" x14ac:dyDescent="0.35">
      <c r="H1" s="103">
        <f t="shared" ref="H1:Q1" si="0">H582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Z582</f>
        <v>811.37</v>
      </c>
      <c r="AA1" s="139"/>
      <c r="AB1" s="106">
        <f t="shared" ref="AB1:AG1" si="1">AB582</f>
        <v>-193160.46642000001</v>
      </c>
      <c r="AC1" s="129">
        <f t="shared" si="1"/>
        <v>-8678.4714199999999</v>
      </c>
      <c r="AD1" s="132">
        <f t="shared" si="1"/>
        <v>15325.98798</v>
      </c>
      <c r="AE1" s="153">
        <f t="shared" si="1"/>
        <v>3787.1</v>
      </c>
      <c r="AF1" s="161">
        <f t="shared" si="1"/>
        <v>22292.035</v>
      </c>
      <c r="AG1" s="106">
        <f t="shared" si="1"/>
        <v>8513</v>
      </c>
      <c r="AH1" s="208">
        <f t="shared" ref="AH1" si="2">AH582</f>
        <v>46218</v>
      </c>
      <c r="AJ1" s="173"/>
    </row>
    <row r="2" spans="1:36" ht="16" x14ac:dyDescent="0.35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  <c r="AF2" s="162" t="s">
        <v>944</v>
      </c>
      <c r="AG2" s="169" t="s">
        <v>958</v>
      </c>
      <c r="AH2" s="209" t="s">
        <v>1004</v>
      </c>
    </row>
    <row r="3" spans="1:36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A3" s="140"/>
      <c r="AB3" s="1" t="s">
        <v>582</v>
      </c>
      <c r="AC3" s="1" t="s">
        <v>582</v>
      </c>
      <c r="AD3" s="1" t="s">
        <v>582</v>
      </c>
      <c r="AE3" s="1" t="s">
        <v>582</v>
      </c>
      <c r="AF3" s="1" t="s">
        <v>582</v>
      </c>
      <c r="AG3" s="1" t="s">
        <v>582</v>
      </c>
      <c r="AH3" s="1" t="s">
        <v>582</v>
      </c>
    </row>
    <row r="4" spans="1:36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A4" s="141"/>
      <c r="AB4" s="59" t="s">
        <v>2</v>
      </c>
      <c r="AC4" s="59" t="s">
        <v>2</v>
      </c>
      <c r="AD4" s="59" t="s">
        <v>2</v>
      </c>
      <c r="AE4" s="59" t="s">
        <v>2</v>
      </c>
      <c r="AF4" s="59" t="s">
        <v>2</v>
      </c>
      <c r="AG4" s="59" t="s">
        <v>2</v>
      </c>
      <c r="AH4" s="59" t="s">
        <v>2</v>
      </c>
      <c r="AI4" s="110"/>
      <c r="AJ4" s="174"/>
    </row>
    <row r="5" spans="1:36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I5" s="110"/>
      <c r="AJ5" s="175"/>
    </row>
    <row r="6" spans="1:36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36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36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36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  <c r="AG9" s="66">
        <v>1026054.2</v>
      </c>
      <c r="AH9" s="66">
        <v>1026054.2</v>
      </c>
    </row>
    <row r="10" spans="1:36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3">ROUND(H10+J10+L10,5)</f>
        <v>270788.24</v>
      </c>
      <c r="O10" s="66">
        <f t="shared" si="3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  <c r="AF10" s="66"/>
      <c r="AG10" s="66"/>
      <c r="AH10" s="66"/>
    </row>
    <row r="11" spans="1:36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3"/>
        <v>104161.84</v>
      </c>
      <c r="O11" s="66">
        <f t="shared" si="3"/>
        <v>47215</v>
      </c>
      <c r="P11" s="69">
        <f t="shared" ref="P11:Q74" si="4">N11/3</f>
        <v>34720.613333333335</v>
      </c>
      <c r="Q11" s="69">
        <f t="shared" si="4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  <c r="AF11" s="66"/>
      <c r="AG11" s="66"/>
      <c r="AH11" s="66"/>
    </row>
    <row r="12" spans="1:36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3"/>
        <v>0</v>
      </c>
      <c r="O12" s="66">
        <f t="shared" si="3"/>
        <v>8970</v>
      </c>
      <c r="P12" s="69">
        <f t="shared" si="4"/>
        <v>0</v>
      </c>
      <c r="Q12" s="69">
        <f t="shared" si="4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  <c r="AF12" s="66"/>
      <c r="AG12" s="66"/>
      <c r="AH12" s="66"/>
    </row>
    <row r="13" spans="1:36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3"/>
        <v>49113.85</v>
      </c>
      <c r="O13" s="66">
        <f t="shared" si="3"/>
        <v>22276</v>
      </c>
      <c r="P13" s="69">
        <f t="shared" si="4"/>
        <v>16371.283333333333</v>
      </c>
      <c r="Q13" s="69">
        <f t="shared" si="4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  <c r="AF13" s="66"/>
      <c r="AG13" s="66"/>
      <c r="AH13" s="66"/>
    </row>
    <row r="14" spans="1:36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3"/>
        <v>7790</v>
      </c>
      <c r="O14" s="73">
        <f t="shared" si="3"/>
        <v>1400</v>
      </c>
      <c r="P14" s="74">
        <f t="shared" si="4"/>
        <v>2596.6666666666665</v>
      </c>
      <c r="Q14" s="74">
        <f t="shared" si="4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  <c r="AF14" s="73"/>
      <c r="AG14" s="73"/>
      <c r="AH14" s="73"/>
    </row>
    <row r="15" spans="1:36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5">ROUND(SUM(H9:H14),5)</f>
        <v>171173.36</v>
      </c>
      <c r="I15" s="63">
        <f t="shared" si="5"/>
        <v>33072</v>
      </c>
      <c r="J15" s="64">
        <f t="shared" si="5"/>
        <v>129396.15</v>
      </c>
      <c r="K15" s="64">
        <f t="shared" si="5"/>
        <v>61776</v>
      </c>
      <c r="L15" s="65">
        <f t="shared" si="5"/>
        <v>131284.42000000001</v>
      </c>
      <c r="M15" s="65">
        <f t="shared" si="5"/>
        <v>159494</v>
      </c>
      <c r="N15" s="66">
        <f t="shared" si="3"/>
        <v>431853.93</v>
      </c>
      <c r="O15" s="66">
        <f t="shared" si="3"/>
        <v>254342</v>
      </c>
      <c r="P15" s="69">
        <f t="shared" si="4"/>
        <v>143951.31</v>
      </c>
      <c r="Q15" s="69">
        <f t="shared" si="4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 t="shared" ref="AB15:AG15" si="6">ROUND(SUM(AB9:AB14),5)</f>
        <v>960784.8</v>
      </c>
      <c r="AC15" s="66">
        <f t="shared" si="6"/>
        <v>960784.8</v>
      </c>
      <c r="AD15" s="66">
        <f t="shared" si="6"/>
        <v>1026054.2</v>
      </c>
      <c r="AE15" s="66">
        <f t="shared" si="6"/>
        <v>1026054.2</v>
      </c>
      <c r="AF15" s="66">
        <f t="shared" si="6"/>
        <v>1026054.2</v>
      </c>
      <c r="AG15" s="66">
        <f t="shared" si="6"/>
        <v>1026054.2</v>
      </c>
      <c r="AH15" s="66">
        <f t="shared" ref="AH15" si="7">ROUND(SUM(AH9:AH14),5)</f>
        <v>1026054.2</v>
      </c>
    </row>
    <row r="16" spans="1:36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  <c r="AF16" s="66"/>
      <c r="AG16" s="66"/>
      <c r="AH16" s="66"/>
    </row>
    <row r="17" spans="1:34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8">ROUND(H17+J17+L17,5)</f>
        <v>101809.82</v>
      </c>
      <c r="O17" s="66">
        <f t="shared" si="8"/>
        <v>79973</v>
      </c>
      <c r="P17" s="69">
        <f t="shared" si="4"/>
        <v>33936.606666666667</v>
      </c>
      <c r="Q17" s="69">
        <f t="shared" si="4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  <c r="AF17" s="66"/>
      <c r="AG17" s="66"/>
      <c r="AH17" s="66"/>
    </row>
    <row r="18" spans="1:34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8"/>
        <v>26984.29</v>
      </c>
      <c r="O18" s="66">
        <f t="shared" si="8"/>
        <v>23625</v>
      </c>
      <c r="P18" s="69">
        <f t="shared" si="4"/>
        <v>8994.7633333333342</v>
      </c>
      <c r="Q18" s="69">
        <f t="shared" si="4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  <c r="AF18" s="66"/>
      <c r="AG18" s="66"/>
      <c r="AH18" s="66"/>
    </row>
    <row r="19" spans="1:34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8"/>
        <v>17270</v>
      </c>
      <c r="O19" s="66">
        <f t="shared" si="8"/>
        <v>35512</v>
      </c>
      <c r="P19" s="69">
        <f t="shared" si="4"/>
        <v>5756.666666666667</v>
      </c>
      <c r="Q19" s="69">
        <f t="shared" si="4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  <c r="AF19" s="66"/>
      <c r="AG19" s="66"/>
      <c r="AH19" s="66"/>
    </row>
    <row r="20" spans="1:34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8"/>
        <v>22714.81</v>
      </c>
      <c r="O20" s="66">
        <f t="shared" si="8"/>
        <v>35292</v>
      </c>
      <c r="P20" s="69">
        <f t="shared" si="4"/>
        <v>7571.6033333333335</v>
      </c>
      <c r="Q20" s="69">
        <f t="shared" si="4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  <c r="AF20" s="66"/>
      <c r="AG20" s="66"/>
      <c r="AH20" s="66"/>
    </row>
    <row r="21" spans="1:34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8"/>
        <v>3255.05</v>
      </c>
      <c r="O21" s="66">
        <f t="shared" si="8"/>
        <v>0</v>
      </c>
      <c r="P21" s="69">
        <f t="shared" si="4"/>
        <v>1085.0166666666667</v>
      </c>
      <c r="Q21" s="69">
        <f t="shared" si="4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  <c r="AF21" s="66"/>
      <c r="AG21" s="66"/>
      <c r="AH21" s="66"/>
    </row>
    <row r="22" spans="1:34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8"/>
        <v>24336.65</v>
      </c>
      <c r="O22" s="66">
        <f t="shared" si="8"/>
        <v>58135</v>
      </c>
      <c r="P22" s="69">
        <f t="shared" si="4"/>
        <v>8112.2166666666672</v>
      </c>
      <c r="Q22" s="69">
        <f t="shared" si="4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  <c r="AF22" s="66"/>
      <c r="AG22" s="66"/>
      <c r="AH22" s="66"/>
    </row>
    <row r="23" spans="1:34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8"/>
        <v>3560.05</v>
      </c>
      <c r="O23" s="66">
        <f t="shared" si="8"/>
        <v>0</v>
      </c>
      <c r="P23" s="69">
        <f t="shared" si="4"/>
        <v>1186.6833333333334</v>
      </c>
      <c r="Q23" s="69">
        <f t="shared" si="4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  <c r="AF23" s="66"/>
      <c r="AG23" s="66"/>
      <c r="AH23" s="66"/>
    </row>
    <row r="24" spans="1:34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8"/>
        <v>20454.099999999999</v>
      </c>
      <c r="O24" s="66">
        <f t="shared" si="8"/>
        <v>42287</v>
      </c>
      <c r="P24" s="69">
        <f t="shared" si="4"/>
        <v>6818.0333333333328</v>
      </c>
      <c r="Q24" s="69">
        <f t="shared" si="4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  <c r="AF24" s="66"/>
      <c r="AG24" s="66"/>
      <c r="AH24" s="66"/>
    </row>
    <row r="25" spans="1:34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8"/>
        <v>13358.41</v>
      </c>
      <c r="O25" s="66">
        <f t="shared" si="8"/>
        <v>17758</v>
      </c>
      <c r="P25" s="69">
        <f t="shared" si="4"/>
        <v>4452.8033333333333</v>
      </c>
      <c r="Q25" s="69">
        <f t="shared" si="4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  <c r="AF25" s="66"/>
      <c r="AG25" s="66"/>
      <c r="AH25" s="66"/>
    </row>
    <row r="26" spans="1:34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8"/>
        <v>5642.08</v>
      </c>
      <c r="O26" s="66">
        <f t="shared" si="8"/>
        <v>0</v>
      </c>
      <c r="P26" s="69">
        <f t="shared" si="4"/>
        <v>1880.6933333333334</v>
      </c>
      <c r="Q26" s="69">
        <f t="shared" si="4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  <c r="AF26" s="66"/>
      <c r="AG26" s="66"/>
      <c r="AH26" s="66"/>
    </row>
    <row r="27" spans="1:34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8"/>
        <v>28947.17</v>
      </c>
      <c r="O27" s="66">
        <f t="shared" si="8"/>
        <v>23569</v>
      </c>
      <c r="P27" s="69">
        <f t="shared" si="4"/>
        <v>9649.0566666666655</v>
      </c>
      <c r="Q27" s="69">
        <f t="shared" si="4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  <c r="AF27" s="66"/>
      <c r="AG27" s="66"/>
      <c r="AH27" s="66"/>
    </row>
    <row r="28" spans="1:34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8"/>
        <v>6391.99</v>
      </c>
      <c r="O28" s="66">
        <f t="shared" si="8"/>
        <v>5858</v>
      </c>
      <c r="P28" s="69">
        <f t="shared" si="4"/>
        <v>2130.6633333333334</v>
      </c>
      <c r="Q28" s="69">
        <f t="shared" si="4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  <c r="AF28" s="66"/>
      <c r="AG28" s="66"/>
      <c r="AH28" s="66"/>
    </row>
    <row r="29" spans="1:34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8"/>
        <v>33957.879999999997</v>
      </c>
      <c r="O29" s="66">
        <f t="shared" si="8"/>
        <v>66808</v>
      </c>
      <c r="P29" s="69">
        <f t="shared" si="4"/>
        <v>11319.293333333333</v>
      </c>
      <c r="Q29" s="69">
        <f t="shared" si="4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  <c r="AF29" s="66"/>
      <c r="AG29" s="66"/>
      <c r="AH29" s="66"/>
    </row>
    <row r="30" spans="1:34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8"/>
        <v>44017.48</v>
      </c>
      <c r="O30" s="66">
        <f t="shared" si="8"/>
        <v>49854</v>
      </c>
      <c r="P30" s="69">
        <f t="shared" si="4"/>
        <v>14672.493333333334</v>
      </c>
      <c r="Q30" s="69">
        <f t="shared" si="4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  <c r="AF30" s="66"/>
      <c r="AG30" s="66"/>
      <c r="AH30" s="66"/>
    </row>
    <row r="31" spans="1:34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8"/>
        <v>64578.81</v>
      </c>
      <c r="O31" s="66">
        <f t="shared" si="8"/>
        <v>27090</v>
      </c>
      <c r="P31" s="69">
        <f t="shared" si="4"/>
        <v>21526.27</v>
      </c>
      <c r="Q31" s="69">
        <f t="shared" si="4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  <c r="AF31" s="66"/>
      <c r="AG31" s="66"/>
      <c r="AH31" s="66"/>
    </row>
    <row r="32" spans="1:34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8"/>
        <v>14800.16</v>
      </c>
      <c r="O32" s="66">
        <f t="shared" si="8"/>
        <v>0</v>
      </c>
      <c r="P32" s="69">
        <f t="shared" si="4"/>
        <v>4933.3866666666663</v>
      </c>
      <c r="Q32" s="69">
        <f t="shared" si="4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  <c r="AF32" s="66"/>
      <c r="AG32" s="66"/>
      <c r="AH32" s="66"/>
    </row>
    <row r="33" spans="1:34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8"/>
        <v>1604.11</v>
      </c>
      <c r="O33" s="66">
        <f t="shared" si="8"/>
        <v>22561</v>
      </c>
      <c r="P33" s="69">
        <f t="shared" si="4"/>
        <v>534.70333333333326</v>
      </c>
      <c r="Q33" s="69">
        <f t="shared" si="4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  <c r="AF33" s="66"/>
      <c r="AG33" s="66"/>
      <c r="AH33" s="66"/>
    </row>
    <row r="34" spans="1:34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8"/>
        <v>1104</v>
      </c>
      <c r="O34" s="66">
        <f t="shared" si="8"/>
        <v>7038</v>
      </c>
      <c r="P34" s="69">
        <f t="shared" si="4"/>
        <v>368</v>
      </c>
      <c r="Q34" s="69">
        <f t="shared" si="4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  <c r="AF34" s="66"/>
      <c r="AG34" s="66"/>
      <c r="AH34" s="66"/>
    </row>
    <row r="35" spans="1:34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8"/>
        <v>0</v>
      </c>
      <c r="O35" s="66">
        <f t="shared" si="8"/>
        <v>15254</v>
      </c>
      <c r="P35" s="69">
        <f t="shared" si="4"/>
        <v>0</v>
      </c>
      <c r="Q35" s="69">
        <f t="shared" si="4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  <c r="AF35" s="66"/>
      <c r="AG35" s="66"/>
      <c r="AH35" s="66"/>
    </row>
    <row r="36" spans="1:34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4"/>
        <v>1854.64</v>
      </c>
      <c r="Q36" s="69">
        <f t="shared" si="4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  <c r="AF36" s="66"/>
      <c r="AG36" s="66"/>
      <c r="AH36" s="66"/>
    </row>
    <row r="37" spans="1:34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4"/>
        <v>0</v>
      </c>
      <c r="Q37" s="69">
        <f t="shared" si="4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  <c r="AF37" s="66"/>
      <c r="AG37" s="66"/>
      <c r="AH37" s="66"/>
    </row>
    <row r="38" spans="1:34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4"/>
        <v>0</v>
      </c>
      <c r="Q38" s="74">
        <f t="shared" si="4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  <c r="AF38" s="73"/>
      <c r="AG38" s="73"/>
      <c r="AH38" s="73"/>
    </row>
    <row r="39" spans="1:34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9">ROUND(SUM(H16:H38),5)</f>
        <v>125929.22</v>
      </c>
      <c r="I39" s="63">
        <f t="shared" si="9"/>
        <v>120263</v>
      </c>
      <c r="J39" s="64">
        <f t="shared" si="9"/>
        <v>136830.26</v>
      </c>
      <c r="K39" s="64">
        <f t="shared" si="9"/>
        <v>203448</v>
      </c>
      <c r="L39" s="65">
        <f t="shared" si="9"/>
        <v>177591.3</v>
      </c>
      <c r="M39" s="65">
        <f t="shared" si="9"/>
        <v>186903</v>
      </c>
      <c r="N39" s="66">
        <f>ROUND(H39+J39+L39,5)</f>
        <v>440350.78</v>
      </c>
      <c r="O39" s="66">
        <f>ROUND(I39+K39+M39,5)</f>
        <v>510614</v>
      </c>
      <c r="P39" s="69">
        <f t="shared" si="4"/>
        <v>146783.59333333335</v>
      </c>
      <c r="Q39" s="69">
        <f t="shared" si="4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 t="shared" ref="AB39:AG39" si="10">ROUND(SUM(AB16:AB38),5)</f>
        <v>0</v>
      </c>
      <c r="AC39" s="66">
        <f t="shared" si="10"/>
        <v>0</v>
      </c>
      <c r="AD39" s="66">
        <f t="shared" si="10"/>
        <v>0</v>
      </c>
      <c r="AE39" s="66">
        <f t="shared" si="10"/>
        <v>0</v>
      </c>
      <c r="AF39" s="66">
        <f t="shared" si="10"/>
        <v>0</v>
      </c>
      <c r="AG39" s="66">
        <f t="shared" si="10"/>
        <v>0</v>
      </c>
      <c r="AH39" s="66">
        <f t="shared" ref="AH39" si="11">ROUND(SUM(AH16:AH38),5)</f>
        <v>0</v>
      </c>
    </row>
    <row r="40" spans="1:34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  <c r="AF40" s="66"/>
      <c r="AG40" s="66"/>
      <c r="AH40" s="66"/>
    </row>
    <row r="41" spans="1:34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12">ROUND(H41+J41+L41,5)</f>
        <v>17081.599999999999</v>
      </c>
      <c r="O41" s="66">
        <f t="shared" si="12"/>
        <v>44688</v>
      </c>
      <c r="P41" s="69">
        <f t="shared" si="4"/>
        <v>5693.8666666666659</v>
      </c>
      <c r="Q41" s="69">
        <f t="shared" si="4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  <c r="AF41" s="66"/>
      <c r="AG41" s="66"/>
      <c r="AH41" s="66"/>
    </row>
    <row r="42" spans="1:34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12"/>
        <v>1953.03</v>
      </c>
      <c r="O42" s="66">
        <f t="shared" si="12"/>
        <v>0</v>
      </c>
      <c r="P42" s="69">
        <f t="shared" si="4"/>
        <v>651.01</v>
      </c>
      <c r="Q42" s="69">
        <f t="shared" si="4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  <c r="AF42" s="66"/>
      <c r="AG42" s="66"/>
      <c r="AH42" s="66"/>
    </row>
    <row r="43" spans="1:34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12"/>
        <v>6637.98</v>
      </c>
      <c r="O43" s="66">
        <f t="shared" si="12"/>
        <v>16220</v>
      </c>
      <c r="P43" s="69">
        <f t="shared" si="4"/>
        <v>2212.66</v>
      </c>
      <c r="Q43" s="69">
        <f t="shared" si="4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  <c r="AF43" s="66"/>
      <c r="AG43" s="66"/>
      <c r="AH43" s="66"/>
    </row>
    <row r="44" spans="1:34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12"/>
        <v>0</v>
      </c>
      <c r="O44" s="73">
        <f t="shared" si="12"/>
        <v>0</v>
      </c>
      <c r="P44" s="74">
        <f t="shared" si="4"/>
        <v>0</v>
      </c>
      <c r="Q44" s="74">
        <f t="shared" si="4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  <c r="AF44" s="73"/>
      <c r="AG44" s="73"/>
      <c r="AH44" s="73"/>
    </row>
    <row r="45" spans="1:34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13">ROUND(SUM(H40:H44),5)</f>
        <v>5918.6</v>
      </c>
      <c r="I45" s="63">
        <f t="shared" si="13"/>
        <v>27950</v>
      </c>
      <c r="J45" s="64">
        <f t="shared" si="13"/>
        <v>10455</v>
      </c>
      <c r="K45" s="64">
        <f t="shared" si="13"/>
        <v>22248</v>
      </c>
      <c r="L45" s="65">
        <f t="shared" si="13"/>
        <v>9299.01</v>
      </c>
      <c r="M45" s="65">
        <f t="shared" si="13"/>
        <v>10710</v>
      </c>
      <c r="N45" s="66">
        <f t="shared" si="12"/>
        <v>25672.61</v>
      </c>
      <c r="O45" s="66">
        <f t="shared" si="12"/>
        <v>60908</v>
      </c>
      <c r="P45" s="69">
        <f t="shared" si="4"/>
        <v>8557.5366666666669</v>
      </c>
      <c r="Q45" s="69">
        <f t="shared" si="4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 t="shared" ref="AB45:AG45" si="14">ROUND(SUM(AB40:AB44),5)</f>
        <v>0</v>
      </c>
      <c r="AC45" s="66">
        <f t="shared" si="14"/>
        <v>0</v>
      </c>
      <c r="AD45" s="66">
        <f t="shared" si="14"/>
        <v>0</v>
      </c>
      <c r="AE45" s="66">
        <f t="shared" si="14"/>
        <v>0</v>
      </c>
      <c r="AF45" s="66">
        <f t="shared" si="14"/>
        <v>0</v>
      </c>
      <c r="AG45" s="66">
        <f t="shared" si="14"/>
        <v>0</v>
      </c>
      <c r="AH45" s="66">
        <f t="shared" ref="AH45" si="15">ROUND(SUM(AH40:AH44),5)</f>
        <v>0</v>
      </c>
    </row>
    <row r="46" spans="1:34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  <c r="AF46" s="66"/>
      <c r="AG46" s="66"/>
      <c r="AH46" s="66"/>
    </row>
    <row r="47" spans="1:34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16">ROUND(H47+J47+L47,5)</f>
        <v>87354.12</v>
      </c>
      <c r="O47" s="66">
        <f t="shared" si="16"/>
        <v>72146</v>
      </c>
      <c r="P47" s="69">
        <f t="shared" si="4"/>
        <v>29118.039999999997</v>
      </c>
      <c r="Q47" s="69">
        <f t="shared" si="4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  <c r="AF47" s="66"/>
      <c r="AG47" s="66"/>
      <c r="AH47" s="66"/>
    </row>
    <row r="48" spans="1:34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6"/>
        <v>12866.68</v>
      </c>
      <c r="O48" s="66">
        <f t="shared" si="16"/>
        <v>23176</v>
      </c>
      <c r="P48" s="69">
        <f t="shared" si="4"/>
        <v>4288.8933333333334</v>
      </c>
      <c r="Q48" s="69">
        <f t="shared" si="4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  <c r="AF48" s="66"/>
      <c r="AG48" s="66"/>
      <c r="AH48" s="66"/>
    </row>
    <row r="49" spans="1:34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6"/>
        <v>1104</v>
      </c>
      <c r="O49" s="66">
        <f t="shared" si="16"/>
        <v>19670</v>
      </c>
      <c r="P49" s="69">
        <f t="shared" si="4"/>
        <v>368</v>
      </c>
      <c r="Q49" s="69">
        <f t="shared" si="4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  <c r="AF49" s="66"/>
      <c r="AG49" s="66"/>
      <c r="AH49" s="66"/>
    </row>
    <row r="50" spans="1:34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6"/>
        <v>35352.550000000003</v>
      </c>
      <c r="O50" s="66">
        <f t="shared" si="16"/>
        <v>25225</v>
      </c>
      <c r="P50" s="69">
        <f t="shared" si="4"/>
        <v>11784.183333333334</v>
      </c>
      <c r="Q50" s="69">
        <f t="shared" si="4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  <c r="AF50" s="66"/>
      <c r="AG50" s="66"/>
      <c r="AH50" s="66"/>
    </row>
    <row r="51" spans="1:34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6"/>
        <v>3884.55</v>
      </c>
      <c r="O51" s="66">
        <f t="shared" si="16"/>
        <v>1190</v>
      </c>
      <c r="P51" s="69">
        <f t="shared" si="4"/>
        <v>1294.8500000000001</v>
      </c>
      <c r="Q51" s="69">
        <f t="shared" si="4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  <c r="AF51" s="66"/>
      <c r="AG51" s="66"/>
      <c r="AH51" s="66"/>
    </row>
    <row r="52" spans="1:34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6"/>
        <v>3960</v>
      </c>
      <c r="O52" s="66">
        <f t="shared" si="16"/>
        <v>11560</v>
      </c>
      <c r="P52" s="69">
        <f t="shared" si="4"/>
        <v>1320</v>
      </c>
      <c r="Q52" s="69">
        <f t="shared" si="4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  <c r="AF52" s="66"/>
      <c r="AG52" s="66"/>
      <c r="AH52" s="66"/>
    </row>
    <row r="53" spans="1:34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6"/>
        <v>546</v>
      </c>
      <c r="O53" s="66">
        <f t="shared" si="16"/>
        <v>10387</v>
      </c>
      <c r="P53" s="69">
        <f t="shared" si="4"/>
        <v>182</v>
      </c>
      <c r="Q53" s="69">
        <f t="shared" si="4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  <c r="AF53" s="66"/>
      <c r="AG53" s="66"/>
      <c r="AH53" s="66"/>
    </row>
    <row r="54" spans="1:34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6"/>
        <v>8740.36</v>
      </c>
      <c r="O54" s="66">
        <f t="shared" si="16"/>
        <v>19808</v>
      </c>
      <c r="P54" s="69">
        <f t="shared" si="4"/>
        <v>2913.4533333333334</v>
      </c>
      <c r="Q54" s="69">
        <f t="shared" si="4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  <c r="AF54" s="66"/>
      <c r="AG54" s="66"/>
      <c r="AH54" s="66"/>
    </row>
    <row r="55" spans="1:34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6"/>
        <v>594</v>
      </c>
      <c r="O55" s="66">
        <f t="shared" si="16"/>
        <v>24884</v>
      </c>
      <c r="P55" s="69">
        <f t="shared" si="4"/>
        <v>198</v>
      </c>
      <c r="Q55" s="69">
        <f t="shared" si="4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  <c r="AF55" s="66"/>
      <c r="AG55" s="66"/>
      <c r="AH55" s="66"/>
    </row>
    <row r="56" spans="1:34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6"/>
        <v>690</v>
      </c>
      <c r="O56" s="66">
        <f t="shared" si="16"/>
        <v>5419</v>
      </c>
      <c r="P56" s="69">
        <f t="shared" si="4"/>
        <v>230</v>
      </c>
      <c r="Q56" s="69">
        <f t="shared" si="4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  <c r="AF56" s="66"/>
      <c r="AG56" s="66"/>
      <c r="AH56" s="66"/>
    </row>
    <row r="57" spans="1:34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6"/>
        <v>1413.6</v>
      </c>
      <c r="O57" s="66">
        <f t="shared" si="16"/>
        <v>27552</v>
      </c>
      <c r="P57" s="69">
        <f t="shared" si="4"/>
        <v>471.2</v>
      </c>
      <c r="Q57" s="69">
        <f t="shared" si="4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  <c r="AF57" s="66"/>
      <c r="AG57" s="66"/>
      <c r="AH57" s="66"/>
    </row>
    <row r="58" spans="1:34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6"/>
        <v>174920.21</v>
      </c>
      <c r="O58" s="66">
        <f t="shared" si="16"/>
        <v>143746</v>
      </c>
      <c r="P58" s="69">
        <f t="shared" si="4"/>
        <v>58306.736666666664</v>
      </c>
      <c r="Q58" s="69">
        <f t="shared" si="4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  <c r="AF58" s="66"/>
      <c r="AG58" s="66"/>
      <c r="AH58" s="66"/>
    </row>
    <row r="59" spans="1:34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6"/>
        <v>12307.07</v>
      </c>
      <c r="O59" s="66">
        <f t="shared" si="16"/>
        <v>24217</v>
      </c>
      <c r="P59" s="69">
        <f t="shared" si="4"/>
        <v>4102.3566666666666</v>
      </c>
      <c r="Q59" s="69">
        <f t="shared" si="4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  <c r="AF59" s="66"/>
      <c r="AG59" s="66"/>
      <c r="AH59" s="66"/>
    </row>
    <row r="60" spans="1:34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6"/>
        <v>23322.21</v>
      </c>
      <c r="O60" s="66">
        <f t="shared" si="16"/>
        <v>22992</v>
      </c>
      <c r="P60" s="69">
        <f t="shared" si="4"/>
        <v>7774.07</v>
      </c>
      <c r="Q60" s="69">
        <f t="shared" si="4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  <c r="AF60" s="66"/>
      <c r="AG60" s="66"/>
      <c r="AH60" s="66"/>
    </row>
    <row r="61" spans="1:34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6"/>
        <v>4553.9799999999996</v>
      </c>
      <c r="O61" s="73">
        <f t="shared" si="16"/>
        <v>0</v>
      </c>
      <c r="P61" s="74">
        <f t="shared" si="4"/>
        <v>1517.9933333333331</v>
      </c>
      <c r="Q61" s="74">
        <f t="shared" si="4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  <c r="AF61" s="73"/>
      <c r="AG61" s="73"/>
      <c r="AH61" s="73"/>
    </row>
    <row r="62" spans="1:34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7">ROUND(SUM(H46:H61),5)</f>
        <v>137372.26</v>
      </c>
      <c r="I62" s="63">
        <f t="shared" si="17"/>
        <v>73450</v>
      </c>
      <c r="J62" s="64">
        <f t="shared" si="17"/>
        <v>111914.03</v>
      </c>
      <c r="K62" s="64">
        <f t="shared" si="17"/>
        <v>203796</v>
      </c>
      <c r="L62" s="65">
        <f t="shared" si="17"/>
        <v>122323.04</v>
      </c>
      <c r="M62" s="65">
        <f t="shared" si="17"/>
        <v>154726</v>
      </c>
      <c r="N62" s="66">
        <f t="shared" si="16"/>
        <v>371609.33</v>
      </c>
      <c r="O62" s="66">
        <f t="shared" si="16"/>
        <v>431972</v>
      </c>
      <c r="P62" s="69">
        <f t="shared" si="4"/>
        <v>123869.77666666667</v>
      </c>
      <c r="Q62" s="69">
        <f t="shared" si="4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 t="shared" ref="AB62:AG62" si="18">ROUND(SUM(AB46:AB61),5)</f>
        <v>0</v>
      </c>
      <c r="AC62" s="66">
        <f t="shared" si="18"/>
        <v>0</v>
      </c>
      <c r="AD62" s="66">
        <f t="shared" si="18"/>
        <v>0</v>
      </c>
      <c r="AE62" s="66">
        <f t="shared" si="18"/>
        <v>0</v>
      </c>
      <c r="AF62" s="66">
        <f t="shared" si="18"/>
        <v>0</v>
      </c>
      <c r="AG62" s="66">
        <f t="shared" si="18"/>
        <v>0</v>
      </c>
      <c r="AH62" s="66">
        <f t="shared" ref="AH62" si="19">ROUND(SUM(AH46:AH61),5)</f>
        <v>0</v>
      </c>
    </row>
    <row r="63" spans="1:34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6"/>
        <v>34181.74</v>
      </c>
      <c r="O63" s="66">
        <f t="shared" si="16"/>
        <v>66123.38</v>
      </c>
      <c r="P63" s="69">
        <f t="shared" si="4"/>
        <v>11393.913333333332</v>
      </c>
      <c r="Q63" s="69">
        <f t="shared" si="4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  <c r="AF63" s="66"/>
      <c r="AG63" s="66"/>
      <c r="AH63" s="66"/>
    </row>
    <row r="64" spans="1:34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  <c r="AF64" s="66"/>
      <c r="AG64" s="66"/>
      <c r="AH64" s="66"/>
    </row>
    <row r="65" spans="1:34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20">ROUND(H65+J65+L65,5)</f>
        <v>106817.3</v>
      </c>
      <c r="O65" s="66">
        <f t="shared" si="20"/>
        <v>56558</v>
      </c>
      <c r="P65" s="69">
        <f t="shared" si="4"/>
        <v>35605.76666666667</v>
      </c>
      <c r="Q65" s="69">
        <f t="shared" si="4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  <c r="AF65" s="66"/>
      <c r="AG65" s="66"/>
      <c r="AH65" s="66"/>
    </row>
    <row r="66" spans="1:34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20"/>
        <v>63970.64</v>
      </c>
      <c r="O66" s="66">
        <f t="shared" si="20"/>
        <v>68284</v>
      </c>
      <c r="P66" s="69">
        <f t="shared" si="4"/>
        <v>21323.546666666665</v>
      </c>
      <c r="Q66" s="69">
        <f t="shared" si="4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  <c r="AF66" s="66"/>
      <c r="AG66" s="66"/>
      <c r="AH66" s="66"/>
    </row>
    <row r="67" spans="1:34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20"/>
        <v>1794</v>
      </c>
      <c r="O67" s="66">
        <f t="shared" si="20"/>
        <v>15153</v>
      </c>
      <c r="P67" s="69">
        <f t="shared" si="4"/>
        <v>598</v>
      </c>
      <c r="Q67" s="69">
        <f t="shared" si="4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  <c r="AF67" s="66"/>
      <c r="AG67" s="66"/>
      <c r="AH67" s="66"/>
    </row>
    <row r="68" spans="1:34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20"/>
        <v>22842.29</v>
      </c>
      <c r="O68" s="66">
        <f t="shared" si="20"/>
        <v>61166</v>
      </c>
      <c r="P68" s="69">
        <f t="shared" si="4"/>
        <v>7614.0966666666673</v>
      </c>
      <c r="Q68" s="69">
        <f t="shared" si="4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  <c r="AF68" s="66"/>
      <c r="AG68" s="66"/>
      <c r="AH68" s="66"/>
    </row>
    <row r="69" spans="1:34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20"/>
        <v>9232</v>
      </c>
      <c r="O69" s="66">
        <f t="shared" si="20"/>
        <v>16972</v>
      </c>
      <c r="P69" s="69">
        <f t="shared" si="4"/>
        <v>3077.3333333333335</v>
      </c>
      <c r="Q69" s="69">
        <f t="shared" si="4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  <c r="AF69" s="66"/>
      <c r="AG69" s="66"/>
      <c r="AH69" s="66"/>
    </row>
    <row r="70" spans="1:34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20"/>
        <v>11879.44</v>
      </c>
      <c r="O70" s="73">
        <f t="shared" si="20"/>
        <v>43386</v>
      </c>
      <c r="P70" s="74">
        <f t="shared" si="4"/>
        <v>3959.8133333333335</v>
      </c>
      <c r="Q70" s="74">
        <f t="shared" si="4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  <c r="AF70" s="73"/>
      <c r="AG70" s="73"/>
      <c r="AH70" s="73"/>
    </row>
    <row r="71" spans="1:34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21">ROUND(SUM(H64:H70),5)</f>
        <v>53816.6</v>
      </c>
      <c r="I71" s="63">
        <f t="shared" si="21"/>
        <v>52052</v>
      </c>
      <c r="J71" s="64">
        <f t="shared" si="21"/>
        <v>74785.06</v>
      </c>
      <c r="K71" s="64">
        <f t="shared" si="21"/>
        <v>127356</v>
      </c>
      <c r="L71" s="65">
        <f t="shared" si="21"/>
        <v>87934.01</v>
      </c>
      <c r="M71" s="65">
        <f t="shared" si="21"/>
        <v>82111</v>
      </c>
      <c r="N71" s="66">
        <f t="shared" si="20"/>
        <v>216535.67</v>
      </c>
      <c r="O71" s="66">
        <f t="shared" si="20"/>
        <v>261519</v>
      </c>
      <c r="P71" s="69">
        <f t="shared" si="4"/>
        <v>72178.556666666671</v>
      </c>
      <c r="Q71" s="69">
        <f t="shared" si="4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 t="shared" ref="AB71:AG71" si="22">ROUND(SUM(AB64:AB70),5)</f>
        <v>0</v>
      </c>
      <c r="AC71" s="66">
        <f t="shared" si="22"/>
        <v>0</v>
      </c>
      <c r="AD71" s="66">
        <f t="shared" si="22"/>
        <v>0</v>
      </c>
      <c r="AE71" s="66">
        <f t="shared" si="22"/>
        <v>0</v>
      </c>
      <c r="AF71" s="66">
        <f t="shared" si="22"/>
        <v>0</v>
      </c>
      <c r="AG71" s="66">
        <f t="shared" si="22"/>
        <v>0</v>
      </c>
      <c r="AH71" s="66">
        <f t="shared" ref="AH71" si="23">ROUND(SUM(AH64:AH70),5)</f>
        <v>0</v>
      </c>
    </row>
    <row r="72" spans="1:34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  <c r="AF72" s="66"/>
      <c r="AG72" s="66"/>
      <c r="AH72" s="66"/>
    </row>
    <row r="73" spans="1:34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24">ROUND(H73+J73+L73,5)</f>
        <v>5364.31</v>
      </c>
      <c r="O73" s="66">
        <f t="shared" si="24"/>
        <v>9909</v>
      </c>
      <c r="P73" s="69">
        <f t="shared" si="4"/>
        <v>1788.1033333333335</v>
      </c>
      <c r="Q73" s="69">
        <f t="shared" si="4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  <c r="AF73" s="66"/>
      <c r="AG73" s="66"/>
      <c r="AH73" s="66"/>
    </row>
    <row r="74" spans="1:34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24"/>
        <v>46000.91</v>
      </c>
      <c r="O74" s="66">
        <f t="shared" si="24"/>
        <v>29903</v>
      </c>
      <c r="P74" s="69">
        <f t="shared" si="4"/>
        <v>15333.636666666667</v>
      </c>
      <c r="Q74" s="69">
        <f t="shared" si="4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  <c r="AF74" s="66"/>
      <c r="AG74" s="66"/>
      <c r="AH74" s="66"/>
    </row>
    <row r="75" spans="1:34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24"/>
        <v>0</v>
      </c>
      <c r="O75" s="66">
        <f t="shared" si="24"/>
        <v>31248</v>
      </c>
      <c r="P75" s="69">
        <f t="shared" ref="P75:Q137" si="25">N75/3</f>
        <v>0</v>
      </c>
      <c r="Q75" s="69">
        <f t="shared" si="25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  <c r="AF75" s="66"/>
      <c r="AG75" s="66"/>
      <c r="AH75" s="66"/>
    </row>
    <row r="76" spans="1:34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24"/>
        <v>29409.79</v>
      </c>
      <c r="O76" s="66">
        <f t="shared" si="24"/>
        <v>27007</v>
      </c>
      <c r="P76" s="69">
        <f t="shared" si="25"/>
        <v>9803.2633333333342</v>
      </c>
      <c r="Q76" s="69">
        <f t="shared" si="25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  <c r="AF76" s="66"/>
      <c r="AG76" s="66"/>
      <c r="AH76" s="66"/>
    </row>
    <row r="77" spans="1:34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24"/>
        <v>3458.77</v>
      </c>
      <c r="O77" s="66">
        <f t="shared" si="24"/>
        <v>7965</v>
      </c>
      <c r="P77" s="69">
        <f t="shared" si="25"/>
        <v>1152.9233333333334</v>
      </c>
      <c r="Q77" s="69">
        <f t="shared" si="25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  <c r="AF77" s="66"/>
      <c r="AG77" s="66"/>
      <c r="AH77" s="66"/>
    </row>
    <row r="78" spans="1:34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24"/>
        <v>21632.07</v>
      </c>
      <c r="O78" s="66">
        <f t="shared" si="24"/>
        <v>25676</v>
      </c>
      <c r="P78" s="69">
        <f t="shared" si="25"/>
        <v>7210.69</v>
      </c>
      <c r="Q78" s="69">
        <f t="shared" si="25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  <c r="AF78" s="66"/>
      <c r="AG78" s="66"/>
      <c r="AH78" s="66"/>
    </row>
    <row r="79" spans="1:34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24"/>
        <v>966</v>
      </c>
      <c r="O79" s="66">
        <f t="shared" si="24"/>
        <v>3588</v>
      </c>
      <c r="P79" s="69">
        <f t="shared" si="25"/>
        <v>322</v>
      </c>
      <c r="Q79" s="69">
        <f t="shared" si="25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  <c r="AF79" s="66"/>
      <c r="AG79" s="66"/>
      <c r="AH79" s="66"/>
    </row>
    <row r="80" spans="1:34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24"/>
        <v>0</v>
      </c>
      <c r="O80" s="66">
        <f t="shared" si="24"/>
        <v>3901</v>
      </c>
      <c r="P80" s="69">
        <f t="shared" si="25"/>
        <v>0</v>
      </c>
      <c r="Q80" s="69">
        <f t="shared" si="25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  <c r="AF80" s="66"/>
      <c r="AG80" s="66"/>
      <c r="AH80" s="66"/>
    </row>
    <row r="81" spans="1:34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25"/>
        <v>0</v>
      </c>
      <c r="Q81" s="69">
        <f t="shared" si="25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  <c r="AF81" s="66"/>
      <c r="AG81" s="66"/>
      <c r="AH81" s="66"/>
    </row>
    <row r="82" spans="1:34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6">ROUND(H82+J82+L82,5)</f>
        <v>0</v>
      </c>
      <c r="O82" s="66">
        <f t="shared" si="26"/>
        <v>0</v>
      </c>
      <c r="P82" s="69">
        <f t="shared" si="25"/>
        <v>0</v>
      </c>
      <c r="Q82" s="69">
        <f t="shared" si="25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  <c r="AF82" s="66"/>
      <c r="AG82" s="66"/>
      <c r="AH82" s="66"/>
    </row>
    <row r="83" spans="1:34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6"/>
        <v>0</v>
      </c>
      <c r="O83" s="73">
        <f t="shared" si="26"/>
        <v>0</v>
      </c>
      <c r="P83" s="74">
        <f t="shared" si="25"/>
        <v>0</v>
      </c>
      <c r="Q83" s="74">
        <f t="shared" si="25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  <c r="AF83" s="73"/>
      <c r="AG83" s="73"/>
      <c r="AH83" s="73"/>
    </row>
    <row r="84" spans="1:34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7">ROUND(SUM(H72:H83),5)</f>
        <v>39159.980000000003</v>
      </c>
      <c r="I84" s="63">
        <f t="shared" si="27"/>
        <v>39468</v>
      </c>
      <c r="J84" s="64">
        <f t="shared" si="27"/>
        <v>32291.99</v>
      </c>
      <c r="K84" s="64">
        <f t="shared" si="27"/>
        <v>31248</v>
      </c>
      <c r="L84" s="65">
        <f t="shared" si="27"/>
        <v>35379.879999999997</v>
      </c>
      <c r="M84" s="65">
        <f t="shared" si="27"/>
        <v>68481</v>
      </c>
      <c r="N84" s="66">
        <f t="shared" si="26"/>
        <v>106831.85</v>
      </c>
      <c r="O84" s="66">
        <f t="shared" si="26"/>
        <v>139197</v>
      </c>
      <c r="P84" s="69">
        <f t="shared" si="25"/>
        <v>35610.616666666669</v>
      </c>
      <c r="Q84" s="69">
        <f t="shared" si="25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 t="shared" ref="AB84:AG84" si="28">ROUND(SUM(AB72:AB83),5)</f>
        <v>0</v>
      </c>
      <c r="AC84" s="66">
        <f t="shared" si="28"/>
        <v>0</v>
      </c>
      <c r="AD84" s="66">
        <f t="shared" si="28"/>
        <v>0</v>
      </c>
      <c r="AE84" s="66">
        <f t="shared" si="28"/>
        <v>0</v>
      </c>
      <c r="AF84" s="66">
        <f t="shared" si="28"/>
        <v>0</v>
      </c>
      <c r="AG84" s="66">
        <f t="shared" si="28"/>
        <v>0</v>
      </c>
      <c r="AH84" s="66">
        <f t="shared" ref="AH84" si="29">ROUND(SUM(AH72:AH83),5)</f>
        <v>0</v>
      </c>
    </row>
    <row r="85" spans="1:34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  <c r="AF85" s="66"/>
      <c r="AG85" s="66"/>
      <c r="AH85" s="66"/>
    </row>
    <row r="86" spans="1:34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30">ROUND(H86+J86+L86,5)</f>
        <v>41055.360000000001</v>
      </c>
      <c r="O86" s="66">
        <f t="shared" si="30"/>
        <v>61593</v>
      </c>
      <c r="P86" s="69">
        <f t="shared" si="25"/>
        <v>13685.12</v>
      </c>
      <c r="Q86" s="69">
        <f t="shared" si="25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  <c r="AF86" s="66"/>
      <c r="AG86" s="66"/>
      <c r="AH86" s="66"/>
    </row>
    <row r="87" spans="1:34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30"/>
        <v>4557.07</v>
      </c>
      <c r="O87" s="66">
        <f t="shared" si="30"/>
        <v>5852</v>
      </c>
      <c r="P87" s="69">
        <f t="shared" si="25"/>
        <v>1519.0233333333333</v>
      </c>
      <c r="Q87" s="69">
        <f t="shared" si="25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  <c r="AF87" s="66"/>
      <c r="AG87" s="66"/>
      <c r="AH87" s="66"/>
    </row>
    <row r="88" spans="1:34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30"/>
        <v>9699</v>
      </c>
      <c r="O88" s="66">
        <f t="shared" si="30"/>
        <v>58996</v>
      </c>
      <c r="P88" s="69">
        <f t="shared" si="25"/>
        <v>3233</v>
      </c>
      <c r="Q88" s="69">
        <f t="shared" si="25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  <c r="AF88" s="66"/>
      <c r="AG88" s="66"/>
      <c r="AH88" s="66"/>
    </row>
    <row r="89" spans="1:34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30"/>
        <v>4967.9799999999996</v>
      </c>
      <c r="O89" s="73">
        <f t="shared" si="30"/>
        <v>15466</v>
      </c>
      <c r="P89" s="74">
        <f t="shared" si="25"/>
        <v>1655.9933333333331</v>
      </c>
      <c r="Q89" s="74">
        <f t="shared" si="25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  <c r="AF89" s="73"/>
      <c r="AG89" s="73"/>
      <c r="AH89" s="73"/>
    </row>
    <row r="90" spans="1:34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31">ROUND(SUM(H85:H89),5)</f>
        <v>20271.38</v>
      </c>
      <c r="I90" s="63">
        <f t="shared" si="31"/>
        <v>42055</v>
      </c>
      <c r="J90" s="64">
        <f t="shared" si="31"/>
        <v>14973.03</v>
      </c>
      <c r="K90" s="64">
        <f t="shared" si="31"/>
        <v>58944</v>
      </c>
      <c r="L90" s="65">
        <f t="shared" si="31"/>
        <v>25035</v>
      </c>
      <c r="M90" s="65">
        <f t="shared" si="31"/>
        <v>40908</v>
      </c>
      <c r="N90" s="66">
        <f t="shared" si="30"/>
        <v>60279.41</v>
      </c>
      <c r="O90" s="66">
        <f t="shared" si="30"/>
        <v>141907</v>
      </c>
      <c r="P90" s="69">
        <f t="shared" si="25"/>
        <v>20093.136666666669</v>
      </c>
      <c r="Q90" s="69">
        <f t="shared" si="25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 t="shared" ref="AB90:AG90" si="32">ROUND(SUM(AB85:AB89),5)</f>
        <v>0</v>
      </c>
      <c r="AC90" s="66">
        <f t="shared" si="32"/>
        <v>0</v>
      </c>
      <c r="AD90" s="66">
        <f t="shared" si="32"/>
        <v>0</v>
      </c>
      <c r="AE90" s="66">
        <f t="shared" si="32"/>
        <v>0</v>
      </c>
      <c r="AF90" s="66">
        <f t="shared" si="32"/>
        <v>0</v>
      </c>
      <c r="AG90" s="66">
        <f t="shared" si="32"/>
        <v>0</v>
      </c>
      <c r="AH90" s="66">
        <f t="shared" ref="AH90" si="33">ROUND(SUM(AH85:AH89),5)</f>
        <v>0</v>
      </c>
    </row>
    <row r="91" spans="1:34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  <c r="AF91" s="66"/>
      <c r="AG91" s="66"/>
      <c r="AH91" s="66"/>
    </row>
    <row r="92" spans="1:34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34">ROUND(H92+J92+L92,5)</f>
        <v>108862.85</v>
      </c>
      <c r="O92" s="66">
        <f t="shared" si="34"/>
        <v>69579</v>
      </c>
      <c r="P92" s="69">
        <f t="shared" si="25"/>
        <v>36287.616666666669</v>
      </c>
      <c r="Q92" s="69">
        <f t="shared" si="25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  <c r="AF92" s="66"/>
      <c r="AG92" s="66"/>
      <c r="AH92" s="66"/>
    </row>
    <row r="93" spans="1:34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34"/>
        <v>14518.12</v>
      </c>
      <c r="O93" s="66">
        <f t="shared" si="34"/>
        <v>19733</v>
      </c>
      <c r="P93" s="69">
        <f t="shared" si="25"/>
        <v>4839.3733333333339</v>
      </c>
      <c r="Q93" s="69">
        <f t="shared" si="25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  <c r="AF93" s="66"/>
      <c r="AG93" s="66"/>
      <c r="AH93" s="66"/>
    </row>
    <row r="94" spans="1:34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34"/>
        <v>43484.49</v>
      </c>
      <c r="O94" s="66">
        <f t="shared" si="34"/>
        <v>62432</v>
      </c>
      <c r="P94" s="69">
        <f t="shared" si="25"/>
        <v>14494.83</v>
      </c>
      <c r="Q94" s="69">
        <f t="shared" si="25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  <c r="AF94" s="66"/>
      <c r="AG94" s="66"/>
      <c r="AH94" s="66"/>
    </row>
    <row r="95" spans="1:34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34"/>
        <v>4211.0600000000004</v>
      </c>
      <c r="O95" s="66">
        <f t="shared" si="34"/>
        <v>13454</v>
      </c>
      <c r="P95" s="69">
        <f t="shared" si="25"/>
        <v>1403.6866666666667</v>
      </c>
      <c r="Q95" s="69">
        <f t="shared" si="25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  <c r="AF95" s="66"/>
      <c r="AG95" s="66"/>
      <c r="AH95" s="66"/>
    </row>
    <row r="96" spans="1:34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34"/>
        <v>49443.53</v>
      </c>
      <c r="O96" s="66">
        <f t="shared" si="34"/>
        <v>34119</v>
      </c>
      <c r="P96" s="69">
        <f t="shared" si="25"/>
        <v>16481.176666666666</v>
      </c>
      <c r="Q96" s="69">
        <f t="shared" si="25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  <c r="AF96" s="66"/>
      <c r="AG96" s="66"/>
      <c r="AH96" s="66"/>
    </row>
    <row r="97" spans="1:34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34"/>
        <v>5328.03</v>
      </c>
      <c r="O97" s="66">
        <f t="shared" si="34"/>
        <v>7526</v>
      </c>
      <c r="P97" s="69">
        <f t="shared" si="25"/>
        <v>1776.01</v>
      </c>
      <c r="Q97" s="69">
        <f t="shared" si="25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  <c r="AF97" s="66"/>
      <c r="AG97" s="66"/>
      <c r="AH97" s="66"/>
    </row>
    <row r="98" spans="1:34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34"/>
        <v>63633.29</v>
      </c>
      <c r="O98" s="66">
        <f t="shared" si="34"/>
        <v>69145</v>
      </c>
      <c r="P98" s="69">
        <f t="shared" si="25"/>
        <v>21211.096666666668</v>
      </c>
      <c r="Q98" s="69">
        <f t="shared" si="25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  <c r="AF98" s="66"/>
      <c r="AG98" s="66"/>
      <c r="AH98" s="66"/>
    </row>
    <row r="99" spans="1:34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34"/>
        <v>7554.05</v>
      </c>
      <c r="O99" s="66">
        <f t="shared" si="34"/>
        <v>16058</v>
      </c>
      <c r="P99" s="69">
        <f t="shared" si="25"/>
        <v>2518.0166666666669</v>
      </c>
      <c r="Q99" s="69">
        <f t="shared" si="25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  <c r="AF99" s="66"/>
      <c r="AG99" s="66"/>
      <c r="AH99" s="66"/>
    </row>
    <row r="100" spans="1:34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34"/>
        <v>5514</v>
      </c>
      <c r="O100" s="66">
        <f t="shared" si="34"/>
        <v>12319</v>
      </c>
      <c r="P100" s="69">
        <f t="shared" si="25"/>
        <v>1838</v>
      </c>
      <c r="Q100" s="69">
        <f t="shared" si="25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  <c r="AF100" s="66"/>
      <c r="AG100" s="66"/>
      <c r="AH100" s="66"/>
    </row>
    <row r="101" spans="1:34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  <c r="AF101" s="73"/>
      <c r="AG101" s="73"/>
      <c r="AH101" s="73"/>
    </row>
    <row r="102" spans="1:34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35">ROUND(SUM(H91:H100),5)</f>
        <v>81944.17</v>
      </c>
      <c r="I102" s="63">
        <f t="shared" si="35"/>
        <v>70005</v>
      </c>
      <c r="J102" s="64">
        <f t="shared" si="35"/>
        <v>112983.21</v>
      </c>
      <c r="K102" s="64">
        <f t="shared" si="35"/>
        <v>122376</v>
      </c>
      <c r="L102" s="65">
        <f t="shared" si="35"/>
        <v>107622.04</v>
      </c>
      <c r="M102" s="65">
        <f t="shared" si="35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25"/>
        <v>100849.80666666666</v>
      </c>
      <c r="Q102" s="69">
        <f t="shared" si="25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 t="shared" ref="AB102:AG102" si="36">ROUND(SUM(AB91:AB101),5)</f>
        <v>0</v>
      </c>
      <c r="AC102" s="66">
        <f t="shared" si="36"/>
        <v>0</v>
      </c>
      <c r="AD102" s="66">
        <f t="shared" si="36"/>
        <v>0</v>
      </c>
      <c r="AE102" s="66">
        <f t="shared" si="36"/>
        <v>0</v>
      </c>
      <c r="AF102" s="66">
        <f t="shared" si="36"/>
        <v>0</v>
      </c>
      <c r="AG102" s="66">
        <f t="shared" si="36"/>
        <v>0</v>
      </c>
      <c r="AH102" s="66">
        <f t="shared" ref="AH102" si="37">ROUND(SUM(AH91:AH101),5)</f>
        <v>0</v>
      </c>
    </row>
    <row r="103" spans="1:34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25"/>
        <v>0</v>
      </c>
      <c r="Q103" s="69">
        <f t="shared" si="25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  <c r="AF103" s="66"/>
      <c r="AG103" s="66"/>
      <c r="AH103" s="66"/>
    </row>
    <row r="104" spans="1:34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38">ROUND(H104+J104+L104,5)</f>
        <v>74439.240000000005</v>
      </c>
      <c r="O104" s="66">
        <f t="shared" si="38"/>
        <v>63264</v>
      </c>
      <c r="P104" s="69">
        <f t="shared" si="25"/>
        <v>24813.08</v>
      </c>
      <c r="Q104" s="69">
        <f t="shared" si="25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  <c r="AF104" s="66"/>
      <c r="AG104" s="66"/>
      <c r="AH104" s="66"/>
    </row>
    <row r="105" spans="1:34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38"/>
        <v>13570.83</v>
      </c>
      <c r="O105" s="66">
        <f t="shared" si="38"/>
        <v>26229</v>
      </c>
      <c r="P105" s="69">
        <f t="shared" si="25"/>
        <v>4523.6099999999997</v>
      </c>
      <c r="Q105" s="69">
        <f t="shared" si="25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  <c r="AF105" s="66"/>
      <c r="AG105" s="66"/>
      <c r="AH105" s="66"/>
    </row>
    <row r="106" spans="1:34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38"/>
        <v>31132.720000000001</v>
      </c>
      <c r="O106" s="66">
        <f t="shared" si="38"/>
        <v>23118</v>
      </c>
      <c r="P106" s="69">
        <f t="shared" si="25"/>
        <v>10377.573333333334</v>
      </c>
      <c r="Q106" s="69">
        <f t="shared" si="25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  <c r="AF106" s="66"/>
      <c r="AG106" s="66"/>
      <c r="AH106" s="66"/>
    </row>
    <row r="107" spans="1:34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38"/>
        <v>5105.97</v>
      </c>
      <c r="O107" s="66">
        <f t="shared" si="38"/>
        <v>7489</v>
      </c>
      <c r="P107" s="69">
        <f t="shared" si="25"/>
        <v>1701.99</v>
      </c>
      <c r="Q107" s="69">
        <f t="shared" si="25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  <c r="AF107" s="66"/>
      <c r="AG107" s="66"/>
      <c r="AH107" s="66"/>
    </row>
    <row r="108" spans="1:34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38"/>
        <v>60762.3</v>
      </c>
      <c r="O108" s="66">
        <f t="shared" si="38"/>
        <v>41781</v>
      </c>
      <c r="P108" s="69">
        <f t="shared" si="25"/>
        <v>20254.100000000002</v>
      </c>
      <c r="Q108" s="69">
        <f t="shared" si="25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  <c r="AF108" s="66"/>
      <c r="AG108" s="66"/>
      <c r="AH108" s="66"/>
    </row>
    <row r="109" spans="1:34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38"/>
        <v>20355.89</v>
      </c>
      <c r="O109" s="66">
        <f t="shared" si="38"/>
        <v>5382</v>
      </c>
      <c r="P109" s="69">
        <f t="shared" si="25"/>
        <v>6785.2966666666662</v>
      </c>
      <c r="Q109" s="69">
        <f t="shared" si="25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  <c r="AF109" s="66"/>
      <c r="AG109" s="66"/>
      <c r="AH109" s="66"/>
    </row>
    <row r="110" spans="1:34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38"/>
        <v>3399.97</v>
      </c>
      <c r="O110" s="66">
        <f t="shared" si="38"/>
        <v>0</v>
      </c>
      <c r="P110" s="69">
        <f t="shared" si="25"/>
        <v>1133.3233333333333</v>
      </c>
      <c r="Q110" s="69">
        <f t="shared" si="25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  <c r="AF110" s="66"/>
      <c r="AG110" s="66"/>
      <c r="AH110" s="66"/>
    </row>
    <row r="111" spans="1:34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39">ROUND(SUM(H103:H110),5)</f>
        <v>59018.03</v>
      </c>
      <c r="I111" s="75">
        <f t="shared" si="39"/>
        <v>31525</v>
      </c>
      <c r="J111" s="76">
        <f t="shared" si="39"/>
        <v>66518.98</v>
      </c>
      <c r="K111" s="76">
        <f t="shared" si="39"/>
        <v>44976</v>
      </c>
      <c r="L111" s="77">
        <f t="shared" si="39"/>
        <v>83229.91</v>
      </c>
      <c r="M111" s="77">
        <f t="shared" si="39"/>
        <v>90762</v>
      </c>
      <c r="N111" s="78">
        <f t="shared" si="38"/>
        <v>208766.92</v>
      </c>
      <c r="O111" s="78">
        <f t="shared" si="38"/>
        <v>167263</v>
      </c>
      <c r="P111" s="79">
        <f t="shared" si="25"/>
        <v>69588.973333333342</v>
      </c>
      <c r="Q111" s="79">
        <f t="shared" si="25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 t="shared" ref="AB111:AG111" si="40">ROUND(SUM(AB103:AB110),5)</f>
        <v>0</v>
      </c>
      <c r="AC111" s="78">
        <f t="shared" si="40"/>
        <v>0</v>
      </c>
      <c r="AD111" s="78">
        <f t="shared" si="40"/>
        <v>0</v>
      </c>
      <c r="AE111" s="78">
        <f t="shared" si="40"/>
        <v>0</v>
      </c>
      <c r="AF111" s="78">
        <f t="shared" si="40"/>
        <v>0</v>
      </c>
      <c r="AG111" s="78">
        <f t="shared" si="40"/>
        <v>0</v>
      </c>
      <c r="AH111" s="78">
        <f t="shared" ref="AH111" si="41">ROUND(SUM(AH103:AH110),5)</f>
        <v>0</v>
      </c>
    </row>
    <row r="112" spans="1:34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25"/>
        <v>0</v>
      </c>
      <c r="Q112" s="69">
        <f t="shared" si="25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  <c r="AF112" s="66"/>
      <c r="AG112" s="66"/>
      <c r="AH112" s="66"/>
    </row>
    <row r="113" spans="1:37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42">ROUND(H113+J113+L113,5)</f>
        <v>453828.9</v>
      </c>
      <c r="O113" s="66">
        <f t="shared" si="42"/>
        <v>406218</v>
      </c>
      <c r="P113" s="69">
        <f t="shared" si="25"/>
        <v>151276.30000000002</v>
      </c>
      <c r="Q113" s="69">
        <f t="shared" si="25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  <c r="AH113" s="66">
        <v>0</v>
      </c>
    </row>
    <row r="114" spans="1:37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42"/>
        <v>0</v>
      </c>
      <c r="O114" s="73">
        <f t="shared" si="42"/>
        <v>0</v>
      </c>
      <c r="P114" s="74">
        <f t="shared" si="25"/>
        <v>0</v>
      </c>
      <c r="Q114" s="74">
        <f t="shared" si="25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>
        <v>0</v>
      </c>
    </row>
    <row r="115" spans="1:37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43">ROUND(SUM(H112:H114),5)</f>
        <v>57491.4</v>
      </c>
      <c r="I115" s="63">
        <f t="shared" si="43"/>
        <v>406218</v>
      </c>
      <c r="J115" s="64">
        <f t="shared" si="43"/>
        <v>150471.5</v>
      </c>
      <c r="K115" s="64">
        <f t="shared" si="43"/>
        <v>0</v>
      </c>
      <c r="L115" s="65">
        <f t="shared" si="43"/>
        <v>245866</v>
      </c>
      <c r="M115" s="65">
        <f t="shared" si="43"/>
        <v>0</v>
      </c>
      <c r="N115" s="66">
        <f t="shared" si="42"/>
        <v>453828.9</v>
      </c>
      <c r="O115" s="66">
        <f t="shared" si="42"/>
        <v>406218</v>
      </c>
      <c r="P115" s="69">
        <f t="shared" si="25"/>
        <v>151276.30000000002</v>
      </c>
      <c r="Q115" s="69">
        <f t="shared" si="25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  <c r="AH115" s="73">
        <v>0</v>
      </c>
    </row>
    <row r="116" spans="1:37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44">ROUND(H8+H15+H39+H45+SUM(H62:H63)+H71+H84+H90+H102+H111+SUM(H115:H115),5)</f>
        <v>760409.73</v>
      </c>
      <c r="I116" s="75">
        <f t="shared" si="44"/>
        <v>912984</v>
      </c>
      <c r="J116" s="76">
        <f t="shared" si="44"/>
        <v>855809.22</v>
      </c>
      <c r="K116" s="76">
        <f t="shared" si="44"/>
        <v>904615.38</v>
      </c>
      <c r="L116" s="77">
        <f t="shared" si="44"/>
        <v>1036241.61</v>
      </c>
      <c r="M116" s="77">
        <f t="shared" si="44"/>
        <v>926829</v>
      </c>
      <c r="N116" s="78">
        <f t="shared" si="42"/>
        <v>2652460.56</v>
      </c>
      <c r="O116" s="78">
        <f t="shared" si="42"/>
        <v>2744428.38</v>
      </c>
      <c r="P116" s="79">
        <f t="shared" si="25"/>
        <v>884153.52</v>
      </c>
      <c r="Q116" s="79">
        <f t="shared" si="25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 t="shared" ref="AB116:AF116" si="45">ROUND(AB8+AB15+AB39+AB45+SUM(AB62:AB63)+AB71+AB84+AB90+AB102+AB111+SUM(AB115:AB115),5)</f>
        <v>960784.8</v>
      </c>
      <c r="AC116" s="80">
        <f t="shared" si="45"/>
        <v>960784.8</v>
      </c>
      <c r="AD116" s="80">
        <f t="shared" si="45"/>
        <v>1026054.2</v>
      </c>
      <c r="AE116" s="80">
        <f t="shared" si="45"/>
        <v>1026054.2</v>
      </c>
      <c r="AF116" s="80">
        <f t="shared" si="45"/>
        <v>1026054.2</v>
      </c>
      <c r="AG116" s="80">
        <f>ROUND(AG8+AG15+AG39+AG45+SUM(AG62:AG63)+AG71+AG84+AG90+AG102+AG111+SUM(AG115:AG115),0)</f>
        <v>1026054</v>
      </c>
      <c r="AH116" s="80">
        <f>ROUND(AH8+AH15+AH39+AH45+SUM(AH62:AH63)+AH71+AH84+AH90+AH102+AH111+SUM(AH115:AH115),0)+20000</f>
        <v>1046054</v>
      </c>
      <c r="AJ116" s="176" t="s">
        <v>971</v>
      </c>
      <c r="AK116" s="112"/>
    </row>
    <row r="117" spans="1:37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25"/>
        <v>0</v>
      </c>
      <c r="Q117" s="69">
        <f t="shared" si="25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  <c r="AF117" s="66"/>
      <c r="AG117" s="66"/>
      <c r="AH117" s="66"/>
    </row>
    <row r="118" spans="1:37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25"/>
        <v>0</v>
      </c>
      <c r="Q118" s="69">
        <f t="shared" si="25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  <c r="AG118" s="66">
        <v>1108895</v>
      </c>
      <c r="AH118" s="66">
        <v>1108895</v>
      </c>
    </row>
    <row r="119" spans="1:37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46">ROUND(H119+J119+L119,5)</f>
        <v>488400</v>
      </c>
      <c r="O119" s="66">
        <f t="shared" si="46"/>
        <v>485585</v>
      </c>
      <c r="P119" s="69">
        <f t="shared" si="25"/>
        <v>162800</v>
      </c>
      <c r="Q119" s="69">
        <f t="shared" si="25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  <c r="AF119" s="66"/>
      <c r="AG119" s="66"/>
      <c r="AH119" s="66"/>
    </row>
    <row r="120" spans="1:37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46"/>
        <v>399075</v>
      </c>
      <c r="O120" s="66">
        <f t="shared" si="46"/>
        <v>126010</v>
      </c>
      <c r="P120" s="69">
        <f t="shared" si="25"/>
        <v>133025</v>
      </c>
      <c r="Q120" s="69">
        <f t="shared" si="25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  <c r="AF120" s="66"/>
      <c r="AG120" s="66"/>
      <c r="AH120" s="66"/>
    </row>
    <row r="121" spans="1:37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46"/>
        <v>265</v>
      </c>
      <c r="O121" s="66">
        <f t="shared" si="46"/>
        <v>0</v>
      </c>
      <c r="P121" s="69">
        <f t="shared" si="25"/>
        <v>88.333333333333329</v>
      </c>
      <c r="Q121" s="69">
        <f t="shared" si="25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  <c r="AF121" s="66"/>
      <c r="AG121" s="66"/>
      <c r="AH121" s="66"/>
    </row>
    <row r="122" spans="1:37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46"/>
        <v>265</v>
      </c>
      <c r="O122" s="66">
        <f t="shared" si="46"/>
        <v>91390</v>
      </c>
      <c r="P122" s="69">
        <f t="shared" si="25"/>
        <v>88.333333333333329</v>
      </c>
      <c r="Q122" s="69">
        <f t="shared" si="25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  <c r="AF122" s="66"/>
      <c r="AG122" s="66"/>
      <c r="AH122" s="66"/>
    </row>
    <row r="123" spans="1:37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46"/>
        <v>98830</v>
      </c>
      <c r="O123" s="66">
        <f t="shared" si="46"/>
        <v>125165</v>
      </c>
      <c r="P123" s="69">
        <f t="shared" si="25"/>
        <v>32943.333333333336</v>
      </c>
      <c r="Q123" s="69">
        <f t="shared" si="25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  <c r="AF123" s="66"/>
      <c r="AG123" s="66"/>
      <c r="AH123" s="66"/>
    </row>
    <row r="124" spans="1:37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47">ROUND(SUM(H118:H123),5)</f>
        <v>322815</v>
      </c>
      <c r="I124" s="75">
        <f t="shared" si="47"/>
        <v>280085</v>
      </c>
      <c r="J124" s="76">
        <f t="shared" si="47"/>
        <v>327395</v>
      </c>
      <c r="K124" s="76">
        <f t="shared" si="47"/>
        <v>231075</v>
      </c>
      <c r="L124" s="77">
        <f t="shared" si="47"/>
        <v>336625</v>
      </c>
      <c r="M124" s="77">
        <f t="shared" si="47"/>
        <v>316990</v>
      </c>
      <c r="N124" s="78">
        <f t="shared" si="46"/>
        <v>986835</v>
      </c>
      <c r="O124" s="78">
        <f t="shared" si="46"/>
        <v>828150</v>
      </c>
      <c r="P124" s="79">
        <f t="shared" si="25"/>
        <v>328945</v>
      </c>
      <c r="Q124" s="79">
        <f t="shared" si="25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 t="shared" ref="AB124:AG124" si="48">ROUND(SUM(AB118:AB123),5)</f>
        <v>1043950</v>
      </c>
      <c r="AC124" s="78">
        <f t="shared" si="48"/>
        <v>1043950</v>
      </c>
      <c r="AD124" s="78">
        <f t="shared" si="48"/>
        <v>1043950</v>
      </c>
      <c r="AE124" s="78">
        <f t="shared" si="48"/>
        <v>1043950</v>
      </c>
      <c r="AF124" s="78">
        <f t="shared" si="48"/>
        <v>1069055</v>
      </c>
      <c r="AG124" s="78">
        <f t="shared" si="48"/>
        <v>1108895</v>
      </c>
      <c r="AH124" s="78">
        <f t="shared" ref="AH124" si="49">ROUND(SUM(AH118:AH123),5)</f>
        <v>1108895</v>
      </c>
    </row>
    <row r="125" spans="1:37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25"/>
        <v>0</v>
      </c>
      <c r="Q125" s="69">
        <f t="shared" si="25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  <c r="AF125" s="66"/>
      <c r="AG125" s="66"/>
      <c r="AH125" s="66"/>
    </row>
    <row r="126" spans="1:37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50">ROUND(H126+J126+L126,5)</f>
        <v>294615</v>
      </c>
      <c r="O126" s="66">
        <f t="shared" si="50"/>
        <v>236035</v>
      </c>
      <c r="P126" s="69">
        <f t="shared" si="25"/>
        <v>98205</v>
      </c>
      <c r="Q126" s="69">
        <f t="shared" si="25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  <c r="AF126" s="66"/>
      <c r="AG126" s="66"/>
      <c r="AH126" s="66"/>
    </row>
    <row r="127" spans="1:37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50"/>
        <v>96940</v>
      </c>
      <c r="O127" s="66">
        <f t="shared" si="50"/>
        <v>135795</v>
      </c>
      <c r="P127" s="69">
        <f t="shared" si="25"/>
        <v>32313.333333333332</v>
      </c>
      <c r="Q127" s="69">
        <f t="shared" si="25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  <c r="AF127" s="66"/>
      <c r="AG127" s="66"/>
      <c r="AH127" s="66"/>
    </row>
    <row r="128" spans="1:37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50"/>
        <v>69790</v>
      </c>
      <c r="O128" s="66">
        <f t="shared" si="50"/>
        <v>111720</v>
      </c>
      <c r="P128" s="69">
        <f t="shared" si="25"/>
        <v>23263.333333333332</v>
      </c>
      <c r="Q128" s="69">
        <f t="shared" si="25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  <c r="AF128" s="66"/>
      <c r="AG128" s="66"/>
      <c r="AH128" s="66"/>
    </row>
    <row r="129" spans="1:34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50"/>
        <v>81000</v>
      </c>
      <c r="O129" s="73">
        <f t="shared" si="50"/>
        <v>99880</v>
      </c>
      <c r="P129" s="74">
        <f t="shared" si="25"/>
        <v>27000</v>
      </c>
      <c r="Q129" s="74">
        <f t="shared" si="25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  <c r="AF129" s="73"/>
      <c r="AG129" s="73"/>
      <c r="AH129" s="73"/>
    </row>
    <row r="130" spans="1:34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51">ROUND(SUM(H125:H129),5)</f>
        <v>172910</v>
      </c>
      <c r="I130" s="63">
        <f t="shared" si="51"/>
        <v>222395</v>
      </c>
      <c r="J130" s="64">
        <f t="shared" si="51"/>
        <v>180035</v>
      </c>
      <c r="K130" s="64">
        <f t="shared" si="51"/>
        <v>178545</v>
      </c>
      <c r="L130" s="65">
        <f t="shared" si="51"/>
        <v>189400</v>
      </c>
      <c r="M130" s="65">
        <f t="shared" si="51"/>
        <v>182490</v>
      </c>
      <c r="N130" s="66">
        <f t="shared" si="50"/>
        <v>542345</v>
      </c>
      <c r="O130" s="66">
        <f t="shared" si="50"/>
        <v>583430</v>
      </c>
      <c r="P130" s="69">
        <f t="shared" si="25"/>
        <v>180781.66666666666</v>
      </c>
      <c r="Q130" s="69">
        <f t="shared" si="25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 t="shared" ref="AB130:AG130" si="52">ROUND(SUM(AB125:AB129),5)</f>
        <v>0</v>
      </c>
      <c r="AC130" s="66">
        <f t="shared" si="52"/>
        <v>0</v>
      </c>
      <c r="AD130" s="66">
        <f t="shared" si="52"/>
        <v>0</v>
      </c>
      <c r="AE130" s="66">
        <f t="shared" si="52"/>
        <v>0</v>
      </c>
      <c r="AF130" s="66">
        <f t="shared" si="52"/>
        <v>0</v>
      </c>
      <c r="AG130" s="66">
        <f t="shared" si="52"/>
        <v>0</v>
      </c>
      <c r="AH130" s="66">
        <f t="shared" ref="AH130" si="53">ROUND(SUM(AH125:AH129),5)</f>
        <v>0</v>
      </c>
    </row>
    <row r="131" spans="1:34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25"/>
        <v>0</v>
      </c>
      <c r="Q131" s="69">
        <f t="shared" si="25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  <c r="AF131" s="66"/>
      <c r="AG131" s="66"/>
      <c r="AH131" s="66"/>
    </row>
    <row r="132" spans="1:34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54">ROUND(H132+J132+L132,5)</f>
        <v>59355</v>
      </c>
      <c r="O132" s="66">
        <f t="shared" si="54"/>
        <v>117110</v>
      </c>
      <c r="P132" s="69">
        <f t="shared" si="25"/>
        <v>19785</v>
      </c>
      <c r="Q132" s="69">
        <f t="shared" si="25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  <c r="AF132" s="66"/>
      <c r="AG132" s="66"/>
      <c r="AH132" s="66"/>
    </row>
    <row r="133" spans="1:34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54"/>
        <v>22765</v>
      </c>
      <c r="O133" s="66">
        <f t="shared" si="54"/>
        <v>58385</v>
      </c>
      <c r="P133" s="69">
        <f t="shared" si="25"/>
        <v>7588.333333333333</v>
      </c>
      <c r="Q133" s="69">
        <f t="shared" si="25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  <c r="AF133" s="66"/>
      <c r="AG133" s="66"/>
      <c r="AH133" s="66"/>
    </row>
    <row r="134" spans="1:34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54"/>
        <v>55100</v>
      </c>
      <c r="O134" s="73">
        <f t="shared" si="54"/>
        <v>63285</v>
      </c>
      <c r="P134" s="74">
        <f t="shared" si="25"/>
        <v>18366.666666666668</v>
      </c>
      <c r="Q134" s="74">
        <f t="shared" si="25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  <c r="AF134" s="73"/>
      <c r="AG134" s="73"/>
      <c r="AH134" s="73"/>
    </row>
    <row r="135" spans="1:34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55">ROUND(SUM(H131:H134),5)</f>
        <v>47660</v>
      </c>
      <c r="I135" s="63">
        <f t="shared" si="55"/>
        <v>89480</v>
      </c>
      <c r="J135" s="64">
        <f t="shared" si="55"/>
        <v>50325</v>
      </c>
      <c r="K135" s="64">
        <f t="shared" si="55"/>
        <v>95015</v>
      </c>
      <c r="L135" s="65">
        <f t="shared" si="55"/>
        <v>39235</v>
      </c>
      <c r="M135" s="65">
        <f t="shared" si="55"/>
        <v>54285</v>
      </c>
      <c r="N135" s="66">
        <f t="shared" si="54"/>
        <v>137220</v>
      </c>
      <c r="O135" s="66">
        <f t="shared" si="54"/>
        <v>238780</v>
      </c>
      <c r="P135" s="69">
        <f t="shared" si="25"/>
        <v>45740</v>
      </c>
      <c r="Q135" s="69">
        <f t="shared" si="25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 t="shared" ref="AB135:AG135" si="56">ROUND(SUM(AB131:AB134),5)</f>
        <v>0</v>
      </c>
      <c r="AC135" s="66">
        <f t="shared" si="56"/>
        <v>0</v>
      </c>
      <c r="AD135" s="66">
        <f t="shared" si="56"/>
        <v>0</v>
      </c>
      <c r="AE135" s="66">
        <f t="shared" si="56"/>
        <v>0</v>
      </c>
      <c r="AF135" s="66">
        <f t="shared" si="56"/>
        <v>0</v>
      </c>
      <c r="AG135" s="66">
        <f t="shared" si="56"/>
        <v>0</v>
      </c>
      <c r="AH135" s="66">
        <f t="shared" ref="AH135" si="57">ROUND(SUM(AH131:AH134),5)</f>
        <v>0</v>
      </c>
    </row>
    <row r="136" spans="1:34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25"/>
        <v>0</v>
      </c>
      <c r="Q136" s="69">
        <f t="shared" si="25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  <c r="AF136" s="66"/>
      <c r="AG136" s="66"/>
      <c r="AH136" s="66"/>
    </row>
    <row r="137" spans="1:34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58">ROUND(H137+J137+L137,5)</f>
        <v>139495</v>
      </c>
      <c r="O137" s="66">
        <f t="shared" si="58"/>
        <v>160315</v>
      </c>
      <c r="P137" s="69">
        <f t="shared" si="25"/>
        <v>46498.333333333336</v>
      </c>
      <c r="Q137" s="69">
        <f t="shared" si="25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  <c r="AF137" s="66"/>
      <c r="AG137" s="66"/>
      <c r="AH137" s="66"/>
    </row>
    <row r="138" spans="1:34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58"/>
        <v>11925</v>
      </c>
      <c r="O138" s="66">
        <f t="shared" si="58"/>
        <v>57525</v>
      </c>
      <c r="P138" s="69">
        <f t="shared" ref="P138:Q198" si="59">N138/3</f>
        <v>3975</v>
      </c>
      <c r="Q138" s="69">
        <f t="shared" si="59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  <c r="AF138" s="66"/>
      <c r="AG138" s="66"/>
      <c r="AH138" s="66"/>
    </row>
    <row r="139" spans="1:34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58"/>
        <v>54560</v>
      </c>
      <c r="O139" s="66">
        <f t="shared" si="58"/>
        <v>80605</v>
      </c>
      <c r="P139" s="69">
        <f t="shared" si="59"/>
        <v>18186.666666666668</v>
      </c>
      <c r="Q139" s="69">
        <f t="shared" si="59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  <c r="AF139" s="66"/>
      <c r="AG139" s="66"/>
      <c r="AH139" s="66"/>
    </row>
    <row r="140" spans="1:34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58"/>
        <v>35915</v>
      </c>
      <c r="O140" s="73">
        <f t="shared" si="58"/>
        <v>52710</v>
      </c>
      <c r="P140" s="74">
        <f t="shared" si="59"/>
        <v>11971.666666666666</v>
      </c>
      <c r="Q140" s="74">
        <f t="shared" si="59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  <c r="AF140" s="73"/>
      <c r="AG140" s="73"/>
      <c r="AH140" s="73"/>
    </row>
    <row r="141" spans="1:34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60">ROUND(SUM(H136:H140),5)</f>
        <v>92055</v>
      </c>
      <c r="I141" s="63">
        <f t="shared" si="60"/>
        <v>121215</v>
      </c>
      <c r="J141" s="64">
        <f t="shared" si="60"/>
        <v>73370</v>
      </c>
      <c r="K141" s="64">
        <f t="shared" si="60"/>
        <v>124725</v>
      </c>
      <c r="L141" s="65">
        <f t="shared" si="60"/>
        <v>76470</v>
      </c>
      <c r="M141" s="65">
        <f t="shared" si="60"/>
        <v>105215</v>
      </c>
      <c r="N141" s="66">
        <f t="shared" si="58"/>
        <v>241895</v>
      </c>
      <c r="O141" s="66">
        <f t="shared" si="58"/>
        <v>351155</v>
      </c>
      <c r="P141" s="69">
        <f t="shared" si="59"/>
        <v>80631.666666666672</v>
      </c>
      <c r="Q141" s="69">
        <f t="shared" si="59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 t="shared" ref="AB141:AG141" si="61">ROUND(SUM(AB136:AB140),5)</f>
        <v>0</v>
      </c>
      <c r="AC141" s="66">
        <f t="shared" si="61"/>
        <v>0</v>
      </c>
      <c r="AD141" s="66">
        <f t="shared" si="61"/>
        <v>0</v>
      </c>
      <c r="AE141" s="66">
        <f t="shared" si="61"/>
        <v>0</v>
      </c>
      <c r="AF141" s="66">
        <f t="shared" si="61"/>
        <v>0</v>
      </c>
      <c r="AG141" s="66">
        <f t="shared" si="61"/>
        <v>0</v>
      </c>
      <c r="AH141" s="66">
        <f t="shared" ref="AH141" si="62">ROUND(SUM(AH136:AH140),5)</f>
        <v>0</v>
      </c>
    </row>
    <row r="142" spans="1:34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59"/>
        <v>0</v>
      </c>
      <c r="Q142" s="69">
        <f t="shared" si="59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  <c r="AF142" s="66"/>
      <c r="AG142" s="66"/>
      <c r="AH142" s="66"/>
    </row>
    <row r="143" spans="1:34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59"/>
        <v>-129721.66666666667</v>
      </c>
      <c r="Q143" s="74">
        <f t="shared" si="59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  <c r="AG143" s="73">
        <f>ROUND(-121383.54, 0)</f>
        <v>-121384</v>
      </c>
      <c r="AH143" s="73">
        <f>ROUND(-121383.54, 0)</f>
        <v>-121384</v>
      </c>
    </row>
    <row r="144" spans="1:34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63">ROUND(SUM(H142:H143),5)</f>
        <v>-125650</v>
      </c>
      <c r="I144" s="63">
        <f t="shared" si="63"/>
        <v>-126150</v>
      </c>
      <c r="J144" s="64">
        <f t="shared" si="63"/>
        <v>-133460</v>
      </c>
      <c r="K144" s="64">
        <f t="shared" si="63"/>
        <v>-130115.02</v>
      </c>
      <c r="L144" s="65">
        <f t="shared" si="63"/>
        <v>-130055</v>
      </c>
      <c r="M144" s="65">
        <f t="shared" si="63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59"/>
        <v>-129721.66666666667</v>
      </c>
      <c r="Q144" s="69">
        <f t="shared" si="59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 t="shared" ref="AB144:AG144" si="64">ROUND(SUM(AB142:AB143),5)</f>
        <v>-116261.69</v>
      </c>
      <c r="AC144" s="66">
        <f t="shared" si="64"/>
        <v>-116261.69</v>
      </c>
      <c r="AD144" s="66">
        <f t="shared" si="64"/>
        <v>-116261.69</v>
      </c>
      <c r="AE144" s="66">
        <f t="shared" si="64"/>
        <v>-116261.69</v>
      </c>
      <c r="AF144" s="66">
        <f t="shared" si="64"/>
        <v>-118175</v>
      </c>
      <c r="AG144" s="66">
        <f t="shared" si="64"/>
        <v>-121384</v>
      </c>
      <c r="AH144" s="66">
        <f t="shared" ref="AH144" si="65">ROUND(SUM(AH142:AH143),5)</f>
        <v>-121384</v>
      </c>
    </row>
    <row r="145" spans="1:36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59"/>
        <v>0</v>
      </c>
      <c r="Q145" s="69">
        <f t="shared" si="59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F145" s="66"/>
      <c r="AG145" s="66"/>
      <c r="AH145" s="66"/>
      <c r="AJ145" s="173"/>
    </row>
    <row r="146" spans="1:36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66">ROUND(H146+J146+L146,5)</f>
        <v>15355</v>
      </c>
      <c r="O146" s="66">
        <f t="shared" si="66"/>
        <v>40980</v>
      </c>
      <c r="P146" s="69">
        <f t="shared" si="59"/>
        <v>5118.333333333333</v>
      </c>
      <c r="Q146" s="69">
        <f t="shared" si="59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  <c r="AF146" s="66"/>
      <c r="AG146" s="66"/>
      <c r="AH146" s="66"/>
    </row>
    <row r="147" spans="1:36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66"/>
        <v>11325</v>
      </c>
      <c r="O147" s="66">
        <f t="shared" si="66"/>
        <v>40155</v>
      </c>
      <c r="P147" s="69">
        <f t="shared" si="59"/>
        <v>3775</v>
      </c>
      <c r="Q147" s="69">
        <f t="shared" si="59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  <c r="AF147" s="66"/>
      <c r="AG147" s="66"/>
      <c r="AH147" s="66"/>
    </row>
    <row r="148" spans="1:36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66"/>
        <v>13910</v>
      </c>
      <c r="O148" s="66">
        <f t="shared" si="66"/>
        <v>41310</v>
      </c>
      <c r="P148" s="69">
        <f t="shared" si="59"/>
        <v>4636.666666666667</v>
      </c>
      <c r="Q148" s="69">
        <f t="shared" si="59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  <c r="AF148" s="66"/>
      <c r="AG148" s="66"/>
      <c r="AH148" s="66"/>
    </row>
    <row r="149" spans="1:36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66"/>
        <v>14095</v>
      </c>
      <c r="O149" s="66">
        <f t="shared" si="66"/>
        <v>40355</v>
      </c>
      <c r="P149" s="69">
        <f t="shared" si="59"/>
        <v>4698.333333333333</v>
      </c>
      <c r="Q149" s="69">
        <f t="shared" si="59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  <c r="AF149" s="66"/>
      <c r="AG149" s="66"/>
      <c r="AH149" s="66"/>
    </row>
    <row r="150" spans="1:36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66"/>
        <v>25215</v>
      </c>
      <c r="O150" s="73">
        <f t="shared" si="66"/>
        <v>66355</v>
      </c>
      <c r="P150" s="74">
        <f t="shared" si="59"/>
        <v>8405</v>
      </c>
      <c r="Q150" s="74">
        <f t="shared" si="59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  <c r="AF150" s="73"/>
      <c r="AG150" s="73"/>
      <c r="AH150" s="73"/>
    </row>
    <row r="151" spans="1:36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67">ROUND(SUM(H145:H150),5)</f>
        <v>28635</v>
      </c>
      <c r="I151" s="63">
        <f t="shared" si="67"/>
        <v>84725</v>
      </c>
      <c r="J151" s="64">
        <f t="shared" si="67"/>
        <v>25420</v>
      </c>
      <c r="K151" s="64">
        <f t="shared" si="67"/>
        <v>100435</v>
      </c>
      <c r="L151" s="65">
        <f t="shared" si="67"/>
        <v>25845</v>
      </c>
      <c r="M151" s="65">
        <f t="shared" si="67"/>
        <v>43995</v>
      </c>
      <c r="N151" s="66">
        <f t="shared" si="66"/>
        <v>79900</v>
      </c>
      <c r="O151" s="66">
        <f t="shared" si="66"/>
        <v>229155</v>
      </c>
      <c r="P151" s="69">
        <f t="shared" si="59"/>
        <v>26633.333333333332</v>
      </c>
      <c r="Q151" s="69">
        <f t="shared" si="59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 t="shared" ref="AB151:AG151" si="68">ROUND(SUM(AB145:AB150),5)</f>
        <v>0</v>
      </c>
      <c r="AC151" s="66">
        <f t="shared" si="68"/>
        <v>0</v>
      </c>
      <c r="AD151" s="66">
        <f t="shared" si="68"/>
        <v>0</v>
      </c>
      <c r="AE151" s="66">
        <f t="shared" si="68"/>
        <v>0</v>
      </c>
      <c r="AF151" s="66">
        <f t="shared" si="68"/>
        <v>0</v>
      </c>
      <c r="AG151" s="66">
        <f t="shared" si="68"/>
        <v>0</v>
      </c>
      <c r="AH151" s="66">
        <f t="shared" ref="AH151" si="69">ROUND(SUM(AH145:AH150),5)</f>
        <v>0</v>
      </c>
    </row>
    <row r="152" spans="1:36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59"/>
        <v>0</v>
      </c>
      <c r="Q152" s="69">
        <f t="shared" si="59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  <c r="AF152" s="66"/>
      <c r="AG152" s="66"/>
      <c r="AH152" s="66"/>
    </row>
    <row r="153" spans="1:36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70">ROUND(H153+J153+L153,5)</f>
        <v>158780</v>
      </c>
      <c r="O153" s="66">
        <f t="shared" si="70"/>
        <v>106120</v>
      </c>
      <c r="P153" s="69">
        <f t="shared" si="59"/>
        <v>52926.666666666664</v>
      </c>
      <c r="Q153" s="69">
        <f t="shared" si="59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  <c r="AF153" s="66"/>
      <c r="AG153" s="66"/>
      <c r="AH153" s="66"/>
    </row>
    <row r="154" spans="1:36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70"/>
        <v>0</v>
      </c>
      <c r="O154" s="66">
        <f t="shared" si="70"/>
        <v>0</v>
      </c>
      <c r="P154" s="69">
        <f t="shared" si="59"/>
        <v>0</v>
      </c>
      <c r="Q154" s="69">
        <f t="shared" si="59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  <c r="AF154" s="66"/>
      <c r="AG154" s="66"/>
      <c r="AH154" s="66"/>
    </row>
    <row r="155" spans="1:36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70"/>
        <v>20005</v>
      </c>
      <c r="O155" s="73">
        <f t="shared" si="70"/>
        <v>57720</v>
      </c>
      <c r="P155" s="74">
        <f t="shared" si="59"/>
        <v>6668.333333333333</v>
      </c>
      <c r="Q155" s="74">
        <f t="shared" si="59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  <c r="AF155" s="73"/>
      <c r="AG155" s="73"/>
      <c r="AH155" s="73"/>
    </row>
    <row r="156" spans="1:36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71">ROUND(SUM(H152:H155),5)</f>
        <v>49410</v>
      </c>
      <c r="I156" s="63">
        <f t="shared" si="71"/>
        <v>53770</v>
      </c>
      <c r="J156" s="64">
        <f t="shared" si="71"/>
        <v>64775</v>
      </c>
      <c r="K156" s="64">
        <f t="shared" si="71"/>
        <v>53565</v>
      </c>
      <c r="L156" s="65">
        <f t="shared" si="71"/>
        <v>64600</v>
      </c>
      <c r="M156" s="65">
        <f t="shared" si="71"/>
        <v>56505</v>
      </c>
      <c r="N156" s="66">
        <f t="shared" si="70"/>
        <v>178785</v>
      </c>
      <c r="O156" s="66">
        <f t="shared" si="70"/>
        <v>163840</v>
      </c>
      <c r="P156" s="69">
        <f t="shared" si="59"/>
        <v>59595</v>
      </c>
      <c r="Q156" s="69">
        <f t="shared" si="59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 t="shared" ref="AB156:AG156" si="72">ROUND(SUM(AB152:AB155),5)</f>
        <v>0</v>
      </c>
      <c r="AC156" s="66">
        <f t="shared" si="72"/>
        <v>0</v>
      </c>
      <c r="AD156" s="66">
        <f t="shared" si="72"/>
        <v>0</v>
      </c>
      <c r="AE156" s="66">
        <f t="shared" si="72"/>
        <v>0</v>
      </c>
      <c r="AF156" s="66">
        <f t="shared" si="72"/>
        <v>0</v>
      </c>
      <c r="AG156" s="66">
        <f t="shared" si="72"/>
        <v>0</v>
      </c>
      <c r="AH156" s="66">
        <f t="shared" ref="AH156" si="73">ROUND(SUM(AH152:AH155),5)</f>
        <v>0</v>
      </c>
    </row>
    <row r="157" spans="1:36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59"/>
        <v>0</v>
      </c>
      <c r="Q157" s="69">
        <f t="shared" si="59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  <c r="AF157" s="66"/>
      <c r="AG157" s="66"/>
      <c r="AH157" s="66"/>
    </row>
    <row r="158" spans="1:36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59"/>
        <v>44666.666666666664</v>
      </c>
      <c r="Q158" s="74">
        <f t="shared" si="59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  <c r="AF158" s="73"/>
      <c r="AG158" s="73"/>
      <c r="AH158" s="73"/>
    </row>
    <row r="159" spans="1:36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74">ROUND(SUM(H157:H158),5)</f>
        <v>40160</v>
      </c>
      <c r="I159" s="63">
        <f t="shared" si="74"/>
        <v>39540</v>
      </c>
      <c r="J159" s="64">
        <f t="shared" si="74"/>
        <v>42655</v>
      </c>
      <c r="K159" s="64">
        <f t="shared" si="74"/>
        <v>40060</v>
      </c>
      <c r="L159" s="65">
        <f t="shared" si="74"/>
        <v>51185</v>
      </c>
      <c r="M159" s="65">
        <f t="shared" si="74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59"/>
        <v>44666.666666666664</v>
      </c>
      <c r="Q159" s="69">
        <f t="shared" si="59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 t="shared" ref="AB159:AG159" si="75">ROUND(SUM(AB157:AB158),5)</f>
        <v>0</v>
      </c>
      <c r="AC159" s="66">
        <f t="shared" si="75"/>
        <v>0</v>
      </c>
      <c r="AD159" s="66">
        <f t="shared" si="75"/>
        <v>0</v>
      </c>
      <c r="AE159" s="66">
        <f t="shared" si="75"/>
        <v>0</v>
      </c>
      <c r="AF159" s="66">
        <f t="shared" si="75"/>
        <v>0</v>
      </c>
      <c r="AG159" s="66">
        <f t="shared" si="75"/>
        <v>0</v>
      </c>
      <c r="AH159" s="66">
        <f t="shared" ref="AH159" si="76">ROUND(SUM(AH157:AH158),5)</f>
        <v>0</v>
      </c>
    </row>
    <row r="160" spans="1:36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59"/>
        <v>0</v>
      </c>
      <c r="Q160" s="69">
        <f t="shared" si="59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  <c r="AF160" s="66"/>
      <c r="AG160" s="66"/>
      <c r="AH160" s="66"/>
    </row>
    <row r="161" spans="1:42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77">ROUND(H161+J161+L161,5)</f>
        <v>246750</v>
      </c>
      <c r="O161" s="66">
        <f t="shared" si="77"/>
        <v>185670</v>
      </c>
      <c r="P161" s="69">
        <f t="shared" si="59"/>
        <v>82250</v>
      </c>
      <c r="Q161" s="69">
        <f t="shared" si="59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  <c r="AF161" s="66"/>
      <c r="AG161" s="66"/>
      <c r="AH161" s="66"/>
    </row>
    <row r="162" spans="1:42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77"/>
        <v>151865</v>
      </c>
      <c r="O162" s="66">
        <f t="shared" si="77"/>
        <v>108245</v>
      </c>
      <c r="P162" s="69">
        <f t="shared" si="59"/>
        <v>50621.666666666664</v>
      </c>
      <c r="Q162" s="69">
        <f t="shared" si="59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  <c r="AF162" s="66"/>
      <c r="AG162" s="66"/>
      <c r="AH162" s="66"/>
    </row>
    <row r="163" spans="1:42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77"/>
        <v>110740</v>
      </c>
      <c r="O163" s="73">
        <f t="shared" si="77"/>
        <v>97550</v>
      </c>
      <c r="P163" s="74">
        <f t="shared" si="59"/>
        <v>36913.333333333336</v>
      </c>
      <c r="Q163" s="74">
        <f t="shared" si="59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  <c r="AF163" s="73"/>
      <c r="AG163" s="73"/>
      <c r="AH163" s="73"/>
    </row>
    <row r="164" spans="1:42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78">ROUND(SUM(H160:H163),5)</f>
        <v>154940</v>
      </c>
      <c r="I164" s="63">
        <f t="shared" si="78"/>
        <v>123940</v>
      </c>
      <c r="J164" s="64">
        <f t="shared" si="78"/>
        <v>167910</v>
      </c>
      <c r="K164" s="64">
        <f t="shared" si="78"/>
        <v>108130</v>
      </c>
      <c r="L164" s="65">
        <f t="shared" si="78"/>
        <v>186505</v>
      </c>
      <c r="M164" s="65">
        <f t="shared" si="78"/>
        <v>159395</v>
      </c>
      <c r="N164" s="66">
        <f t="shared" si="77"/>
        <v>509355</v>
      </c>
      <c r="O164" s="66">
        <f t="shared" si="77"/>
        <v>391465</v>
      </c>
      <c r="P164" s="69">
        <f t="shared" si="59"/>
        <v>169785</v>
      </c>
      <c r="Q164" s="69">
        <f t="shared" si="59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 t="shared" ref="AB164:AG164" si="79">ROUND(SUM(AB160:AB163),5)</f>
        <v>0</v>
      </c>
      <c r="AC164" s="66">
        <f t="shared" si="79"/>
        <v>0</v>
      </c>
      <c r="AD164" s="66">
        <f t="shared" si="79"/>
        <v>0</v>
      </c>
      <c r="AE164" s="66">
        <f t="shared" si="79"/>
        <v>0</v>
      </c>
      <c r="AF164" s="66">
        <f t="shared" si="79"/>
        <v>0</v>
      </c>
      <c r="AG164" s="66">
        <f t="shared" si="79"/>
        <v>0</v>
      </c>
      <c r="AH164" s="66">
        <f t="shared" ref="AH164" si="80">ROUND(SUM(AH160:AH163),5)</f>
        <v>0</v>
      </c>
    </row>
    <row r="165" spans="1:42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59"/>
        <v>0</v>
      </c>
      <c r="Q165" s="69">
        <f t="shared" si="59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  <c r="AF165" s="66"/>
      <c r="AG165" s="66"/>
      <c r="AH165" s="66"/>
    </row>
    <row r="166" spans="1:42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81">ROUND(H166+J166+L166,5)</f>
        <v>223285</v>
      </c>
      <c r="O166" s="66">
        <f t="shared" si="81"/>
        <v>112600</v>
      </c>
      <c r="P166" s="69">
        <f t="shared" si="59"/>
        <v>74428.333333333328</v>
      </c>
      <c r="Q166" s="69">
        <f t="shared" si="59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  <c r="AF166" s="66"/>
      <c r="AG166" s="66"/>
      <c r="AH166" s="66"/>
    </row>
    <row r="167" spans="1:42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81"/>
        <v>1035</v>
      </c>
      <c r="O167" s="73">
        <f t="shared" si="81"/>
        <v>10779.56</v>
      </c>
      <c r="P167" s="74">
        <f t="shared" si="59"/>
        <v>345</v>
      </c>
      <c r="Q167" s="74">
        <f t="shared" si="59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  <c r="AF167" s="73"/>
      <c r="AG167" s="73"/>
      <c r="AH167" s="73"/>
    </row>
    <row r="168" spans="1:42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82">ROUND(SUM(H165:H167),5)</f>
        <v>66205</v>
      </c>
      <c r="I168" s="63">
        <f t="shared" si="82"/>
        <v>36000</v>
      </c>
      <c r="J168" s="64">
        <f t="shared" si="82"/>
        <v>76590</v>
      </c>
      <c r="K168" s="64">
        <f t="shared" si="82"/>
        <v>32349.56</v>
      </c>
      <c r="L168" s="65">
        <f t="shared" si="82"/>
        <v>81525</v>
      </c>
      <c r="M168" s="65">
        <f t="shared" si="82"/>
        <v>55030</v>
      </c>
      <c r="N168" s="66">
        <f t="shared" si="81"/>
        <v>224320</v>
      </c>
      <c r="O168" s="66">
        <f t="shared" si="81"/>
        <v>123379.56</v>
      </c>
      <c r="P168" s="69">
        <f t="shared" si="59"/>
        <v>74773.333333333328</v>
      </c>
      <c r="Q168" s="69">
        <f t="shared" si="59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 t="shared" ref="AB168:AG168" si="83">ROUND(SUM(AB165:AB167),5)</f>
        <v>0</v>
      </c>
      <c r="AC168" s="66">
        <f t="shared" si="83"/>
        <v>0</v>
      </c>
      <c r="AD168" s="66">
        <f t="shared" si="83"/>
        <v>0</v>
      </c>
      <c r="AE168" s="66">
        <f t="shared" si="83"/>
        <v>0</v>
      </c>
      <c r="AF168" s="66">
        <f t="shared" si="83"/>
        <v>0</v>
      </c>
      <c r="AG168" s="66">
        <f t="shared" si="83"/>
        <v>0</v>
      </c>
      <c r="AH168" s="66">
        <f t="shared" ref="AH168" si="84">ROUND(SUM(AH165:AH167),5)</f>
        <v>0</v>
      </c>
    </row>
    <row r="169" spans="1:42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81"/>
        <v>0</v>
      </c>
      <c r="O169" s="73">
        <f t="shared" si="81"/>
        <v>0</v>
      </c>
      <c r="P169" s="74">
        <f t="shared" si="59"/>
        <v>0</v>
      </c>
      <c r="Q169" s="74">
        <f t="shared" si="59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  <c r="AG169" s="73">
        <v>0</v>
      </c>
      <c r="AH169" s="73">
        <v>0</v>
      </c>
    </row>
    <row r="170" spans="1:42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85">ROUND(H117+H124+H130+H135+H141+H144+H151+H156+H159+H164+SUM(H168:H169),5)</f>
        <v>849140</v>
      </c>
      <c r="I170" s="63">
        <f t="shared" si="85"/>
        <v>925000</v>
      </c>
      <c r="J170" s="64">
        <f t="shared" si="85"/>
        <v>875015</v>
      </c>
      <c r="K170" s="64">
        <f t="shared" si="85"/>
        <v>833784.54</v>
      </c>
      <c r="L170" s="65">
        <f t="shared" si="85"/>
        <v>921335</v>
      </c>
      <c r="M170" s="65">
        <f t="shared" si="85"/>
        <v>890121</v>
      </c>
      <c r="N170" s="66">
        <f t="shared" si="81"/>
        <v>2645490</v>
      </c>
      <c r="O170" s="66">
        <f t="shared" si="81"/>
        <v>2648905.54</v>
      </c>
      <c r="P170" s="69">
        <f t="shared" si="59"/>
        <v>881830</v>
      </c>
      <c r="Q170" s="69">
        <f t="shared" si="59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 t="shared" ref="AB170:AG170" si="86">ROUND(AB117+AB124+AB130+AB135+AB141+AB144+AB151+AB156+AB159+AB164+SUM(AB168:AB169),5)</f>
        <v>927688.31</v>
      </c>
      <c r="AC170" s="80">
        <f t="shared" si="86"/>
        <v>927688.31</v>
      </c>
      <c r="AD170" s="80">
        <f t="shared" si="86"/>
        <v>927688.31</v>
      </c>
      <c r="AE170" s="80">
        <f t="shared" si="86"/>
        <v>927688.31</v>
      </c>
      <c r="AF170" s="80">
        <f t="shared" si="86"/>
        <v>950880</v>
      </c>
      <c r="AG170" s="80">
        <f t="shared" si="86"/>
        <v>987511</v>
      </c>
      <c r="AH170" s="80">
        <f t="shared" ref="AH170" si="87">ROUND(AH117+AH124+AH130+AH135+AH141+AH144+AH151+AH156+AH159+AH164+SUM(AH168:AH169),5)</f>
        <v>987511</v>
      </c>
      <c r="AI170" s="173"/>
      <c r="AJ170" s="176" t="s">
        <v>988</v>
      </c>
      <c r="AP170" s="318" t="s">
        <v>996</v>
      </c>
    </row>
    <row r="171" spans="1:42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59"/>
        <v>0</v>
      </c>
      <c r="Q171" s="69">
        <f t="shared" si="59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  <c r="AF171" s="66"/>
      <c r="AG171" s="66"/>
      <c r="AH171" s="66"/>
      <c r="AP171" s="318"/>
    </row>
    <row r="172" spans="1:42" ht="58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88">ROUND(H172+J172+L172,5)</f>
        <v>322169.82</v>
      </c>
      <c r="O172" s="66">
        <f t="shared" si="88"/>
        <v>137000</v>
      </c>
      <c r="P172" s="69">
        <f t="shared" si="59"/>
        <v>107389.94</v>
      </c>
      <c r="Q172" s="69">
        <f t="shared" si="59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G172" s="66">
        <f>130000+264250+77125</f>
        <v>471375</v>
      </c>
      <c r="AH172" s="66">
        <f>130000+264250+77125+125000</f>
        <v>596375</v>
      </c>
      <c r="AI172" s="206" t="s">
        <v>1000</v>
      </c>
      <c r="AJ172" s="102" t="s">
        <v>1006</v>
      </c>
      <c r="AM172" s="62" t="s">
        <v>1005</v>
      </c>
      <c r="AN172" s="159">
        <v>30000</v>
      </c>
      <c r="AP172" s="171">
        <f>AN172/5</f>
        <v>6000</v>
      </c>
    </row>
    <row r="173" spans="1:42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88"/>
        <v>242478.99</v>
      </c>
      <c r="O173" s="66">
        <f t="shared" si="88"/>
        <v>253000</v>
      </c>
      <c r="P173" s="69">
        <f>N173/3</f>
        <v>80826.33</v>
      </c>
      <c r="Q173" s="69">
        <f t="shared" si="59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 t="shared" ref="AB173:AH173" si="89">26750+29750+19500+10625</f>
        <v>86625</v>
      </c>
      <c r="AC173" s="66">
        <f t="shared" si="89"/>
        <v>86625</v>
      </c>
      <c r="AD173" s="66">
        <f t="shared" si="89"/>
        <v>86625</v>
      </c>
      <c r="AE173" s="66">
        <f t="shared" si="89"/>
        <v>86625</v>
      </c>
      <c r="AF173" s="66">
        <f t="shared" si="89"/>
        <v>86625</v>
      </c>
      <c r="AG173" s="66">
        <f t="shared" si="89"/>
        <v>86625</v>
      </c>
      <c r="AH173" s="66">
        <f t="shared" si="89"/>
        <v>86625</v>
      </c>
      <c r="AI173" s="200"/>
      <c r="AM173" s="62">
        <v>307</v>
      </c>
      <c r="AN173" s="159">
        <v>30000</v>
      </c>
      <c r="AO173" s="46" t="s">
        <v>957</v>
      </c>
      <c r="AP173" s="171">
        <f>AN173/5</f>
        <v>6000</v>
      </c>
    </row>
    <row r="174" spans="1:42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88"/>
        <v>7072</v>
      </c>
      <c r="O174" s="66">
        <f t="shared" si="88"/>
        <v>8000</v>
      </c>
      <c r="P174" s="69">
        <f t="shared" si="59"/>
        <v>2357.3333333333335</v>
      </c>
      <c r="Q174" s="69">
        <f t="shared" si="59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H174" s="66">
        <v>0</v>
      </c>
      <c r="AM174" s="62">
        <v>308</v>
      </c>
      <c r="AN174" s="159">
        <v>64250</v>
      </c>
      <c r="AO174" s="46" t="s">
        <v>957</v>
      </c>
      <c r="AP174" s="171">
        <f t="shared" ref="AP174:AP179" si="90">AN174/5</f>
        <v>12850</v>
      </c>
    </row>
    <row r="175" spans="1:42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88"/>
        <v>0</v>
      </c>
      <c r="O175" s="66">
        <f t="shared" si="88"/>
        <v>0</v>
      </c>
      <c r="P175" s="69">
        <f t="shared" si="59"/>
        <v>0</v>
      </c>
      <c r="Q175" s="69">
        <f t="shared" si="59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0</v>
      </c>
      <c r="AM175" s="62">
        <v>251</v>
      </c>
      <c r="AN175" s="159">
        <v>20000</v>
      </c>
      <c r="AP175" s="171">
        <f t="shared" si="90"/>
        <v>4000</v>
      </c>
    </row>
    <row r="176" spans="1:42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88"/>
        <v>11385</v>
      </c>
      <c r="O176" s="66">
        <f t="shared" si="88"/>
        <v>39800</v>
      </c>
      <c r="P176" s="69">
        <f t="shared" si="59"/>
        <v>3795</v>
      </c>
      <c r="Q176" s="69">
        <f t="shared" si="59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G176" s="66">
        <f>ROUND(7425*1.5, 0)</f>
        <v>11138</v>
      </c>
      <c r="AH176" s="66">
        <f>ROUND(7425*1.5, 0)</f>
        <v>11138</v>
      </c>
      <c r="AJ176" s="110" t="s">
        <v>989</v>
      </c>
      <c r="AM176" s="62">
        <v>503</v>
      </c>
      <c r="AN176" s="159">
        <v>20000</v>
      </c>
      <c r="AP176" s="171">
        <f t="shared" si="90"/>
        <v>4000</v>
      </c>
    </row>
    <row r="177" spans="1:43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88"/>
        <v>0</v>
      </c>
      <c r="O177" s="66">
        <f t="shared" si="88"/>
        <v>15000</v>
      </c>
      <c r="P177" s="69">
        <f t="shared" si="59"/>
        <v>0</v>
      </c>
      <c r="Q177" s="69">
        <f t="shared" si="59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0</v>
      </c>
      <c r="AJ177" s="147"/>
      <c r="AM177" s="62" t="s">
        <v>949</v>
      </c>
      <c r="AN177" s="159">
        <v>50000</v>
      </c>
      <c r="AP177" s="171">
        <f t="shared" si="90"/>
        <v>10000</v>
      </c>
    </row>
    <row r="178" spans="1:43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88"/>
        <v>3000</v>
      </c>
      <c r="O178" s="66">
        <f t="shared" si="88"/>
        <v>11000</v>
      </c>
      <c r="P178" s="69">
        <f t="shared" si="59"/>
        <v>1000</v>
      </c>
      <c r="Q178" s="69">
        <f t="shared" si="59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H178" s="66">
        <v>0</v>
      </c>
      <c r="AJ178" s="147"/>
      <c r="AK178" s="111"/>
      <c r="AM178" s="62" t="s">
        <v>950</v>
      </c>
      <c r="AN178" s="159">
        <v>50000</v>
      </c>
      <c r="AP178" s="171">
        <f t="shared" si="90"/>
        <v>10000</v>
      </c>
    </row>
    <row r="179" spans="1:43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88"/>
        <v>56296.39</v>
      </c>
      <c r="O179" s="66">
        <f t="shared" si="88"/>
        <v>28065</v>
      </c>
      <c r="P179" s="69">
        <f t="shared" si="59"/>
        <v>18765.463333333333</v>
      </c>
      <c r="Q179" s="69">
        <f t="shared" si="59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G179" s="66">
        <v>16325</v>
      </c>
      <c r="AH179" s="66">
        <v>16325</v>
      </c>
      <c r="AJ179" s="182"/>
      <c r="AK179" s="111"/>
      <c r="AM179" s="62" t="s">
        <v>951</v>
      </c>
      <c r="AN179" s="159">
        <v>30000</v>
      </c>
      <c r="AP179" s="171">
        <f t="shared" si="90"/>
        <v>6000</v>
      </c>
    </row>
    <row r="180" spans="1:43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88"/>
        <v>9375</v>
      </c>
      <c r="O180" s="66">
        <f t="shared" si="88"/>
        <v>18070</v>
      </c>
      <c r="P180" s="69">
        <f t="shared" si="59"/>
        <v>3125</v>
      </c>
      <c r="Q180" s="69">
        <f t="shared" si="59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G180" s="66">
        <v>10050</v>
      </c>
      <c r="AH180" s="66">
        <v>10050</v>
      </c>
      <c r="AL180" s="171"/>
      <c r="AM180" s="203" t="s">
        <v>999</v>
      </c>
      <c r="AN180" s="170">
        <f>SUM(AN172:AN179)</f>
        <v>294250</v>
      </c>
      <c r="AP180" s="171"/>
      <c r="AQ180" s="171">
        <f>AN180/5</f>
        <v>58850</v>
      </c>
    </row>
    <row r="181" spans="1:43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88"/>
        <v>5322.15</v>
      </c>
      <c r="O181" s="66">
        <f t="shared" si="88"/>
        <v>4200</v>
      </c>
      <c r="P181" s="69">
        <f t="shared" si="59"/>
        <v>1774.05</v>
      </c>
      <c r="Q181" s="69">
        <f t="shared" si="59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G181" s="66">
        <v>1200</v>
      </c>
      <c r="AH181" s="66">
        <v>1200</v>
      </c>
      <c r="AL181" s="46" t="s">
        <v>998</v>
      </c>
      <c r="AM181" s="204" t="s">
        <v>948</v>
      </c>
      <c r="AN181" s="201">
        <f>AF172-AN180+50000</f>
        <v>150000</v>
      </c>
    </row>
    <row r="182" spans="1:43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91">ROUND(SUM(H171:H181),5)</f>
        <v>94478.28</v>
      </c>
      <c r="I182" s="83">
        <f t="shared" si="91"/>
        <v>186755</v>
      </c>
      <c r="J182" s="84">
        <f t="shared" si="91"/>
        <v>252523.42</v>
      </c>
      <c r="K182" s="84">
        <f t="shared" si="91"/>
        <v>146000</v>
      </c>
      <c r="L182" s="85">
        <f t="shared" si="91"/>
        <v>310097.65000000002</v>
      </c>
      <c r="M182" s="85">
        <f t="shared" si="91"/>
        <v>181380</v>
      </c>
      <c r="N182" s="86">
        <f t="shared" si="88"/>
        <v>657099.35</v>
      </c>
      <c r="O182" s="86">
        <f t="shared" si="88"/>
        <v>514135</v>
      </c>
      <c r="P182" s="87">
        <f t="shared" si="59"/>
        <v>219033.11666666667</v>
      </c>
      <c r="Q182" s="87">
        <f t="shared" si="59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 t="shared" ref="AB182:AG182" si="92">ROUND(SUM(AB171:AB181),5)</f>
        <v>385875</v>
      </c>
      <c r="AC182" s="88">
        <f t="shared" si="92"/>
        <v>385875</v>
      </c>
      <c r="AD182" s="88">
        <f t="shared" si="92"/>
        <v>385875</v>
      </c>
      <c r="AE182" s="88">
        <f t="shared" si="92"/>
        <v>385875</v>
      </c>
      <c r="AF182" s="88">
        <f t="shared" si="92"/>
        <v>515875</v>
      </c>
      <c r="AG182" s="88">
        <f t="shared" si="92"/>
        <v>596713</v>
      </c>
      <c r="AH182" s="88">
        <f t="shared" ref="AH182" si="93">ROUND(SUM(AH171:AH181),5)</f>
        <v>721713</v>
      </c>
    </row>
    <row r="183" spans="1:43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94">ROUND(H7+H116+H170+H182,5)</f>
        <v>1704028.01</v>
      </c>
      <c r="I183" s="63">
        <f t="shared" si="94"/>
        <v>2024739</v>
      </c>
      <c r="J183" s="64">
        <f t="shared" si="94"/>
        <v>1983347.64</v>
      </c>
      <c r="K183" s="64">
        <f t="shared" si="94"/>
        <v>1884399.92</v>
      </c>
      <c r="L183" s="65">
        <f t="shared" si="94"/>
        <v>2267674.2599999998</v>
      </c>
      <c r="M183" s="65">
        <f t="shared" si="94"/>
        <v>1998330</v>
      </c>
      <c r="N183" s="66">
        <f t="shared" si="88"/>
        <v>5955049.9100000001</v>
      </c>
      <c r="O183" s="66">
        <f t="shared" si="88"/>
        <v>5907468.9199999999</v>
      </c>
      <c r="P183" s="69">
        <f t="shared" si="59"/>
        <v>1985016.6366666667</v>
      </c>
      <c r="Q183" s="69">
        <f t="shared" si="59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 t="shared" ref="AB183:AG183" si="95">ROUND(AB7+AB116+AB170+AB182,5)</f>
        <v>2274348.11</v>
      </c>
      <c r="AC183" s="66">
        <f t="shared" si="95"/>
        <v>2274348.11</v>
      </c>
      <c r="AD183" s="66">
        <f t="shared" si="95"/>
        <v>2339617.5099999998</v>
      </c>
      <c r="AE183" s="66">
        <f t="shared" si="95"/>
        <v>2339617.5099999998</v>
      </c>
      <c r="AF183" s="66">
        <f t="shared" si="95"/>
        <v>2492809.2000000002</v>
      </c>
      <c r="AG183" s="66">
        <f t="shared" si="95"/>
        <v>2610278</v>
      </c>
      <c r="AH183" s="66">
        <f t="shared" ref="AH183" si="96">ROUND(AH7+AH116+AH170+AH182,5)</f>
        <v>2755278</v>
      </c>
      <c r="AJ183" s="177"/>
      <c r="AM183" s="46" t="s">
        <v>959</v>
      </c>
      <c r="AN183" s="111">
        <f>2800*5</f>
        <v>14000</v>
      </c>
      <c r="AP183" s="112">
        <f>AN183/5</f>
        <v>2800</v>
      </c>
    </row>
    <row r="184" spans="1:43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59"/>
        <v>0</v>
      </c>
      <c r="Q184" s="69">
        <f t="shared" si="59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  <c r="AF184" s="66"/>
      <c r="AG184" s="66"/>
      <c r="AH184" s="66"/>
      <c r="AJ184" s="178"/>
      <c r="AM184" s="46" t="s">
        <v>960</v>
      </c>
      <c r="AN184" s="111">
        <v>10000</v>
      </c>
      <c r="AP184" s="112">
        <f>AN184/5</f>
        <v>2000</v>
      </c>
    </row>
    <row r="185" spans="1:43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97">ROUND(H185+J185+L185,5)</f>
        <v>465847.8</v>
      </c>
      <c r="O185" s="66">
        <f t="shared" si="97"/>
        <v>521768</v>
      </c>
      <c r="P185" s="69">
        <f t="shared" si="59"/>
        <v>155282.6</v>
      </c>
      <c r="Q185" s="69">
        <f t="shared" si="59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 t="shared" ref="AB185:AH185" si="98">ROUND(94796.75, 0)</f>
        <v>94797</v>
      </c>
      <c r="AC185" s="66">
        <f t="shared" si="98"/>
        <v>94797</v>
      </c>
      <c r="AD185" s="66">
        <f t="shared" si="98"/>
        <v>94797</v>
      </c>
      <c r="AE185" s="66">
        <f t="shared" si="98"/>
        <v>94797</v>
      </c>
      <c r="AF185" s="66">
        <f t="shared" si="98"/>
        <v>94797</v>
      </c>
      <c r="AG185" s="66">
        <f t="shared" si="98"/>
        <v>94797</v>
      </c>
      <c r="AH185" s="66">
        <f t="shared" si="98"/>
        <v>94797</v>
      </c>
      <c r="AJ185" s="179"/>
      <c r="AM185" s="46" t="s">
        <v>961</v>
      </c>
      <c r="AN185" s="111">
        <v>20000</v>
      </c>
      <c r="AP185" s="112">
        <f>AN185/5</f>
        <v>4000</v>
      </c>
    </row>
    <row r="186" spans="1:43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97"/>
        <v>77592.62</v>
      </c>
      <c r="O186" s="66">
        <f t="shared" si="97"/>
        <v>92000</v>
      </c>
      <c r="P186" s="69">
        <f t="shared" si="59"/>
        <v>25864.206666666665</v>
      </c>
      <c r="Q186" s="69">
        <f t="shared" si="59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G186" s="66">
        <v>15000</v>
      </c>
      <c r="AH186" s="66">
        <v>15000</v>
      </c>
      <c r="AK186" s="111"/>
      <c r="AM186" s="204" t="s">
        <v>963</v>
      </c>
      <c r="AN186" s="205">
        <v>33125</v>
      </c>
      <c r="AO186" s="112"/>
      <c r="AQ186" s="112">
        <f>SUM(AN183:AN185)/5</f>
        <v>8800</v>
      </c>
    </row>
    <row r="187" spans="1:43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97"/>
        <v>15133.13</v>
      </c>
      <c r="O187" s="66">
        <f t="shared" si="97"/>
        <v>61000</v>
      </c>
      <c r="P187" s="69">
        <f t="shared" si="59"/>
        <v>5044.3766666666661</v>
      </c>
      <c r="Q187" s="69">
        <f t="shared" si="59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  <c r="AG187" s="66">
        <v>5000</v>
      </c>
      <c r="AH187" s="66">
        <v>5000</v>
      </c>
      <c r="AN187" s="111"/>
      <c r="AQ187" s="171">
        <f>SUM(AQ180:AQ186)</f>
        <v>67650</v>
      </c>
    </row>
    <row r="188" spans="1:43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99">ROUND(SUM(H184:H187),5)</f>
        <v>213369.38</v>
      </c>
      <c r="I188" s="75">
        <f t="shared" si="99"/>
        <v>213000</v>
      </c>
      <c r="J188" s="76">
        <f t="shared" si="99"/>
        <v>193755.57</v>
      </c>
      <c r="K188" s="76">
        <f t="shared" si="99"/>
        <v>240000</v>
      </c>
      <c r="L188" s="77">
        <f t="shared" si="99"/>
        <v>151448.6</v>
      </c>
      <c r="M188" s="77">
        <f t="shared" si="99"/>
        <v>221768</v>
      </c>
      <c r="N188" s="78">
        <f t="shared" si="97"/>
        <v>558573.55000000005</v>
      </c>
      <c r="O188" s="78">
        <f t="shared" si="97"/>
        <v>674768</v>
      </c>
      <c r="P188" s="79">
        <f t="shared" si="59"/>
        <v>186191.18333333335</v>
      </c>
      <c r="Q188" s="79">
        <f t="shared" si="59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 t="shared" ref="AB188:AG188" si="100">ROUND(SUM(AB184:AB187),5)</f>
        <v>124797</v>
      </c>
      <c r="AC188" s="80">
        <f t="shared" si="100"/>
        <v>124797</v>
      </c>
      <c r="AD188" s="80">
        <f t="shared" si="100"/>
        <v>124797</v>
      </c>
      <c r="AE188" s="80">
        <f t="shared" si="100"/>
        <v>114797</v>
      </c>
      <c r="AF188" s="80">
        <f t="shared" si="100"/>
        <v>114797</v>
      </c>
      <c r="AG188" s="80">
        <f t="shared" si="100"/>
        <v>114797</v>
      </c>
      <c r="AH188" s="80">
        <f t="shared" ref="AH188" si="101">ROUND(SUM(AH184:AH187),5)</f>
        <v>114797</v>
      </c>
      <c r="AJ188" s="147"/>
      <c r="AM188" s="198" t="s">
        <v>840</v>
      </c>
      <c r="AN188" s="199">
        <f>SUM(AN180:AN186)</f>
        <v>521375</v>
      </c>
    </row>
    <row r="189" spans="1:43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59"/>
        <v>0</v>
      </c>
      <c r="Q189" s="69">
        <f t="shared" si="59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66"/>
      <c r="AG189" s="66"/>
      <c r="AH189" s="66"/>
      <c r="AM189" s="198" t="s">
        <v>997</v>
      </c>
      <c r="AN189" s="199">
        <f>AN188-AN186-AN181</f>
        <v>338250</v>
      </c>
      <c r="AP189" s="199">
        <f>SUM(AP172:AP185)</f>
        <v>67650</v>
      </c>
    </row>
    <row r="190" spans="1:43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59"/>
        <v>96804.536666666667</v>
      </c>
      <c r="Q190" s="74">
        <f t="shared" si="59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  <c r="AG190" s="73">
        <v>90000</v>
      </c>
      <c r="AH190" s="73">
        <v>90000</v>
      </c>
      <c r="AM190" s="198" t="s">
        <v>842</v>
      </c>
      <c r="AN190" s="111"/>
      <c r="AO190" s="202">
        <f>AN189-AP189</f>
        <v>270600</v>
      </c>
    </row>
    <row r="191" spans="1:43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102">ROUND(SUM(H189:H190),5)</f>
        <v>61772.91</v>
      </c>
      <c r="I191" s="63">
        <f t="shared" si="102"/>
        <v>30000</v>
      </c>
      <c r="J191" s="64">
        <f t="shared" si="102"/>
        <v>114884.79</v>
      </c>
      <c r="K191" s="64">
        <f t="shared" si="102"/>
        <v>60000</v>
      </c>
      <c r="L191" s="65">
        <f t="shared" si="102"/>
        <v>113755.91</v>
      </c>
      <c r="M191" s="65">
        <f t="shared" si="102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59"/>
        <v>96804.536666666667</v>
      </c>
      <c r="Q191" s="69">
        <f t="shared" si="59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 t="shared" ref="AB191:AG191" si="103">ROUND(SUM(AB189:AB190),5)</f>
        <v>100000</v>
      </c>
      <c r="AC191" s="80">
        <f t="shared" si="103"/>
        <v>100000</v>
      </c>
      <c r="AD191" s="80">
        <f t="shared" si="103"/>
        <v>100000</v>
      </c>
      <c r="AE191" s="80">
        <f t="shared" si="103"/>
        <v>90000</v>
      </c>
      <c r="AF191" s="80">
        <f t="shared" si="103"/>
        <v>90000</v>
      </c>
      <c r="AG191" s="80">
        <f t="shared" si="103"/>
        <v>90000</v>
      </c>
      <c r="AH191" s="80">
        <f t="shared" ref="AH191" si="104">ROUND(SUM(AH189:AH190),5)</f>
        <v>90000</v>
      </c>
      <c r="AN191" s="111"/>
    </row>
    <row r="192" spans="1:43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  <c r="AF192" s="66"/>
      <c r="AG192" s="66"/>
      <c r="AH192" s="66"/>
      <c r="AN192" s="111"/>
    </row>
    <row r="193" spans="1:41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105">ROUND(H193+J193+L193,5)</f>
        <v>333403.68</v>
      </c>
      <c r="O193" s="66">
        <f t="shared" si="105"/>
        <v>338929</v>
      </c>
      <c r="P193" s="69">
        <f t="shared" si="59"/>
        <v>111134.56</v>
      </c>
      <c r="Q193" s="69">
        <f t="shared" si="59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 t="shared" ref="AB193:AH193" si="106">ROUND(142010.17, 0)</f>
        <v>142010</v>
      </c>
      <c r="AC193" s="66">
        <f t="shared" si="106"/>
        <v>142010</v>
      </c>
      <c r="AD193" s="66">
        <f t="shared" si="106"/>
        <v>142010</v>
      </c>
      <c r="AE193" s="66">
        <f t="shared" si="106"/>
        <v>142010</v>
      </c>
      <c r="AF193" s="66">
        <f t="shared" si="106"/>
        <v>142010</v>
      </c>
      <c r="AG193" s="66">
        <f t="shared" si="106"/>
        <v>142010</v>
      </c>
      <c r="AH193" s="66">
        <f t="shared" si="106"/>
        <v>142010</v>
      </c>
      <c r="AN193" s="111"/>
    </row>
    <row r="194" spans="1:41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105"/>
        <v>694468.19</v>
      </c>
      <c r="O194" s="66">
        <f t="shared" si="105"/>
        <v>750379</v>
      </c>
      <c r="P194" s="69">
        <f t="shared" si="59"/>
        <v>231489.39666666664</v>
      </c>
      <c r="Q194" s="69">
        <f t="shared" si="59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  <c r="AG194" s="66">
        <v>299000</v>
      </c>
      <c r="AH194" s="66">
        <v>299000</v>
      </c>
      <c r="AM194" s="319" t="s">
        <v>1002</v>
      </c>
      <c r="AN194" s="319"/>
      <c r="AO194" s="319"/>
    </row>
    <row r="195" spans="1:41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105"/>
        <v>76944.899999999994</v>
      </c>
      <c r="O195" s="66">
        <f t="shared" si="105"/>
        <v>54756</v>
      </c>
      <c r="P195" s="69">
        <f t="shared" si="59"/>
        <v>25648.3</v>
      </c>
      <c r="Q195" s="69">
        <f t="shared" si="59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 t="shared" ref="AB195:AH195" si="107">(88*12)*25</f>
        <v>26400</v>
      </c>
      <c r="AC195" s="66">
        <f t="shared" si="107"/>
        <v>26400</v>
      </c>
      <c r="AD195" s="66">
        <f t="shared" si="107"/>
        <v>26400</v>
      </c>
      <c r="AE195" s="66">
        <f t="shared" si="107"/>
        <v>26400</v>
      </c>
      <c r="AF195" s="66">
        <f t="shared" si="107"/>
        <v>26400</v>
      </c>
      <c r="AG195" s="66">
        <f t="shared" si="107"/>
        <v>26400</v>
      </c>
      <c r="AH195" s="66">
        <f t="shared" si="107"/>
        <v>26400</v>
      </c>
      <c r="AJ195" s="110" t="s">
        <v>972</v>
      </c>
      <c r="AM195" s="207" t="s">
        <v>1003</v>
      </c>
      <c r="AN195" s="207"/>
      <c r="AO195" s="207"/>
    </row>
    <row r="196" spans="1:41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105"/>
        <v>582630.68999999994</v>
      </c>
      <c r="O196" s="66">
        <f t="shared" si="105"/>
        <v>470773.25</v>
      </c>
      <c r="P196" s="69">
        <f t="shared" si="59"/>
        <v>194210.22999999998</v>
      </c>
      <c r="Q196" s="69">
        <f t="shared" si="59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G196" s="66">
        <f>ROUND(199878.15, -2)</f>
        <v>199900</v>
      </c>
      <c r="AH196" s="66">
        <f>ROUND(199878.15, -2)</f>
        <v>199900</v>
      </c>
      <c r="AJ196" s="110" t="s">
        <v>973</v>
      </c>
      <c r="AN196" s="112"/>
    </row>
    <row r="197" spans="1:41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105"/>
        <v>3315663.86</v>
      </c>
      <c r="O197" s="66">
        <f t="shared" si="105"/>
        <v>3738792</v>
      </c>
      <c r="P197" s="69">
        <f t="shared" si="59"/>
        <v>1105221.2866666666</v>
      </c>
      <c r="Q197" s="69">
        <f t="shared" si="59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  <c r="AG197" s="66">
        <v>1187244</v>
      </c>
      <c r="AH197" s="66">
        <v>1187244</v>
      </c>
      <c r="AI197" s="180"/>
      <c r="AJ197" s="180"/>
      <c r="AN197" s="112"/>
    </row>
    <row r="198" spans="1:41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108">ROUND(SUM(H192:H197),5)</f>
        <v>1617990.72</v>
      </c>
      <c r="I198" s="75">
        <f t="shared" si="108"/>
        <v>1764843.75</v>
      </c>
      <c r="J198" s="76">
        <f t="shared" si="108"/>
        <v>1649149.39</v>
      </c>
      <c r="K198" s="76">
        <f t="shared" si="108"/>
        <v>1716700</v>
      </c>
      <c r="L198" s="77">
        <f t="shared" si="108"/>
        <v>1735971.21</v>
      </c>
      <c r="M198" s="77">
        <f t="shared" si="108"/>
        <v>1872085.5</v>
      </c>
      <c r="N198" s="78">
        <f t="shared" si="105"/>
        <v>5003111.32</v>
      </c>
      <c r="O198" s="78">
        <f t="shared" si="105"/>
        <v>5353629.25</v>
      </c>
      <c r="P198" s="79">
        <f t="shared" si="59"/>
        <v>1667703.7733333334</v>
      </c>
      <c r="Q198" s="79">
        <f t="shared" si="59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 t="shared" ref="AB198:AG198" si="109">ROUND(SUM(AB192:AB197),5)</f>
        <v>1916936</v>
      </c>
      <c r="AC198" s="80">
        <f t="shared" si="109"/>
        <v>1916936</v>
      </c>
      <c r="AD198" s="80">
        <f t="shared" si="109"/>
        <v>1916936</v>
      </c>
      <c r="AE198" s="80">
        <f t="shared" si="109"/>
        <v>1916936</v>
      </c>
      <c r="AF198" s="80">
        <f t="shared" si="109"/>
        <v>1916936</v>
      </c>
      <c r="AG198" s="80">
        <f t="shared" si="109"/>
        <v>1854554</v>
      </c>
      <c r="AH198" s="80">
        <f t="shared" ref="AH198" si="110">ROUND(SUM(AH192:AH197),5)</f>
        <v>1854554</v>
      </c>
      <c r="AJ198" s="181"/>
    </row>
    <row r="199" spans="1:41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  <c r="AF199" s="66"/>
      <c r="AG199" s="66"/>
      <c r="AH199" s="66"/>
      <c r="AN199" s="111"/>
    </row>
    <row r="200" spans="1:41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111">N200/3</f>
        <v>5375.666666666667</v>
      </c>
      <c r="Q200" s="74">
        <f t="shared" si="111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G200" s="73">
        <v>6980</v>
      </c>
      <c r="AH200" s="73">
        <v>6980</v>
      </c>
      <c r="AJ200" s="182"/>
      <c r="AN200" s="171"/>
    </row>
    <row r="201" spans="1:41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112">ROUND(SUM(H199:H200),5)</f>
        <v>5928</v>
      </c>
      <c r="I201" s="63">
        <f t="shared" si="112"/>
        <v>6321</v>
      </c>
      <c r="J201" s="64">
        <f t="shared" si="112"/>
        <v>4164</v>
      </c>
      <c r="K201" s="64">
        <f t="shared" si="112"/>
        <v>7265</v>
      </c>
      <c r="L201" s="65">
        <f t="shared" si="112"/>
        <v>6035</v>
      </c>
      <c r="M201" s="65">
        <f t="shared" si="112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111"/>
        <v>5375.666666666667</v>
      </c>
      <c r="Q201" s="69">
        <f t="shared" si="111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 t="shared" ref="AB201:AG201" si="113">ROUND(SUM(AB199:AB200),5)</f>
        <v>6980</v>
      </c>
      <c r="AC201" s="80">
        <f t="shared" si="113"/>
        <v>6980</v>
      </c>
      <c r="AD201" s="80">
        <f t="shared" si="113"/>
        <v>6980</v>
      </c>
      <c r="AE201" s="80">
        <f t="shared" si="113"/>
        <v>6980</v>
      </c>
      <c r="AF201" s="80">
        <f t="shared" si="113"/>
        <v>6980</v>
      </c>
      <c r="AG201" s="80">
        <f t="shared" si="113"/>
        <v>6980</v>
      </c>
      <c r="AH201" s="80">
        <f t="shared" ref="AH201" si="114">ROUND(SUM(AH199:AH200),5)</f>
        <v>6980</v>
      </c>
      <c r="AJ201" s="182"/>
      <c r="AN201" s="111"/>
    </row>
    <row r="202" spans="1:41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  <c r="AF202" s="66"/>
      <c r="AG202" s="66"/>
      <c r="AH202" s="66"/>
      <c r="AN202" s="111"/>
    </row>
    <row r="203" spans="1:41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111"/>
        <v>4066.6533333333332</v>
      </c>
      <c r="Q203" s="69">
        <f t="shared" si="111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  <c r="AG203" s="66">
        <v>2400</v>
      </c>
      <c r="AH203" s="66">
        <v>2400</v>
      </c>
      <c r="AN203" s="111"/>
    </row>
    <row r="204" spans="1:41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111"/>
        <v>666.66666666666663</v>
      </c>
      <c r="Q204" s="69">
        <f t="shared" si="111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H204" s="66">
        <v>0</v>
      </c>
      <c r="AN204" s="111"/>
    </row>
    <row r="205" spans="1:41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111"/>
        <v>330</v>
      </c>
      <c r="Q205" s="69">
        <f t="shared" si="111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  <c r="AG205" s="66">
        <v>210</v>
      </c>
      <c r="AH205" s="66">
        <v>210</v>
      </c>
      <c r="AN205" s="111">
        <f ca="1">SUM(AN199:AN209)</f>
        <v>0</v>
      </c>
    </row>
    <row r="206" spans="1:41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111"/>
        <v>11731.87</v>
      </c>
      <c r="Q206" s="69">
        <f t="shared" si="111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  <c r="AG206" s="66">
        <v>10000</v>
      </c>
      <c r="AH206" s="66">
        <v>10000</v>
      </c>
      <c r="AN206" s="111"/>
    </row>
    <row r="207" spans="1:41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115">ROUND(SUM(H202:H206),5)</f>
        <v>22749.62</v>
      </c>
      <c r="I207" s="75">
        <f t="shared" si="115"/>
        <v>7950</v>
      </c>
      <c r="J207" s="76">
        <f t="shared" si="115"/>
        <v>10219.52</v>
      </c>
      <c r="K207" s="76">
        <f t="shared" si="115"/>
        <v>2840</v>
      </c>
      <c r="L207" s="77">
        <f t="shared" si="115"/>
        <v>17416.43</v>
      </c>
      <c r="M207" s="77">
        <f t="shared" si="11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111"/>
        <v>16795.189999999999</v>
      </c>
      <c r="Q207" s="79">
        <f t="shared" si="111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 t="shared" ref="AB207:AG207" si="116">ROUND(SUM(AB202:AB206),5)</f>
        <v>12610</v>
      </c>
      <c r="AC207" s="80">
        <f t="shared" si="116"/>
        <v>12610</v>
      </c>
      <c r="AD207" s="80">
        <f t="shared" si="116"/>
        <v>12610</v>
      </c>
      <c r="AE207" s="80">
        <f t="shared" si="116"/>
        <v>12610</v>
      </c>
      <c r="AF207" s="80">
        <f t="shared" si="116"/>
        <v>12610</v>
      </c>
      <c r="AG207" s="80">
        <f t="shared" si="116"/>
        <v>12610</v>
      </c>
      <c r="AH207" s="80">
        <f t="shared" ref="AH207" si="117">ROUND(SUM(AH202:AH206),5)</f>
        <v>12610</v>
      </c>
      <c r="AN207" s="111"/>
    </row>
    <row r="208" spans="1:41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  <c r="AF208" s="66"/>
      <c r="AG208" s="66"/>
      <c r="AH208" s="66"/>
      <c r="AN208" s="111"/>
    </row>
    <row r="209" spans="1:40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  <c r="AF209" s="66"/>
      <c r="AG209" s="66"/>
      <c r="AH209" s="66"/>
      <c r="AN209" s="111"/>
    </row>
    <row r="210" spans="1:40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111"/>
        <v>4434.333333333333</v>
      </c>
      <c r="Q210" s="69">
        <f t="shared" si="111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G210" s="66">
        <v>1500</v>
      </c>
      <c r="AH210" s="66">
        <v>1500</v>
      </c>
      <c r="AJ210" s="110" t="s">
        <v>901</v>
      </c>
    </row>
    <row r="211" spans="1:40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111"/>
        <v>78916.666666666672</v>
      </c>
      <c r="Q211" s="69">
        <f t="shared" si="111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G211" s="66">
        <v>77000</v>
      </c>
      <c r="AH211" s="66">
        <v>77000</v>
      </c>
      <c r="AJ211" s="110" t="s">
        <v>854</v>
      </c>
      <c r="AN211" s="111"/>
    </row>
    <row r="212" spans="1:40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111"/>
        <v>1180</v>
      </c>
      <c r="Q212" s="69">
        <f t="shared" si="111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H212" s="66">
        <v>0</v>
      </c>
      <c r="AN212" s="111"/>
    </row>
    <row r="213" spans="1:40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111"/>
        <v>725696</v>
      </c>
      <c r="Q213" s="69">
        <f t="shared" si="111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G213" s="66">
        <v>644500</v>
      </c>
      <c r="AH213" s="66">
        <v>644500</v>
      </c>
      <c r="AJ213" s="110" t="s">
        <v>853</v>
      </c>
    </row>
    <row r="214" spans="1:40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111"/>
        <v>114800</v>
      </c>
      <c r="Q214" s="69">
        <f t="shared" si="111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G214" s="66">
        <v>153000</v>
      </c>
      <c r="AH214" s="66">
        <v>153000</v>
      </c>
      <c r="AJ214" s="110" t="s">
        <v>855</v>
      </c>
    </row>
    <row r="215" spans="1:40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118">ROUND(SUM(H209:H214),5)</f>
        <v>884166</v>
      </c>
      <c r="I215" s="75">
        <f t="shared" si="118"/>
        <v>788300</v>
      </c>
      <c r="J215" s="76">
        <f t="shared" si="118"/>
        <v>968225</v>
      </c>
      <c r="K215" s="76">
        <f t="shared" si="118"/>
        <v>966375</v>
      </c>
      <c r="L215" s="77">
        <f t="shared" si="118"/>
        <v>922690</v>
      </c>
      <c r="M215" s="77">
        <f t="shared" si="118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111"/>
        <v>925027</v>
      </c>
      <c r="Q215" s="79">
        <f t="shared" si="111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 t="shared" ref="AB215:AG215" si="119">ROUND(SUM(AB209:AB214),5)</f>
        <v>876000</v>
      </c>
      <c r="AC215" s="80">
        <f t="shared" si="119"/>
        <v>876000</v>
      </c>
      <c r="AD215" s="80">
        <f t="shared" si="119"/>
        <v>876000</v>
      </c>
      <c r="AE215" s="80">
        <f t="shared" si="119"/>
        <v>876000</v>
      </c>
      <c r="AF215" s="80">
        <f t="shared" si="119"/>
        <v>876000</v>
      </c>
      <c r="AG215" s="80">
        <f t="shared" si="119"/>
        <v>876000</v>
      </c>
      <c r="AH215" s="80">
        <f t="shared" ref="AH215" si="120">ROUND(SUM(AH209:AH214),5)</f>
        <v>876000</v>
      </c>
      <c r="AJ215" s="183" t="s">
        <v>952</v>
      </c>
    </row>
    <row r="216" spans="1:40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F216" s="66"/>
      <c r="AG216" s="66"/>
      <c r="AH216" s="66"/>
      <c r="AJ216" s="184">
        <f>AG215-AG423</f>
        <v>5796</v>
      </c>
    </row>
    <row r="217" spans="1:40" ht="16.5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111"/>
        <v>4578.333333333333</v>
      </c>
      <c r="Q217" s="69">
        <f t="shared" si="111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33750</v>
      </c>
      <c r="AH217" s="66">
        <v>33750</v>
      </c>
      <c r="AI217" s="206" t="s">
        <v>1000</v>
      </c>
      <c r="AJ217" s="110" t="s">
        <v>975</v>
      </c>
    </row>
    <row r="218" spans="1:40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111"/>
        <v>4578.333333333333</v>
      </c>
      <c r="Q218" s="79">
        <f t="shared" si="111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  <c r="AF218" s="86"/>
      <c r="AG218" s="78">
        <f>ROUND(SUM(AG216:AG217),5)</f>
        <v>33750</v>
      </c>
      <c r="AH218" s="78">
        <f>ROUND(SUM(AH216:AH217),5)</f>
        <v>33750</v>
      </c>
    </row>
    <row r="219" spans="1:40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121">ROUND(H208+H215+H218,5)</f>
        <v>884166</v>
      </c>
      <c r="I219" s="83">
        <f t="shared" si="121"/>
        <v>788300</v>
      </c>
      <c r="J219" s="84">
        <f t="shared" si="121"/>
        <v>981960</v>
      </c>
      <c r="K219" s="84">
        <f t="shared" si="121"/>
        <v>966375</v>
      </c>
      <c r="L219" s="85">
        <f t="shared" si="121"/>
        <v>922690</v>
      </c>
      <c r="M219" s="85">
        <f t="shared" si="121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111"/>
        <v>929605.33333333337</v>
      </c>
      <c r="Q219" s="87">
        <f t="shared" si="111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 t="shared" ref="AB219:AG219" si="122">ROUND(AB208+AB215+AB218,5)</f>
        <v>876000</v>
      </c>
      <c r="AC219" s="88">
        <f t="shared" si="122"/>
        <v>876000</v>
      </c>
      <c r="AD219" s="88">
        <f t="shared" si="122"/>
        <v>876000</v>
      </c>
      <c r="AE219" s="88">
        <f t="shared" si="122"/>
        <v>876000</v>
      </c>
      <c r="AF219" s="88">
        <f t="shared" si="122"/>
        <v>876000</v>
      </c>
      <c r="AG219" s="88">
        <f t="shared" si="122"/>
        <v>909750</v>
      </c>
      <c r="AH219" s="88">
        <f t="shared" ref="AH219" si="123">ROUND(AH208+AH215+AH218,5)</f>
        <v>909750</v>
      </c>
    </row>
    <row r="220" spans="1:40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124">ROUND(H6+H183+H188+H191+H198+H201+H207+H219,5)</f>
        <v>4510004.6399999997</v>
      </c>
      <c r="I220" s="63">
        <f t="shared" si="124"/>
        <v>4835153.75</v>
      </c>
      <c r="J220" s="64">
        <f t="shared" si="124"/>
        <v>4937480.91</v>
      </c>
      <c r="K220" s="64">
        <f t="shared" si="124"/>
        <v>4877579.92</v>
      </c>
      <c r="L220" s="65">
        <f t="shared" si="124"/>
        <v>5214991.41</v>
      </c>
      <c r="M220" s="65">
        <f t="shared" si="124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111"/>
        <v>4887492.32</v>
      </c>
      <c r="Q220" s="69">
        <f t="shared" si="111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 t="shared" ref="AB220:AG220" si="125">ROUND(AB6+AB183+AB188+AB191+AB198+AB201+AB207+AB219,5)</f>
        <v>5311671.1100000003</v>
      </c>
      <c r="AC220" s="66">
        <f t="shared" si="125"/>
        <v>5311671.1100000003</v>
      </c>
      <c r="AD220" s="66">
        <f t="shared" si="125"/>
        <v>5376940.5099999998</v>
      </c>
      <c r="AE220" s="66">
        <f t="shared" si="125"/>
        <v>5356940.51</v>
      </c>
      <c r="AF220" s="66">
        <f t="shared" si="125"/>
        <v>5510132.2000000002</v>
      </c>
      <c r="AG220" s="66">
        <f t="shared" si="125"/>
        <v>5598969</v>
      </c>
      <c r="AH220" s="66">
        <f t="shared" ref="AH220" si="126">ROUND(AH6+AH183+AH188+AH191+AH198+AH201+AH207+AH219,5)</f>
        <v>5743969</v>
      </c>
      <c r="AJ220" s="182"/>
    </row>
    <row r="221" spans="1:40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  <c r="AF221" s="66"/>
      <c r="AG221" s="66"/>
      <c r="AH221" s="66"/>
    </row>
    <row r="222" spans="1:40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  <c r="AF222" s="66"/>
      <c r="AG222" s="66"/>
      <c r="AH222" s="66"/>
    </row>
    <row r="223" spans="1:40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127">ROUND(H223+J223+L223,5)</f>
        <v>14645.71</v>
      </c>
      <c r="O223" s="66">
        <f t="shared" si="127"/>
        <v>15644.98</v>
      </c>
      <c r="P223" s="69">
        <f t="shared" si="111"/>
        <v>4881.9033333333327</v>
      </c>
      <c r="Q223" s="69">
        <f t="shared" si="111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 t="shared" ref="AB223:AH223" si="128">ROUND(5691.67, 0)</f>
        <v>5692</v>
      </c>
      <c r="AC223" s="66">
        <f t="shared" si="128"/>
        <v>5692</v>
      </c>
      <c r="AD223" s="66">
        <f t="shared" si="128"/>
        <v>5692</v>
      </c>
      <c r="AE223" s="66">
        <f t="shared" si="128"/>
        <v>5692</v>
      </c>
      <c r="AF223" s="66">
        <f t="shared" si="128"/>
        <v>5692</v>
      </c>
      <c r="AG223" s="66">
        <f t="shared" si="128"/>
        <v>5692</v>
      </c>
      <c r="AH223" s="66">
        <f t="shared" si="128"/>
        <v>5692</v>
      </c>
    </row>
    <row r="224" spans="1:40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127"/>
        <v>3195.19</v>
      </c>
      <c r="O224" s="66">
        <f t="shared" si="127"/>
        <v>7437.44</v>
      </c>
      <c r="P224" s="69">
        <f t="shared" si="111"/>
        <v>1065.0633333333333</v>
      </c>
      <c r="Q224" s="69">
        <f t="shared" si="111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  <c r="AG224" s="66">
        <v>3348</v>
      </c>
      <c r="AH224" s="66">
        <v>3348</v>
      </c>
    </row>
    <row r="225" spans="1:34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129">ROUND(SUM(H222:H224),5)</f>
        <v>5911.22</v>
      </c>
      <c r="I225" s="75">
        <f t="shared" si="129"/>
        <v>5833.45</v>
      </c>
      <c r="J225" s="76">
        <f t="shared" si="129"/>
        <v>5605.52</v>
      </c>
      <c r="K225" s="76">
        <f t="shared" si="129"/>
        <v>5849.17</v>
      </c>
      <c r="L225" s="77">
        <f t="shared" si="129"/>
        <v>6324.16</v>
      </c>
      <c r="M225" s="77">
        <f t="shared" si="129"/>
        <v>11399.8</v>
      </c>
      <c r="N225" s="78">
        <f t="shared" si="127"/>
        <v>17840.900000000001</v>
      </c>
      <c r="O225" s="78">
        <f t="shared" si="127"/>
        <v>23082.42</v>
      </c>
      <c r="P225" s="79">
        <f t="shared" si="111"/>
        <v>5946.9666666666672</v>
      </c>
      <c r="Q225" s="79">
        <f t="shared" si="111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 t="shared" ref="AB225:AG225" si="130">ROUND(SUM(AB222:AB224),5)</f>
        <v>9040</v>
      </c>
      <c r="AC225" s="80">
        <f t="shared" si="130"/>
        <v>9040</v>
      </c>
      <c r="AD225" s="80">
        <f t="shared" si="130"/>
        <v>9040</v>
      </c>
      <c r="AE225" s="80">
        <f t="shared" si="130"/>
        <v>9040</v>
      </c>
      <c r="AF225" s="80">
        <f t="shared" si="130"/>
        <v>9040</v>
      </c>
      <c r="AG225" s="80">
        <f t="shared" si="130"/>
        <v>9040</v>
      </c>
      <c r="AH225" s="80">
        <f t="shared" ref="AH225" si="131">ROUND(SUM(AH222:AH224),5)</f>
        <v>9040</v>
      </c>
    </row>
    <row r="226" spans="1:34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  <c r="AF226" s="66"/>
      <c r="AG226" s="66"/>
      <c r="AH226" s="66"/>
    </row>
    <row r="227" spans="1:34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>AE9*0.2</f>
        <v>205210.84</v>
      </c>
      <c r="AF227" s="66">
        <f>AF9*0.2</f>
        <v>205210.84</v>
      </c>
      <c r="AG227" s="66">
        <f>AG9*0.2</f>
        <v>205210.84</v>
      </c>
      <c r="AH227" s="66">
        <f>AH9*0.2</f>
        <v>205210.84</v>
      </c>
    </row>
    <row r="228" spans="1:34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111"/>
        <v>621.57000000000005</v>
      </c>
      <c r="Q228" s="69">
        <f t="shared" si="111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  <c r="AF228" s="66"/>
      <c r="AG228" s="66"/>
      <c r="AH228" s="66"/>
    </row>
    <row r="229" spans="1:34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111"/>
        <v>0</v>
      </c>
      <c r="Q229" s="69">
        <f t="shared" si="111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  <c r="AF229" s="66"/>
      <c r="AG229" s="66"/>
      <c r="AH229" s="66"/>
    </row>
    <row r="230" spans="1:34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132">ROUND(H230+J230+L230,5)</f>
        <v>160678.19</v>
      </c>
      <c r="O230" s="66">
        <f t="shared" si="132"/>
        <v>76847.710000000006</v>
      </c>
      <c r="P230" s="69">
        <f t="shared" si="111"/>
        <v>53559.396666666667</v>
      </c>
      <c r="Q230" s="69">
        <f t="shared" si="111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  <c r="AF230" s="66"/>
      <c r="AG230" s="66"/>
      <c r="AH230" s="66"/>
    </row>
    <row r="231" spans="1:34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132"/>
        <v>4393.6000000000004</v>
      </c>
      <c r="O231" s="66">
        <f t="shared" si="132"/>
        <v>3748.32</v>
      </c>
      <c r="P231" s="69">
        <f t="shared" si="111"/>
        <v>1464.5333333333335</v>
      </c>
      <c r="Q231" s="69">
        <f t="shared" si="111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  <c r="AF231" s="66"/>
      <c r="AG231" s="66"/>
      <c r="AH231" s="66"/>
    </row>
    <row r="232" spans="1:34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132"/>
        <v>3931.71</v>
      </c>
      <c r="O232" s="66">
        <f t="shared" si="132"/>
        <v>1056.04</v>
      </c>
      <c r="P232" s="69">
        <f t="shared" si="111"/>
        <v>1310.57</v>
      </c>
      <c r="Q232" s="69">
        <f t="shared" si="111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  <c r="AF232" s="66"/>
      <c r="AG232" s="66"/>
      <c r="AH232" s="66"/>
    </row>
    <row r="233" spans="1:34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132"/>
        <v>1953.44</v>
      </c>
      <c r="O233" s="73">
        <f t="shared" si="132"/>
        <v>100</v>
      </c>
      <c r="P233" s="74">
        <f t="shared" si="111"/>
        <v>651.14666666666665</v>
      </c>
      <c r="Q233" s="74">
        <f t="shared" si="111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  <c r="AF233" s="73"/>
      <c r="AG233" s="73"/>
      <c r="AH233" s="73"/>
    </row>
    <row r="234" spans="1:34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133">ROUND(SUM(H229:H233),5)</f>
        <v>66004.350000000006</v>
      </c>
      <c r="I234" s="63">
        <f t="shared" si="133"/>
        <v>0</v>
      </c>
      <c r="J234" s="64">
        <f t="shared" si="133"/>
        <v>53975.49</v>
      </c>
      <c r="K234" s="64">
        <f t="shared" si="133"/>
        <v>13281.84</v>
      </c>
      <c r="L234" s="65">
        <f t="shared" si="133"/>
        <v>50977.1</v>
      </c>
      <c r="M234" s="65">
        <f t="shared" si="133"/>
        <v>68470.23</v>
      </c>
      <c r="N234" s="66">
        <f t="shared" si="132"/>
        <v>170956.94</v>
      </c>
      <c r="O234" s="66">
        <f t="shared" si="132"/>
        <v>81752.070000000007</v>
      </c>
      <c r="P234" s="69">
        <f t="shared" si="111"/>
        <v>56985.646666666667</v>
      </c>
      <c r="Q234" s="69">
        <f t="shared" si="111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 t="shared" ref="AB234:AG234" si="134">ROUND(SUM(AB229:AB233),5)</f>
        <v>0</v>
      </c>
      <c r="AC234" s="66">
        <f t="shared" si="134"/>
        <v>0</v>
      </c>
      <c r="AD234" s="66">
        <f t="shared" si="134"/>
        <v>0</v>
      </c>
      <c r="AE234" s="66">
        <f t="shared" si="134"/>
        <v>0</v>
      </c>
      <c r="AF234" s="66">
        <f t="shared" si="134"/>
        <v>0</v>
      </c>
      <c r="AG234" s="66">
        <f t="shared" si="134"/>
        <v>0</v>
      </c>
      <c r="AH234" s="66">
        <f t="shared" ref="AH234" si="135">ROUND(SUM(AH229:AH233),5)</f>
        <v>0</v>
      </c>
    </row>
    <row r="235" spans="1:34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  <c r="AF235" s="66"/>
      <c r="AG235" s="66"/>
      <c r="AH235" s="66"/>
    </row>
    <row r="236" spans="1:34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136">ROUND(H236+J236+L236,5)</f>
        <v>10300.370000000001</v>
      </c>
      <c r="O236" s="66">
        <f t="shared" si="136"/>
        <v>7978.18</v>
      </c>
      <c r="P236" s="69">
        <f t="shared" si="111"/>
        <v>3433.4566666666669</v>
      </c>
      <c r="Q236" s="69">
        <f t="shared" si="111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  <c r="AF236" s="66"/>
      <c r="AG236" s="66"/>
      <c r="AH236" s="66"/>
    </row>
    <row r="237" spans="1:34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136"/>
        <v>265.04000000000002</v>
      </c>
      <c r="O237" s="66">
        <f t="shared" si="136"/>
        <v>2079.58</v>
      </c>
      <c r="P237" s="69">
        <f t="shared" si="111"/>
        <v>88.346666666666678</v>
      </c>
      <c r="Q237" s="69">
        <f t="shared" si="111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  <c r="AF237" s="66"/>
      <c r="AG237" s="66"/>
      <c r="AH237" s="66"/>
    </row>
    <row r="238" spans="1:34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136"/>
        <v>291.58999999999997</v>
      </c>
      <c r="O238" s="66">
        <f t="shared" si="136"/>
        <v>6330.08</v>
      </c>
      <c r="P238" s="69">
        <f t="shared" si="111"/>
        <v>97.196666666666658</v>
      </c>
      <c r="Q238" s="69">
        <f t="shared" si="111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  <c r="AF238" s="66"/>
      <c r="AG238" s="66"/>
      <c r="AH238" s="66"/>
    </row>
    <row r="239" spans="1:34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136"/>
        <v>1002.62</v>
      </c>
      <c r="O239" s="66">
        <f t="shared" si="136"/>
        <v>3299.3</v>
      </c>
      <c r="P239" s="69">
        <f t="shared" si="111"/>
        <v>334.20666666666665</v>
      </c>
      <c r="Q239" s="69">
        <f t="shared" si="111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  <c r="AF239" s="66"/>
      <c r="AG239" s="66"/>
      <c r="AH239" s="66"/>
    </row>
    <row r="240" spans="1:34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136"/>
        <v>384.28</v>
      </c>
      <c r="O240" s="66">
        <f t="shared" si="136"/>
        <v>0</v>
      </c>
      <c r="P240" s="69">
        <f t="shared" si="111"/>
        <v>128.09333333333333</v>
      </c>
      <c r="Q240" s="69">
        <f t="shared" si="111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  <c r="AF240" s="66"/>
      <c r="AG240" s="66"/>
      <c r="AH240" s="66"/>
    </row>
    <row r="241" spans="1:34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136"/>
        <v>1703.01</v>
      </c>
      <c r="O241" s="66">
        <f t="shared" si="136"/>
        <v>6458.46</v>
      </c>
      <c r="P241" s="69">
        <f t="shared" si="111"/>
        <v>567.66999999999996</v>
      </c>
      <c r="Q241" s="69">
        <f t="shared" si="111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  <c r="AF241" s="66"/>
      <c r="AG241" s="66"/>
      <c r="AH241" s="66"/>
    </row>
    <row r="242" spans="1:34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136"/>
        <v>844.98</v>
      </c>
      <c r="O242" s="66">
        <f t="shared" si="136"/>
        <v>4878.88</v>
      </c>
      <c r="P242" s="69">
        <f t="shared" si="111"/>
        <v>281.66000000000003</v>
      </c>
      <c r="Q242" s="69">
        <f t="shared" si="111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  <c r="AF242" s="66"/>
      <c r="AG242" s="66"/>
      <c r="AH242" s="66"/>
    </row>
    <row r="243" spans="1:34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136"/>
        <v>952.7</v>
      </c>
      <c r="O243" s="66">
        <f t="shared" si="136"/>
        <v>759.86</v>
      </c>
      <c r="P243" s="69">
        <f t="shared" si="111"/>
        <v>317.56666666666666</v>
      </c>
      <c r="Q243" s="69">
        <f t="shared" si="111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  <c r="AF243" s="66"/>
      <c r="AG243" s="66"/>
      <c r="AH243" s="66"/>
    </row>
    <row r="244" spans="1:34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136"/>
        <v>-279.7</v>
      </c>
      <c r="O244" s="66">
        <v>0</v>
      </c>
      <c r="P244" s="69">
        <f t="shared" si="111"/>
        <v>-93.233333333333334</v>
      </c>
      <c r="Q244" s="69">
        <f t="shared" si="111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  <c r="AF244" s="66"/>
      <c r="AG244" s="66"/>
      <c r="AH244" s="66"/>
    </row>
    <row r="245" spans="1:34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136"/>
        <v>2068.73</v>
      </c>
      <c r="O245" s="66">
        <f>ROUND(I245+K245+M245,5)</f>
        <v>600</v>
      </c>
      <c r="P245" s="69">
        <f t="shared" si="111"/>
        <v>689.57666666666671</v>
      </c>
      <c r="Q245" s="69">
        <f t="shared" si="111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  <c r="AF245" s="66"/>
      <c r="AG245" s="66"/>
      <c r="AH245" s="66"/>
    </row>
    <row r="246" spans="1:34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136"/>
        <v>126.77</v>
      </c>
      <c r="O246" s="66">
        <f>ROUND(I246+K246+M246,5)</f>
        <v>100</v>
      </c>
      <c r="P246" s="69">
        <f t="shared" si="111"/>
        <v>42.256666666666668</v>
      </c>
      <c r="Q246" s="69">
        <f t="shared" si="111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  <c r="AF246" s="66"/>
      <c r="AG246" s="66"/>
      <c r="AH246" s="66"/>
    </row>
    <row r="247" spans="1:34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136"/>
        <v>4683.93</v>
      </c>
      <c r="O247" s="66">
        <f>ROUND(I247+K247+M247,5)</f>
        <v>7118.32</v>
      </c>
      <c r="P247" s="69">
        <f t="shared" si="111"/>
        <v>1561.3100000000002</v>
      </c>
      <c r="Q247" s="69">
        <f t="shared" si="111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  <c r="AF247" s="66"/>
      <c r="AG247" s="66"/>
      <c r="AH247" s="66"/>
    </row>
    <row r="248" spans="1:34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136"/>
        <v>2913.09</v>
      </c>
      <c r="O248" s="66">
        <f>ROUND(I248+K248+M248,5)</f>
        <v>4719.0200000000004</v>
      </c>
      <c r="P248" s="69">
        <f t="shared" si="111"/>
        <v>971.03000000000009</v>
      </c>
      <c r="Q248" s="69">
        <f t="shared" si="111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  <c r="AF248" s="66"/>
      <c r="AG248" s="66"/>
      <c r="AH248" s="66"/>
    </row>
    <row r="249" spans="1:34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136"/>
        <v>4608.63</v>
      </c>
      <c r="O249" s="66">
        <f>ROUND(I249+K249+M249,5)</f>
        <v>1619.72</v>
      </c>
      <c r="P249" s="69">
        <f t="shared" si="111"/>
        <v>1536.21</v>
      </c>
      <c r="Q249" s="69">
        <f t="shared" si="111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  <c r="AF249" s="66"/>
      <c r="AG249" s="66"/>
      <c r="AH249" s="66"/>
    </row>
    <row r="250" spans="1:34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136"/>
        <v>78.989999999999995</v>
      </c>
      <c r="O250" s="66">
        <v>0</v>
      </c>
      <c r="P250" s="69">
        <f t="shared" si="111"/>
        <v>26.33</v>
      </c>
      <c r="Q250" s="69">
        <f t="shared" si="111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  <c r="AF250" s="66"/>
      <c r="AG250" s="66"/>
      <c r="AH250" s="66"/>
    </row>
    <row r="251" spans="1:34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136"/>
        <v>0</v>
      </c>
      <c r="O251" s="66">
        <f>ROUND(I251+K251+M251,5)</f>
        <v>1219.72</v>
      </c>
      <c r="P251" s="69">
        <f t="shared" si="111"/>
        <v>0</v>
      </c>
      <c r="Q251" s="69">
        <f t="shared" si="111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  <c r="AF251" s="66"/>
      <c r="AG251" s="66"/>
      <c r="AH251" s="66"/>
    </row>
    <row r="252" spans="1:34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137">ROUND(H252+J252+L252,5)</f>
        <v>469.32</v>
      </c>
      <c r="O252" s="66">
        <f>ROUND(I252+K252+M252,5)</f>
        <v>356.04</v>
      </c>
      <c r="P252" s="69">
        <f t="shared" si="111"/>
        <v>156.44</v>
      </c>
      <c r="Q252" s="69">
        <f t="shared" si="111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  <c r="AF252" s="66"/>
      <c r="AG252" s="66"/>
      <c r="AH252" s="66"/>
    </row>
    <row r="253" spans="1:34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137"/>
        <v>0</v>
      </c>
      <c r="O253" s="66">
        <f>ROUND(I253+K253+M253,5)</f>
        <v>1524.16</v>
      </c>
      <c r="P253" s="69">
        <f t="shared" si="111"/>
        <v>0</v>
      </c>
      <c r="Q253" s="69">
        <f t="shared" si="111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  <c r="AF253" s="66"/>
      <c r="AG253" s="66"/>
      <c r="AH253" s="66"/>
    </row>
    <row r="254" spans="1:34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137"/>
        <v>295.95</v>
      </c>
      <c r="O254" s="66">
        <v>0</v>
      </c>
      <c r="P254" s="69">
        <f t="shared" si="111"/>
        <v>98.649999999999991</v>
      </c>
      <c r="Q254" s="69">
        <f t="shared" si="111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  <c r="AF254" s="66"/>
      <c r="AG254" s="66"/>
      <c r="AH254" s="66"/>
    </row>
    <row r="255" spans="1:34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137"/>
        <v>0</v>
      </c>
      <c r="O255" s="66">
        <f>ROUND(I255+K255+M255,5)</f>
        <v>0</v>
      </c>
      <c r="P255" s="69">
        <f t="shared" si="111"/>
        <v>0</v>
      </c>
      <c r="Q255" s="69">
        <f t="shared" si="111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  <c r="AF255" s="66"/>
      <c r="AG255" s="66"/>
      <c r="AH255" s="66"/>
    </row>
    <row r="256" spans="1:34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137"/>
        <v>0</v>
      </c>
      <c r="O256" s="73">
        <f>ROUND(I256+K256+M256,5)</f>
        <v>0</v>
      </c>
      <c r="P256" s="74">
        <f t="shared" si="111"/>
        <v>0</v>
      </c>
      <c r="Q256" s="74">
        <f t="shared" si="111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  <c r="AF256" s="73"/>
      <c r="AG256" s="73"/>
      <c r="AH256" s="73"/>
    </row>
    <row r="257" spans="1:34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138">ROUND(SUM(H235:H256),5)</f>
        <v>9952.77</v>
      </c>
      <c r="I257" s="63">
        <f t="shared" si="138"/>
        <v>0</v>
      </c>
      <c r="J257" s="64">
        <f t="shared" si="138"/>
        <v>12257.65</v>
      </c>
      <c r="K257" s="64">
        <f t="shared" si="138"/>
        <v>43741.32</v>
      </c>
      <c r="L257" s="65">
        <f t="shared" si="138"/>
        <v>8499.8799999999992</v>
      </c>
      <c r="M257" s="65">
        <f t="shared" si="138"/>
        <v>5300</v>
      </c>
      <c r="N257" s="66">
        <f t="shared" si="137"/>
        <v>30710.3</v>
      </c>
      <c r="O257" s="66">
        <f>ROUND(I257+K257+M257,5)</f>
        <v>49041.32</v>
      </c>
      <c r="P257" s="69">
        <f t="shared" si="111"/>
        <v>10236.766666666666</v>
      </c>
      <c r="Q257" s="69">
        <f t="shared" si="111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 t="shared" ref="AB257:AG257" si="139">ROUND(SUM(AB235:AB256),5)</f>
        <v>0</v>
      </c>
      <c r="AC257" s="66">
        <f t="shared" si="139"/>
        <v>0</v>
      </c>
      <c r="AD257" s="66">
        <f t="shared" si="139"/>
        <v>0</v>
      </c>
      <c r="AE257" s="66">
        <f t="shared" si="139"/>
        <v>0</v>
      </c>
      <c r="AF257" s="66">
        <f t="shared" si="139"/>
        <v>0</v>
      </c>
      <c r="AG257" s="66">
        <f t="shared" si="139"/>
        <v>0</v>
      </c>
      <c r="AH257" s="66">
        <f t="shared" ref="AH257" si="140">ROUND(SUM(AH235:AH256),5)</f>
        <v>0</v>
      </c>
    </row>
    <row r="258" spans="1:34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111"/>
        <v>0</v>
      </c>
      <c r="Q258" s="69">
        <f t="shared" si="111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  <c r="AF258" s="66"/>
      <c r="AG258" s="66"/>
      <c r="AH258" s="66"/>
    </row>
    <row r="259" spans="1:34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141">ROUND(H259+J259+L259,5)</f>
        <v>292.07</v>
      </c>
      <c r="O259" s="66">
        <f t="shared" si="141"/>
        <v>3559.16</v>
      </c>
      <c r="P259" s="69">
        <f t="shared" si="111"/>
        <v>97.356666666666669</v>
      </c>
      <c r="Q259" s="69">
        <f t="shared" si="111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  <c r="AF259" s="66"/>
      <c r="AG259" s="66"/>
      <c r="AH259" s="66"/>
    </row>
    <row r="260" spans="1:34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141"/>
        <v>0</v>
      </c>
      <c r="O260" s="66">
        <f t="shared" si="141"/>
        <v>0</v>
      </c>
      <c r="P260" s="69">
        <f t="shared" ref="P260:Q323" si="142">N260/3</f>
        <v>0</v>
      </c>
      <c r="Q260" s="69">
        <f t="shared" si="142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  <c r="AF260" s="66"/>
      <c r="AG260" s="66"/>
      <c r="AH260" s="66"/>
    </row>
    <row r="261" spans="1:34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141"/>
        <v>414.94</v>
      </c>
      <c r="O261" s="66">
        <f t="shared" si="141"/>
        <v>1624.16</v>
      </c>
      <c r="P261" s="69">
        <f t="shared" si="142"/>
        <v>138.31333333333333</v>
      </c>
      <c r="Q261" s="69">
        <f t="shared" si="142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  <c r="AF261" s="66"/>
      <c r="AG261" s="66"/>
      <c r="AH261" s="66"/>
    </row>
    <row r="262" spans="1:34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141"/>
        <v>0</v>
      </c>
      <c r="O262" s="73">
        <f t="shared" si="141"/>
        <v>0</v>
      </c>
      <c r="P262" s="74">
        <f t="shared" si="142"/>
        <v>0</v>
      </c>
      <c r="Q262" s="74">
        <f t="shared" si="142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  <c r="AF262" s="73"/>
      <c r="AG262" s="73"/>
      <c r="AH262" s="73"/>
    </row>
    <row r="263" spans="1:34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143">ROUND(SUM(H258:H262),5)</f>
        <v>414.94</v>
      </c>
      <c r="I263" s="63">
        <f t="shared" si="143"/>
        <v>0</v>
      </c>
      <c r="J263" s="64">
        <f t="shared" si="143"/>
        <v>73.44</v>
      </c>
      <c r="K263" s="64">
        <f t="shared" si="143"/>
        <v>4783.32</v>
      </c>
      <c r="L263" s="65">
        <f t="shared" si="143"/>
        <v>218.63</v>
      </c>
      <c r="M263" s="65">
        <f t="shared" si="143"/>
        <v>400</v>
      </c>
      <c r="N263" s="66">
        <f t="shared" si="141"/>
        <v>707.01</v>
      </c>
      <c r="O263" s="66">
        <f t="shared" si="141"/>
        <v>5183.32</v>
      </c>
      <c r="P263" s="69">
        <f t="shared" si="142"/>
        <v>235.67</v>
      </c>
      <c r="Q263" s="69">
        <f t="shared" si="142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 t="shared" ref="AB263:AG263" si="144">ROUND(SUM(AB258:AB262),5)</f>
        <v>0</v>
      </c>
      <c r="AC263" s="66">
        <f t="shared" si="144"/>
        <v>0</v>
      </c>
      <c r="AD263" s="66">
        <f t="shared" si="144"/>
        <v>0</v>
      </c>
      <c r="AE263" s="66">
        <f t="shared" si="144"/>
        <v>0</v>
      </c>
      <c r="AF263" s="66">
        <f t="shared" si="144"/>
        <v>0</v>
      </c>
      <c r="AG263" s="66">
        <f t="shared" si="144"/>
        <v>0</v>
      </c>
      <c r="AH263" s="66">
        <f t="shared" ref="AH263" si="145">ROUND(SUM(AH258:AH262),5)</f>
        <v>0</v>
      </c>
    </row>
    <row r="264" spans="1:34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  <c r="AF264" s="66"/>
      <c r="AG264" s="66"/>
      <c r="AH264" s="66"/>
    </row>
    <row r="265" spans="1:34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146">ROUND(H265+J265+L265,5)</f>
        <v>9233.0499999999993</v>
      </c>
      <c r="O265" s="66">
        <f t="shared" si="146"/>
        <v>5438.74</v>
      </c>
      <c r="P265" s="69">
        <f t="shared" si="142"/>
        <v>3077.6833333333329</v>
      </c>
      <c r="Q265" s="69">
        <f t="shared" si="142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  <c r="AF265" s="66"/>
      <c r="AG265" s="66"/>
      <c r="AH265" s="66"/>
    </row>
    <row r="266" spans="1:34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146"/>
        <v>173.59</v>
      </c>
      <c r="O266" s="66">
        <f t="shared" si="146"/>
        <v>2539.44</v>
      </c>
      <c r="P266" s="69">
        <f t="shared" si="142"/>
        <v>57.863333333333337</v>
      </c>
      <c r="Q266" s="69">
        <f t="shared" si="142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  <c r="AF266" s="66"/>
      <c r="AG266" s="66"/>
      <c r="AH266" s="66"/>
    </row>
    <row r="267" spans="1:34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146"/>
        <v>99.76</v>
      </c>
      <c r="O267" s="66">
        <f t="shared" si="146"/>
        <v>1980.2</v>
      </c>
      <c r="P267" s="69">
        <f t="shared" si="142"/>
        <v>33.253333333333337</v>
      </c>
      <c r="Q267" s="69">
        <f t="shared" si="142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  <c r="AF267" s="66"/>
      <c r="AG267" s="66"/>
      <c r="AH267" s="66"/>
    </row>
    <row r="268" spans="1:34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146"/>
        <v>2756.34</v>
      </c>
      <c r="O268" s="66">
        <f t="shared" si="146"/>
        <v>956.04</v>
      </c>
      <c r="P268" s="69">
        <f t="shared" si="142"/>
        <v>918.78000000000009</v>
      </c>
      <c r="Q268" s="69">
        <f t="shared" si="142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  <c r="AF268" s="66"/>
      <c r="AG268" s="66"/>
      <c r="AH268" s="66"/>
    </row>
    <row r="269" spans="1:34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146"/>
        <v>62</v>
      </c>
      <c r="O269" s="66">
        <f t="shared" si="146"/>
        <v>718</v>
      </c>
      <c r="P269" s="69">
        <f t="shared" si="142"/>
        <v>20.666666666666668</v>
      </c>
      <c r="Q269" s="69">
        <f t="shared" si="142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  <c r="AF269" s="66"/>
      <c r="AG269" s="66"/>
      <c r="AH269" s="66"/>
    </row>
    <row r="270" spans="1:34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146"/>
        <v>5017.79</v>
      </c>
      <c r="O270" s="66">
        <f t="shared" si="146"/>
        <v>1535.1</v>
      </c>
      <c r="P270" s="69">
        <f t="shared" si="142"/>
        <v>1672.5966666666666</v>
      </c>
      <c r="Q270" s="69">
        <f t="shared" si="142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  <c r="AF270" s="66"/>
      <c r="AG270" s="66"/>
      <c r="AH270" s="66"/>
    </row>
    <row r="271" spans="1:34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146"/>
        <v>0</v>
      </c>
      <c r="O271" s="66">
        <f t="shared" si="146"/>
        <v>1880.2</v>
      </c>
      <c r="P271" s="69">
        <f t="shared" si="142"/>
        <v>0</v>
      </c>
      <c r="Q271" s="69">
        <f t="shared" si="142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  <c r="AF271" s="66"/>
      <c r="AG271" s="66"/>
      <c r="AH271" s="66"/>
    </row>
    <row r="272" spans="1:34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146"/>
        <v>1851.6</v>
      </c>
      <c r="O272" s="66">
        <f t="shared" si="146"/>
        <v>1624.16</v>
      </c>
      <c r="P272" s="69">
        <f t="shared" si="142"/>
        <v>617.19999999999993</v>
      </c>
      <c r="Q272" s="69">
        <f t="shared" si="142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  <c r="AF272" s="66"/>
      <c r="AG272" s="66"/>
      <c r="AH272" s="66"/>
    </row>
    <row r="273" spans="1:34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146"/>
        <v>0</v>
      </c>
      <c r="O273" s="66">
        <f t="shared" si="146"/>
        <v>6709.32</v>
      </c>
      <c r="P273" s="69">
        <f t="shared" si="142"/>
        <v>0</v>
      </c>
      <c r="Q273" s="69">
        <f t="shared" si="142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  <c r="AF273" s="66"/>
      <c r="AG273" s="66"/>
      <c r="AH273" s="66"/>
    </row>
    <row r="274" spans="1:34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146"/>
        <v>0</v>
      </c>
      <c r="O274" s="66">
        <f t="shared" si="146"/>
        <v>1983.36</v>
      </c>
      <c r="P274" s="69">
        <f t="shared" si="142"/>
        <v>0</v>
      </c>
      <c r="Q274" s="69">
        <f t="shared" si="142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  <c r="AF274" s="66"/>
      <c r="AG274" s="66"/>
      <c r="AH274" s="66"/>
    </row>
    <row r="275" spans="1:34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146"/>
        <v>0</v>
      </c>
      <c r="O275" s="66">
        <f t="shared" si="146"/>
        <v>4759.01</v>
      </c>
      <c r="P275" s="69">
        <f t="shared" si="142"/>
        <v>0</v>
      </c>
      <c r="Q275" s="69">
        <f t="shared" si="142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  <c r="AF275" s="66"/>
      <c r="AG275" s="66"/>
      <c r="AH275" s="66"/>
    </row>
    <row r="276" spans="1:34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146"/>
        <v>8987.11</v>
      </c>
      <c r="O276" s="66">
        <f t="shared" si="146"/>
        <v>17088.16</v>
      </c>
      <c r="P276" s="69">
        <f t="shared" si="142"/>
        <v>2995.7033333333334</v>
      </c>
      <c r="Q276" s="69">
        <f t="shared" si="142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  <c r="AF276" s="66"/>
      <c r="AG276" s="66"/>
      <c r="AH276" s="66"/>
    </row>
    <row r="277" spans="1:34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146"/>
        <v>170.91</v>
      </c>
      <c r="O277" s="66">
        <f t="shared" si="146"/>
        <v>4097.04</v>
      </c>
      <c r="P277" s="69">
        <f t="shared" si="142"/>
        <v>56.97</v>
      </c>
      <c r="Q277" s="69">
        <f t="shared" si="142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  <c r="AF277" s="66"/>
      <c r="AG277" s="66"/>
      <c r="AH277" s="66"/>
    </row>
    <row r="278" spans="1:34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146"/>
        <v>1914.86</v>
      </c>
      <c r="O278" s="66">
        <f t="shared" si="146"/>
        <v>1668.12</v>
      </c>
      <c r="P278" s="69">
        <f t="shared" si="142"/>
        <v>638.28666666666663</v>
      </c>
      <c r="Q278" s="69">
        <f t="shared" si="142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  <c r="AF278" s="66"/>
      <c r="AG278" s="66"/>
      <c r="AH278" s="66"/>
    </row>
    <row r="279" spans="1:34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146"/>
        <v>581.79999999999995</v>
      </c>
      <c r="O279" s="73">
        <f t="shared" si="146"/>
        <v>0</v>
      </c>
      <c r="P279" s="74">
        <f t="shared" si="142"/>
        <v>193.93333333333331</v>
      </c>
      <c r="Q279" s="74">
        <f t="shared" si="142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  <c r="AF279" s="73"/>
      <c r="AG279" s="73"/>
      <c r="AH279" s="73"/>
    </row>
    <row r="280" spans="1:34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147">ROUND(SUM(H264:H279),5)</f>
        <v>11247.41</v>
      </c>
      <c r="I280" s="63">
        <f t="shared" si="147"/>
        <v>0</v>
      </c>
      <c r="J280" s="64">
        <f t="shared" si="147"/>
        <v>13538.34</v>
      </c>
      <c r="K280" s="64">
        <f t="shared" si="147"/>
        <v>43816.14</v>
      </c>
      <c r="L280" s="65">
        <f t="shared" si="147"/>
        <v>6063.06</v>
      </c>
      <c r="M280" s="65">
        <f t="shared" si="147"/>
        <v>9160.75</v>
      </c>
      <c r="N280" s="66">
        <f t="shared" si="146"/>
        <v>30848.81</v>
      </c>
      <c r="O280" s="66">
        <f t="shared" si="146"/>
        <v>52976.89</v>
      </c>
      <c r="P280" s="69">
        <f t="shared" si="142"/>
        <v>10282.936666666666</v>
      </c>
      <c r="Q280" s="69">
        <f t="shared" si="142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 t="shared" ref="AB280:AG280" si="148">ROUND(SUM(AB264:AB279),5)</f>
        <v>0</v>
      </c>
      <c r="AC280" s="66">
        <f t="shared" si="148"/>
        <v>0</v>
      </c>
      <c r="AD280" s="66">
        <f t="shared" si="148"/>
        <v>0</v>
      </c>
      <c r="AE280" s="66">
        <f t="shared" si="148"/>
        <v>0</v>
      </c>
      <c r="AF280" s="66">
        <f t="shared" si="148"/>
        <v>0</v>
      </c>
      <c r="AG280" s="66">
        <f t="shared" si="148"/>
        <v>0</v>
      </c>
      <c r="AH280" s="66">
        <f t="shared" ref="AH280" si="149">ROUND(SUM(AH264:AH279),5)</f>
        <v>0</v>
      </c>
    </row>
    <row r="281" spans="1:34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142"/>
        <v>0</v>
      </c>
      <c r="Q281" s="69">
        <f t="shared" si="142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  <c r="AF281" s="66"/>
      <c r="AG281" s="66"/>
      <c r="AH281" s="66"/>
    </row>
    <row r="282" spans="1:34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150">ROUND(H282+J282+L282,5)</f>
        <v>9840.1</v>
      </c>
      <c r="O282" s="66">
        <f t="shared" si="150"/>
        <v>6658.46</v>
      </c>
      <c r="P282" s="69">
        <f t="shared" si="142"/>
        <v>3280.0333333333333</v>
      </c>
      <c r="Q282" s="69">
        <f t="shared" si="142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  <c r="AF282" s="66"/>
      <c r="AG282" s="66"/>
      <c r="AH282" s="66"/>
    </row>
    <row r="283" spans="1:34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150"/>
        <v>9035.52</v>
      </c>
      <c r="O283" s="66">
        <f t="shared" si="150"/>
        <v>7418.32</v>
      </c>
      <c r="P283" s="69">
        <f t="shared" si="142"/>
        <v>3011.84</v>
      </c>
      <c r="Q283" s="69">
        <f t="shared" si="142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  <c r="AF283" s="66"/>
      <c r="AG283" s="66"/>
      <c r="AH283" s="66"/>
    </row>
    <row r="284" spans="1:34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150"/>
        <v>0</v>
      </c>
      <c r="O284" s="66">
        <f t="shared" si="150"/>
        <v>656.04</v>
      </c>
      <c r="P284" s="69">
        <f t="shared" si="142"/>
        <v>0</v>
      </c>
      <c r="Q284" s="69">
        <f t="shared" si="142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  <c r="AF284" s="66"/>
      <c r="AG284" s="66"/>
      <c r="AH284" s="66"/>
    </row>
    <row r="285" spans="1:34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150"/>
        <v>2620.06</v>
      </c>
      <c r="O285" s="66">
        <f t="shared" si="150"/>
        <v>7118.32</v>
      </c>
      <c r="P285" s="69">
        <f t="shared" si="142"/>
        <v>873.35333333333335</v>
      </c>
      <c r="Q285" s="69">
        <f t="shared" si="142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  <c r="AF285" s="66"/>
      <c r="AG285" s="66"/>
      <c r="AH285" s="66"/>
    </row>
    <row r="286" spans="1:34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150"/>
        <v>2099.5700000000002</v>
      </c>
      <c r="O286" s="66">
        <f t="shared" si="150"/>
        <v>1012.08</v>
      </c>
      <c r="P286" s="69">
        <f t="shared" si="142"/>
        <v>699.85666666666668</v>
      </c>
      <c r="Q286" s="69">
        <f t="shared" si="142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  <c r="AF286" s="66"/>
      <c r="AG286" s="66"/>
      <c r="AH286" s="66"/>
    </row>
    <row r="287" spans="1:34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150"/>
        <v>1066.75</v>
      </c>
      <c r="O287" s="73">
        <f t="shared" si="150"/>
        <v>6918.32</v>
      </c>
      <c r="P287" s="74">
        <f t="shared" si="142"/>
        <v>355.58333333333331</v>
      </c>
      <c r="Q287" s="74">
        <f t="shared" si="142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  <c r="AF287" s="73"/>
      <c r="AG287" s="73"/>
      <c r="AH287" s="73"/>
    </row>
    <row r="288" spans="1:34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151">ROUND(SUM(H281:H287),5)</f>
        <v>5366.39</v>
      </c>
      <c r="I288" s="63">
        <f t="shared" si="151"/>
        <v>0</v>
      </c>
      <c r="J288" s="64">
        <f t="shared" si="151"/>
        <v>9447.02</v>
      </c>
      <c r="K288" s="64">
        <f t="shared" si="151"/>
        <v>27381.54</v>
      </c>
      <c r="L288" s="65">
        <f t="shared" si="151"/>
        <v>9848.59</v>
      </c>
      <c r="M288" s="65">
        <f t="shared" si="151"/>
        <v>2400</v>
      </c>
      <c r="N288" s="66">
        <f t="shared" si="150"/>
        <v>24662</v>
      </c>
      <c r="O288" s="66">
        <f t="shared" si="150"/>
        <v>29781.54</v>
      </c>
      <c r="P288" s="69">
        <f t="shared" si="142"/>
        <v>8220.6666666666661</v>
      </c>
      <c r="Q288" s="69">
        <f t="shared" si="142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 t="shared" ref="AB288:AG288" si="152">ROUND(SUM(AB281:AB287),5)</f>
        <v>0</v>
      </c>
      <c r="AC288" s="66">
        <f t="shared" si="152"/>
        <v>0</v>
      </c>
      <c r="AD288" s="66">
        <f t="shared" si="152"/>
        <v>0</v>
      </c>
      <c r="AE288" s="66">
        <f t="shared" si="152"/>
        <v>0</v>
      </c>
      <c r="AF288" s="66">
        <f t="shared" si="152"/>
        <v>0</v>
      </c>
      <c r="AG288" s="66">
        <f t="shared" si="152"/>
        <v>0</v>
      </c>
      <c r="AH288" s="66">
        <f t="shared" ref="AH288" si="153">ROUND(SUM(AH281:AH287),5)</f>
        <v>0</v>
      </c>
    </row>
    <row r="289" spans="1:34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  <c r="AF289" s="66"/>
      <c r="AG289" s="66"/>
      <c r="AH289" s="66"/>
    </row>
    <row r="290" spans="1:34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154">ROUND(H290+J290+L290,5)</f>
        <v>513.95000000000005</v>
      </c>
      <c r="O290" s="66">
        <f t="shared" si="154"/>
        <v>300</v>
      </c>
      <c r="P290" s="69">
        <f t="shared" si="142"/>
        <v>171.31666666666669</v>
      </c>
      <c r="Q290" s="69">
        <f t="shared" si="142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  <c r="AF290" s="66"/>
      <c r="AG290" s="66"/>
      <c r="AH290" s="66"/>
    </row>
    <row r="291" spans="1:34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154"/>
        <v>5543.87</v>
      </c>
      <c r="O291" s="66">
        <f t="shared" si="154"/>
        <v>800</v>
      </c>
      <c r="P291" s="69">
        <f t="shared" si="142"/>
        <v>1847.9566666666667</v>
      </c>
      <c r="Q291" s="69">
        <f t="shared" si="142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  <c r="AF291" s="66"/>
      <c r="AG291" s="66"/>
      <c r="AH291" s="66"/>
    </row>
    <row r="292" spans="1:34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154"/>
        <v>0</v>
      </c>
      <c r="O292" s="66">
        <f t="shared" si="154"/>
        <v>6718.32</v>
      </c>
      <c r="P292" s="69">
        <f t="shared" si="142"/>
        <v>0</v>
      </c>
      <c r="Q292" s="69">
        <f t="shared" si="142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  <c r="AF292" s="66"/>
      <c r="AG292" s="66"/>
      <c r="AH292" s="66"/>
    </row>
    <row r="293" spans="1:34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154"/>
        <v>1829.97</v>
      </c>
      <c r="O293" s="66">
        <f t="shared" si="154"/>
        <v>400</v>
      </c>
      <c r="P293" s="69">
        <f t="shared" si="142"/>
        <v>609.99</v>
      </c>
      <c r="Q293" s="69">
        <f t="shared" si="142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  <c r="AF293" s="66"/>
      <c r="AG293" s="66"/>
      <c r="AH293" s="66"/>
    </row>
    <row r="294" spans="1:34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154"/>
        <v>574.11</v>
      </c>
      <c r="O294" s="66">
        <f t="shared" si="154"/>
        <v>200</v>
      </c>
      <c r="P294" s="69">
        <f t="shared" si="142"/>
        <v>191.37</v>
      </c>
      <c r="Q294" s="69">
        <f t="shared" si="142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  <c r="AF294" s="66"/>
      <c r="AG294" s="66"/>
      <c r="AH294" s="66"/>
    </row>
    <row r="295" spans="1:34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154"/>
        <v>2094.56</v>
      </c>
      <c r="O295" s="66">
        <f t="shared" si="154"/>
        <v>700</v>
      </c>
      <c r="P295" s="69">
        <f t="shared" si="142"/>
        <v>698.18666666666661</v>
      </c>
      <c r="Q295" s="69">
        <f t="shared" si="142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  <c r="AF295" s="66"/>
      <c r="AG295" s="66"/>
      <c r="AH295" s="66"/>
    </row>
    <row r="296" spans="1:34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154"/>
        <v>143.52000000000001</v>
      </c>
      <c r="O296" s="66">
        <f t="shared" si="154"/>
        <v>0</v>
      </c>
      <c r="P296" s="69">
        <f t="shared" si="142"/>
        <v>47.84</v>
      </c>
      <c r="Q296" s="69">
        <f t="shared" si="142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  <c r="AF296" s="66"/>
      <c r="AG296" s="66"/>
      <c r="AH296" s="66"/>
    </row>
    <row r="297" spans="1:34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154"/>
        <v>0</v>
      </c>
      <c r="O297" s="66">
        <f t="shared" si="154"/>
        <v>100</v>
      </c>
      <c r="P297" s="69">
        <f t="shared" si="142"/>
        <v>0</v>
      </c>
      <c r="Q297" s="69">
        <f t="shared" si="142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  <c r="AF297" s="66"/>
      <c r="AG297" s="66"/>
      <c r="AH297" s="66"/>
    </row>
    <row r="298" spans="1:34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154"/>
        <v>1205.7</v>
      </c>
      <c r="O298" s="66">
        <f t="shared" si="154"/>
        <v>0</v>
      </c>
      <c r="P298" s="69">
        <f t="shared" si="142"/>
        <v>401.90000000000003</v>
      </c>
      <c r="Q298" s="69">
        <f t="shared" si="142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  <c r="AF298" s="66"/>
      <c r="AG298" s="66"/>
      <c r="AH298" s="66"/>
    </row>
    <row r="299" spans="1:34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154"/>
        <v>0</v>
      </c>
      <c r="O299" s="66">
        <f t="shared" si="154"/>
        <v>0</v>
      </c>
      <c r="P299" s="69">
        <f t="shared" si="142"/>
        <v>0</v>
      </c>
      <c r="Q299" s="69">
        <f t="shared" si="142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  <c r="AF299" s="66"/>
      <c r="AG299" s="66"/>
      <c r="AH299" s="66"/>
    </row>
    <row r="300" spans="1:34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154"/>
        <v>0</v>
      </c>
      <c r="O300" s="73">
        <f t="shared" si="154"/>
        <v>0</v>
      </c>
      <c r="P300" s="74">
        <f t="shared" si="142"/>
        <v>0</v>
      </c>
      <c r="Q300" s="74">
        <f t="shared" si="142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  <c r="AF300" s="73"/>
      <c r="AG300" s="73"/>
      <c r="AH300" s="73"/>
    </row>
    <row r="301" spans="1:34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155">ROUND(SUM(H289:H300),5)</f>
        <v>3691.61</v>
      </c>
      <c r="I301" s="63">
        <f t="shared" si="155"/>
        <v>0</v>
      </c>
      <c r="J301" s="64">
        <f t="shared" si="155"/>
        <v>4249.07</v>
      </c>
      <c r="K301" s="64">
        <f t="shared" si="155"/>
        <v>6718.32</v>
      </c>
      <c r="L301" s="65">
        <f t="shared" si="155"/>
        <v>3965</v>
      </c>
      <c r="M301" s="65">
        <f t="shared" si="155"/>
        <v>2500</v>
      </c>
      <c r="N301" s="66">
        <f t="shared" si="154"/>
        <v>11905.68</v>
      </c>
      <c r="O301" s="66">
        <f t="shared" si="154"/>
        <v>9218.32</v>
      </c>
      <c r="P301" s="69">
        <f t="shared" si="142"/>
        <v>3968.56</v>
      </c>
      <c r="Q301" s="69">
        <f t="shared" si="142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 t="shared" ref="AB301:AG301" si="156">ROUND(SUM(AB289:AB300),5)</f>
        <v>0</v>
      </c>
      <c r="AC301" s="66">
        <f t="shared" si="156"/>
        <v>0</v>
      </c>
      <c r="AD301" s="66">
        <f t="shared" si="156"/>
        <v>0</v>
      </c>
      <c r="AE301" s="66">
        <f t="shared" si="156"/>
        <v>0</v>
      </c>
      <c r="AF301" s="66">
        <f t="shared" si="156"/>
        <v>0</v>
      </c>
      <c r="AG301" s="66">
        <f t="shared" si="156"/>
        <v>0</v>
      </c>
      <c r="AH301" s="66">
        <f t="shared" ref="AH301" si="157">ROUND(SUM(AH289:AH300),5)</f>
        <v>0</v>
      </c>
    </row>
    <row r="302" spans="1:34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  <c r="AF302" s="66"/>
      <c r="AG302" s="66"/>
      <c r="AH302" s="66"/>
    </row>
    <row r="303" spans="1:34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158">ROUND(H303+J303+L303,5)</f>
        <v>4407.63</v>
      </c>
      <c r="O303" s="66">
        <f t="shared" si="158"/>
        <v>7218.32</v>
      </c>
      <c r="P303" s="69">
        <f t="shared" si="142"/>
        <v>1469.21</v>
      </c>
      <c r="Q303" s="69">
        <f t="shared" si="142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  <c r="AF303" s="66"/>
      <c r="AG303" s="66"/>
      <c r="AH303" s="66"/>
    </row>
    <row r="304" spans="1:34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158"/>
        <v>62.18</v>
      </c>
      <c r="O304" s="66">
        <f t="shared" si="158"/>
        <v>659.86</v>
      </c>
      <c r="P304" s="69">
        <f t="shared" si="142"/>
        <v>20.726666666666667</v>
      </c>
      <c r="Q304" s="69">
        <f t="shared" si="142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  <c r="AF304" s="66"/>
      <c r="AG304" s="66"/>
      <c r="AH304" s="66"/>
    </row>
    <row r="305" spans="1:34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158"/>
        <v>1422.94</v>
      </c>
      <c r="O305" s="66">
        <f t="shared" si="158"/>
        <v>5438.74</v>
      </c>
      <c r="P305" s="69">
        <f t="shared" si="142"/>
        <v>474.31333333333333</v>
      </c>
      <c r="Q305" s="69">
        <f t="shared" si="142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  <c r="AF305" s="66"/>
      <c r="AG305" s="66"/>
      <c r="AH305" s="66"/>
    </row>
    <row r="306" spans="1:34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158"/>
        <v>602.46</v>
      </c>
      <c r="O306" s="73">
        <f t="shared" si="158"/>
        <v>756.04</v>
      </c>
      <c r="P306" s="74">
        <f t="shared" si="142"/>
        <v>200.82000000000002</v>
      </c>
      <c r="Q306" s="74">
        <f t="shared" si="142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  <c r="AF306" s="73"/>
      <c r="AG306" s="73"/>
      <c r="AH306" s="73"/>
    </row>
    <row r="307" spans="1:34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159">ROUND(SUM(H302:H306),5)</f>
        <v>358.49</v>
      </c>
      <c r="I307" s="63">
        <f t="shared" si="159"/>
        <v>0</v>
      </c>
      <c r="J307" s="64">
        <f t="shared" si="159"/>
        <v>1711.98</v>
      </c>
      <c r="K307" s="64">
        <f t="shared" si="159"/>
        <v>12672.96</v>
      </c>
      <c r="L307" s="65">
        <f t="shared" si="159"/>
        <v>4424.74</v>
      </c>
      <c r="M307" s="65">
        <f t="shared" si="159"/>
        <v>1400</v>
      </c>
      <c r="N307" s="66">
        <f t="shared" si="158"/>
        <v>6495.21</v>
      </c>
      <c r="O307" s="66">
        <f t="shared" si="158"/>
        <v>14072.96</v>
      </c>
      <c r="P307" s="69">
        <f t="shared" si="142"/>
        <v>2165.0700000000002</v>
      </c>
      <c r="Q307" s="69">
        <f t="shared" si="142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 t="shared" ref="AB307:AG307" si="160">ROUND(SUM(AB302:AB306),5)</f>
        <v>0</v>
      </c>
      <c r="AC307" s="66">
        <f t="shared" si="160"/>
        <v>0</v>
      </c>
      <c r="AD307" s="66">
        <f t="shared" si="160"/>
        <v>0</v>
      </c>
      <c r="AE307" s="66">
        <f t="shared" si="160"/>
        <v>0</v>
      </c>
      <c r="AF307" s="66">
        <f t="shared" si="160"/>
        <v>0</v>
      </c>
      <c r="AG307" s="66">
        <f t="shared" si="160"/>
        <v>0</v>
      </c>
      <c r="AH307" s="66">
        <f t="shared" ref="AH307" si="161">ROUND(SUM(AH302:AH306),5)</f>
        <v>0</v>
      </c>
    </row>
    <row r="308" spans="1:34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  <c r="AF308" s="66"/>
      <c r="AG308" s="66"/>
      <c r="AH308" s="66"/>
    </row>
    <row r="309" spans="1:34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162">ROUND(H309+J309+L309,5)</f>
        <v>9703.68</v>
      </c>
      <c r="O309" s="66">
        <f t="shared" si="162"/>
        <v>5278.88</v>
      </c>
      <c r="P309" s="69">
        <f t="shared" si="142"/>
        <v>3234.56</v>
      </c>
      <c r="Q309" s="69">
        <f t="shared" si="142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  <c r="AF309" s="66"/>
      <c r="AG309" s="66"/>
      <c r="AH309" s="66"/>
    </row>
    <row r="310" spans="1:34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162"/>
        <v>884.39</v>
      </c>
      <c r="O310" s="66">
        <f t="shared" si="162"/>
        <v>2439.44</v>
      </c>
      <c r="P310" s="69">
        <f t="shared" si="142"/>
        <v>294.79666666666668</v>
      </c>
      <c r="Q310" s="69">
        <f t="shared" si="142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  <c r="AF310" s="66"/>
      <c r="AG310" s="66"/>
      <c r="AH310" s="66"/>
    </row>
    <row r="311" spans="1:34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162"/>
        <v>979.97</v>
      </c>
      <c r="O311" s="66">
        <f t="shared" si="162"/>
        <v>6758.46</v>
      </c>
      <c r="P311" s="69">
        <f t="shared" si="142"/>
        <v>326.65666666666669</v>
      </c>
      <c r="Q311" s="69">
        <f t="shared" si="142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  <c r="AF311" s="66"/>
      <c r="AG311" s="66"/>
      <c r="AH311" s="66"/>
    </row>
    <row r="312" spans="1:34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162"/>
        <v>404.46</v>
      </c>
      <c r="O312" s="66">
        <f t="shared" si="162"/>
        <v>1679.58</v>
      </c>
      <c r="P312" s="69">
        <f t="shared" si="142"/>
        <v>134.82</v>
      </c>
      <c r="Q312" s="69">
        <f t="shared" si="142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  <c r="AF312" s="66"/>
      <c r="AG312" s="66"/>
      <c r="AH312" s="66"/>
    </row>
    <row r="313" spans="1:34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162"/>
        <v>4314.07</v>
      </c>
      <c r="O313" s="66">
        <f t="shared" si="162"/>
        <v>2480.1999999999998</v>
      </c>
      <c r="P313" s="69">
        <f t="shared" si="142"/>
        <v>1438.0233333333333</v>
      </c>
      <c r="Q313" s="69">
        <f t="shared" si="142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  <c r="AF313" s="66"/>
      <c r="AG313" s="66"/>
      <c r="AH313" s="66"/>
    </row>
    <row r="314" spans="1:34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162"/>
        <v>487.74</v>
      </c>
      <c r="O314" s="66">
        <f t="shared" si="162"/>
        <v>912.08</v>
      </c>
      <c r="P314" s="69">
        <f t="shared" si="142"/>
        <v>162.58000000000001</v>
      </c>
      <c r="Q314" s="69">
        <f t="shared" si="142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  <c r="AF314" s="66"/>
      <c r="AG314" s="66"/>
      <c r="AH314" s="66"/>
    </row>
    <row r="315" spans="1:34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162"/>
        <v>2326.19</v>
      </c>
      <c r="O315" s="66">
        <f t="shared" si="162"/>
        <v>6398.6</v>
      </c>
      <c r="P315" s="69">
        <f t="shared" si="142"/>
        <v>775.39666666666665</v>
      </c>
      <c r="Q315" s="69">
        <f t="shared" si="142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  <c r="AF315" s="66"/>
      <c r="AG315" s="66"/>
      <c r="AH315" s="66"/>
    </row>
    <row r="316" spans="1:34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162"/>
        <v>229.23</v>
      </c>
      <c r="O316" s="66">
        <f t="shared" si="162"/>
        <v>2239.44</v>
      </c>
      <c r="P316" s="69">
        <f t="shared" si="142"/>
        <v>76.41</v>
      </c>
      <c r="Q316" s="69">
        <f t="shared" si="142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  <c r="AF316" s="66"/>
      <c r="AG316" s="66"/>
      <c r="AH316" s="66"/>
    </row>
    <row r="317" spans="1:34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162"/>
        <v>759.74</v>
      </c>
      <c r="O317" s="66">
        <f t="shared" si="162"/>
        <v>1524.12</v>
      </c>
      <c r="P317" s="69">
        <f t="shared" si="142"/>
        <v>253.24666666666667</v>
      </c>
      <c r="Q317" s="69">
        <f t="shared" si="142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  <c r="AF317" s="66"/>
      <c r="AG317" s="66"/>
      <c r="AH317" s="66"/>
    </row>
    <row r="318" spans="1:34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162"/>
        <v>84.4</v>
      </c>
      <c r="O318" s="73">
        <f t="shared" si="162"/>
        <v>0</v>
      </c>
      <c r="P318" s="74">
        <f t="shared" si="142"/>
        <v>28.133333333333336</v>
      </c>
      <c r="Q318" s="74">
        <f t="shared" si="142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  <c r="AF318" s="73"/>
      <c r="AG318" s="73"/>
      <c r="AH318" s="73"/>
    </row>
    <row r="319" spans="1:34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163">ROUND(SUM(H308:H318),5)</f>
        <v>5951.81</v>
      </c>
      <c r="I319" s="63">
        <f t="shared" si="163"/>
        <v>0</v>
      </c>
      <c r="J319" s="64">
        <f t="shared" si="163"/>
        <v>9394.2800000000007</v>
      </c>
      <c r="K319" s="64">
        <f t="shared" si="163"/>
        <v>26310.799999999999</v>
      </c>
      <c r="L319" s="65">
        <f t="shared" si="163"/>
        <v>4827.78</v>
      </c>
      <c r="M319" s="65">
        <f t="shared" si="163"/>
        <v>3400</v>
      </c>
      <c r="N319" s="66">
        <f t="shared" si="162"/>
        <v>20173.87</v>
      </c>
      <c r="O319" s="66">
        <f t="shared" si="162"/>
        <v>29710.799999999999</v>
      </c>
      <c r="P319" s="69">
        <f t="shared" si="142"/>
        <v>6724.623333333333</v>
      </c>
      <c r="Q319" s="69">
        <f t="shared" si="142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 t="shared" ref="AB319:AG319" si="164">ROUND(SUM(AB308:AB318),5)</f>
        <v>0</v>
      </c>
      <c r="AC319" s="66">
        <f t="shared" si="164"/>
        <v>0</v>
      </c>
      <c r="AD319" s="66">
        <f t="shared" si="164"/>
        <v>0</v>
      </c>
      <c r="AE319" s="66">
        <f t="shared" si="164"/>
        <v>0</v>
      </c>
      <c r="AF319" s="66">
        <f t="shared" si="164"/>
        <v>0</v>
      </c>
      <c r="AG319" s="66">
        <f t="shared" si="164"/>
        <v>0</v>
      </c>
      <c r="AH319" s="66">
        <f t="shared" ref="AH319" si="165">ROUND(SUM(AH308:AH318),5)</f>
        <v>0</v>
      </c>
    </row>
    <row r="320" spans="1:34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  <c r="AF320" s="66"/>
      <c r="AG320" s="66"/>
      <c r="AH320" s="66"/>
    </row>
    <row r="321" spans="1:36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166">ROUND(H321+J321+L321,5)</f>
        <v>17798.97</v>
      </c>
      <c r="O321" s="66">
        <f t="shared" si="166"/>
        <v>26035.49</v>
      </c>
      <c r="P321" s="69">
        <f t="shared" si="142"/>
        <v>5932.9900000000007</v>
      </c>
      <c r="Q321" s="69">
        <f t="shared" si="142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  <c r="AF321" s="66"/>
      <c r="AG321" s="66"/>
      <c r="AH321" s="66"/>
    </row>
    <row r="322" spans="1:36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166"/>
        <v>3570.09</v>
      </c>
      <c r="O322" s="66">
        <f t="shared" si="166"/>
        <v>10078.280000000001</v>
      </c>
      <c r="P322" s="69">
        <f t="shared" si="142"/>
        <v>1190.03</v>
      </c>
      <c r="Q322" s="69">
        <f t="shared" si="142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  <c r="AF322" s="66"/>
      <c r="AG322" s="66"/>
      <c r="AH322" s="66"/>
    </row>
    <row r="323" spans="1:36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166"/>
        <v>7211.43</v>
      </c>
      <c r="O323" s="66">
        <f t="shared" si="166"/>
        <v>7893.22</v>
      </c>
      <c r="P323" s="69">
        <f t="shared" si="142"/>
        <v>2403.81</v>
      </c>
      <c r="Q323" s="69">
        <f t="shared" si="142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  <c r="AF323" s="66"/>
      <c r="AG323" s="66"/>
      <c r="AH323" s="66"/>
    </row>
    <row r="324" spans="1:36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166"/>
        <v>1219.69</v>
      </c>
      <c r="O324" s="66">
        <f t="shared" si="166"/>
        <v>1271.28</v>
      </c>
      <c r="P324" s="69">
        <f t="shared" ref="P324:Q387" si="167">N324/3</f>
        <v>406.56333333333333</v>
      </c>
      <c r="Q324" s="69">
        <f t="shared" si="167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  <c r="AF324" s="66"/>
      <c r="AG324" s="66"/>
      <c r="AH324" s="66"/>
    </row>
    <row r="325" spans="1:36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166"/>
        <v>20508.62</v>
      </c>
      <c r="O325" s="66">
        <f t="shared" si="166"/>
        <v>19153.73</v>
      </c>
      <c r="P325" s="69">
        <f t="shared" si="167"/>
        <v>6836.206666666666</v>
      </c>
      <c r="Q325" s="69">
        <f t="shared" si="167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  <c r="AF325" s="66"/>
      <c r="AG325" s="66"/>
      <c r="AH325" s="66"/>
    </row>
    <row r="326" spans="1:36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166"/>
        <v>2276.86</v>
      </c>
      <c r="O326" s="66">
        <f t="shared" si="166"/>
        <v>0</v>
      </c>
      <c r="P326" s="69">
        <f t="shared" si="167"/>
        <v>758.95333333333338</v>
      </c>
      <c r="Q326" s="69">
        <f t="shared" si="167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  <c r="AF326" s="66"/>
      <c r="AG326" s="66"/>
      <c r="AH326" s="66"/>
    </row>
    <row r="327" spans="1:36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  <c r="AF327" s="73"/>
      <c r="AG327" s="73"/>
      <c r="AH327" s="73"/>
    </row>
    <row r="328" spans="1:36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168">ROUND(SUM(H320:H326),5)</f>
        <v>14703.25</v>
      </c>
      <c r="I328" s="63">
        <f t="shared" si="168"/>
        <v>0</v>
      </c>
      <c r="J328" s="64">
        <f t="shared" si="168"/>
        <v>19844.400000000001</v>
      </c>
      <c r="K328" s="64">
        <f t="shared" si="168"/>
        <v>9669.84</v>
      </c>
      <c r="L328" s="65">
        <f t="shared" si="168"/>
        <v>18038.009999999998</v>
      </c>
      <c r="M328" s="65">
        <f t="shared" si="168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167"/>
        <v>17528.553333333333</v>
      </c>
      <c r="Q328" s="69">
        <f t="shared" si="167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 t="shared" ref="AB328:AG328" si="169">ROUND(SUM(AB320:AB327),5)</f>
        <v>0</v>
      </c>
      <c r="AC328" s="66">
        <f t="shared" si="169"/>
        <v>0</v>
      </c>
      <c r="AD328" s="66">
        <f t="shared" si="169"/>
        <v>0</v>
      </c>
      <c r="AE328" s="66">
        <f t="shared" si="169"/>
        <v>0</v>
      </c>
      <c r="AF328" s="66">
        <f t="shared" si="169"/>
        <v>0</v>
      </c>
      <c r="AG328" s="66">
        <f t="shared" si="169"/>
        <v>0</v>
      </c>
      <c r="AH328" s="66">
        <f t="shared" ref="AH328" si="170">ROUND(SUM(AH320:AH327),5)</f>
        <v>0</v>
      </c>
    </row>
    <row r="329" spans="1:36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  <c r="AF329" s="66"/>
      <c r="AG329" s="66"/>
      <c r="AH329" s="66"/>
    </row>
    <row r="330" spans="1:36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171">ROUND(H330+J330+L330,5)</f>
        <v>291196.26</v>
      </c>
      <c r="O330" s="73">
        <f t="shared" si="171"/>
        <v>74045.47</v>
      </c>
      <c r="P330" s="74">
        <f t="shared" si="167"/>
        <v>97065.42</v>
      </c>
      <c r="Q330" s="74">
        <f t="shared" si="167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  <c r="AF330" s="73"/>
      <c r="AG330" s="73"/>
      <c r="AH330" s="73"/>
    </row>
    <row r="331" spans="1:36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172">ROUND(SUM(H329:H330),5)</f>
        <v>70479.55</v>
      </c>
      <c r="I331" s="63">
        <f t="shared" si="172"/>
        <v>74045.47</v>
      </c>
      <c r="J331" s="64">
        <f t="shared" si="172"/>
        <v>78550</v>
      </c>
      <c r="K331" s="64">
        <f t="shared" si="172"/>
        <v>0</v>
      </c>
      <c r="L331" s="65">
        <f t="shared" si="172"/>
        <v>142166.71</v>
      </c>
      <c r="M331" s="65">
        <f t="shared" si="172"/>
        <v>0</v>
      </c>
      <c r="N331" s="66">
        <f t="shared" si="171"/>
        <v>291196.26</v>
      </c>
      <c r="O331" s="66">
        <f t="shared" si="171"/>
        <v>74045.47</v>
      </c>
      <c r="P331" s="69">
        <f t="shared" si="167"/>
        <v>97065.42</v>
      </c>
      <c r="Q331" s="69">
        <f t="shared" si="167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G331" si="173">ROUND(SUM(Z329:Z330),5)</f>
        <v>0</v>
      </c>
      <c r="AA331" s="140"/>
      <c r="AB331" s="66">
        <f t="shared" si="173"/>
        <v>0</v>
      </c>
      <c r="AC331" s="66">
        <f t="shared" si="173"/>
        <v>0</v>
      </c>
      <c r="AD331" s="66">
        <f t="shared" si="173"/>
        <v>0</v>
      </c>
      <c r="AE331" s="66">
        <f t="shared" si="173"/>
        <v>0</v>
      </c>
      <c r="AF331" s="66">
        <f t="shared" si="173"/>
        <v>0</v>
      </c>
      <c r="AG331" s="66">
        <f t="shared" si="173"/>
        <v>0</v>
      </c>
      <c r="AH331" s="66">
        <f t="shared" ref="AH331" si="174">ROUND(SUM(AH329:AH330),5)</f>
        <v>0</v>
      </c>
    </row>
    <row r="332" spans="1:36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171"/>
        <v>0</v>
      </c>
      <c r="O332" s="73">
        <f t="shared" si="171"/>
        <v>61404.95</v>
      </c>
      <c r="P332" s="74">
        <f t="shared" si="167"/>
        <v>0</v>
      </c>
      <c r="Q332" s="74">
        <f t="shared" si="167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  <c r="AH332" s="73">
        <v>0</v>
      </c>
    </row>
    <row r="333" spans="1:36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75">ROUND(SUM(H227:H228)+H234+H257+H263+H280+H288+H301+H307+H319+H328+SUM(H331:H332),5)</f>
        <v>188585.61</v>
      </c>
      <c r="I333" s="63">
        <f t="shared" si="175"/>
        <v>138009</v>
      </c>
      <c r="J333" s="64">
        <f t="shared" si="175"/>
        <v>203924.74</v>
      </c>
      <c r="K333" s="64">
        <f t="shared" si="175"/>
        <v>194923.04</v>
      </c>
      <c r="L333" s="65">
        <f t="shared" si="175"/>
        <v>249596.1</v>
      </c>
      <c r="M333" s="65">
        <f t="shared" si="175"/>
        <v>148293.14000000001</v>
      </c>
      <c r="N333" s="66">
        <f t="shared" si="171"/>
        <v>642106.44999999995</v>
      </c>
      <c r="O333" s="66">
        <f t="shared" si="171"/>
        <v>481225.18</v>
      </c>
      <c r="P333" s="69">
        <f t="shared" si="167"/>
        <v>214035.48333333331</v>
      </c>
      <c r="Q333" s="69">
        <f t="shared" si="167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 t="shared" ref="AB333:AF333" si="176">ROUND(SUM(AB227:AB228)+AB234+AB257+AB263+AB280+AB288+AB301+AB307+AB319+AB328+SUM(AB331:AB332),5)</f>
        <v>227894.31142000001</v>
      </c>
      <c r="AC333" s="80">
        <f t="shared" si="176"/>
        <v>227894.31142000001</v>
      </c>
      <c r="AD333" s="80">
        <f t="shared" si="176"/>
        <v>243375.95202</v>
      </c>
      <c r="AE333" s="80">
        <f t="shared" si="176"/>
        <v>205210.84</v>
      </c>
      <c r="AF333" s="80">
        <f t="shared" si="176"/>
        <v>205210.84</v>
      </c>
      <c r="AG333" s="80">
        <f>ROUND(SUM(AG227:AG228)+AG234+AG257+AG263+AG280+AG288+AG301+AG307+AG319+AG328+SUM(AG331:AG332),0)</f>
        <v>205211</v>
      </c>
      <c r="AH333" s="80">
        <f>ROUND(SUM(AH227:AH228)+AH234+AH257+AH263+AH280+AH288+AH301+AH307+AH319+AH328+SUM(AH331:AH332),0)</f>
        <v>205211</v>
      </c>
      <c r="AJ333" s="110" t="s">
        <v>987</v>
      </c>
    </row>
    <row r="334" spans="1:36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66"/>
      <c r="AG334" s="66"/>
      <c r="AH334" s="66"/>
      <c r="AI334" s="195"/>
      <c r="AJ334" s="185"/>
    </row>
    <row r="335" spans="1:36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66"/>
      <c r="AG335" s="66"/>
      <c r="AH335" s="66"/>
      <c r="AI335" s="195"/>
      <c r="AJ335" s="185"/>
    </row>
    <row r="336" spans="1:36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177">ROUND(H336+J336+L336,5)</f>
        <v>21365</v>
      </c>
      <c r="O336" s="66">
        <v>0</v>
      </c>
      <c r="P336" s="69">
        <f t="shared" si="167"/>
        <v>7121.666666666667</v>
      </c>
      <c r="Q336" s="69">
        <f t="shared" si="167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  <c r="AH336" s="66">
        <v>0</v>
      </c>
    </row>
    <row r="337" spans="1:36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77"/>
        <v>97979.59</v>
      </c>
      <c r="O337" s="66">
        <f>ROUND(I337+K337+M337,5)</f>
        <v>40000</v>
      </c>
      <c r="P337" s="69">
        <f t="shared" si="167"/>
        <v>32659.863333333331</v>
      </c>
      <c r="Q337" s="69">
        <f t="shared" si="167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</v>
      </c>
    </row>
    <row r="338" spans="1:36" ht="16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77"/>
        <v>22480.97</v>
      </c>
      <c r="O338" s="66">
        <v>0</v>
      </c>
      <c r="P338" s="69">
        <f t="shared" si="167"/>
        <v>7493.6566666666668</v>
      </c>
      <c r="Q338" s="69">
        <f t="shared" si="167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125000</v>
      </c>
      <c r="AI338" s="206" t="s">
        <v>1000</v>
      </c>
      <c r="AJ338" s="110" t="s">
        <v>1007</v>
      </c>
    </row>
    <row r="339" spans="1:36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77"/>
        <v>680</v>
      </c>
      <c r="O339" s="66">
        <f>ROUND(I339+K339+M339,5)</f>
        <v>0</v>
      </c>
      <c r="P339" s="69">
        <f t="shared" si="167"/>
        <v>226.66666666666666</v>
      </c>
      <c r="Q339" s="69">
        <f t="shared" si="167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  <c r="AG339" s="168">
        <v>50000</v>
      </c>
      <c r="AH339" s="168">
        <v>50000</v>
      </c>
    </row>
    <row r="340" spans="1:36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  <c r="AG340" s="168">
        <v>50000</v>
      </c>
      <c r="AH340" s="168">
        <v>50000</v>
      </c>
    </row>
    <row r="341" spans="1:36" ht="16.5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77"/>
        <v>6830</v>
      </c>
      <c r="O341" s="73">
        <f>ROUND(I341+K341+M341,5)</f>
        <v>26000</v>
      </c>
      <c r="P341" s="74">
        <f t="shared" si="167"/>
        <v>2276.6666666666665</v>
      </c>
      <c r="Q341" s="74">
        <f t="shared" si="167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  <c r="AF341" s="73">
        <v>0</v>
      </c>
      <c r="AG341" s="66">
        <v>33125</v>
      </c>
      <c r="AH341" s="66">
        <v>33125</v>
      </c>
      <c r="AI341" s="206" t="s">
        <v>1000</v>
      </c>
      <c r="AJ341" s="110" t="s">
        <v>962</v>
      </c>
    </row>
    <row r="342" spans="1:36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78">ROUND(SUM(H335:H341),5)</f>
        <v>19670</v>
      </c>
      <c r="I342" s="63">
        <f t="shared" si="178"/>
        <v>0</v>
      </c>
      <c r="J342" s="64">
        <f t="shared" si="178"/>
        <v>94715.56</v>
      </c>
      <c r="K342" s="64">
        <f t="shared" si="178"/>
        <v>26000</v>
      </c>
      <c r="L342" s="65">
        <f t="shared" si="178"/>
        <v>34950</v>
      </c>
      <c r="M342" s="65">
        <f t="shared" si="178"/>
        <v>40000</v>
      </c>
      <c r="N342" s="66">
        <f t="shared" si="177"/>
        <v>149335.56</v>
      </c>
      <c r="O342" s="66">
        <f>ROUND(I342+K342+M342,5)</f>
        <v>66000</v>
      </c>
      <c r="P342" s="69">
        <f t="shared" si="167"/>
        <v>49778.52</v>
      </c>
      <c r="Q342" s="69">
        <f t="shared" si="167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 t="shared" ref="AB342:AG342" si="179">ROUND(SUM(AB335:AB341),5)</f>
        <v>100000</v>
      </c>
      <c r="AC342" s="80">
        <f t="shared" si="179"/>
        <v>100000</v>
      </c>
      <c r="AD342" s="80">
        <f t="shared" si="179"/>
        <v>100000</v>
      </c>
      <c r="AE342" s="80">
        <f t="shared" si="179"/>
        <v>100000</v>
      </c>
      <c r="AF342" s="80">
        <f t="shared" si="179"/>
        <v>100000</v>
      </c>
      <c r="AG342" s="80">
        <f t="shared" si="179"/>
        <v>133125</v>
      </c>
      <c r="AH342" s="80">
        <f t="shared" ref="AH342" si="180">ROUND(SUM(AH335:AH341),5)</f>
        <v>258125</v>
      </c>
    </row>
    <row r="343" spans="1:36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77"/>
        <v>110000</v>
      </c>
      <c r="O343" s="66">
        <f>ROUND(I343+K343+M343,5)</f>
        <v>135000</v>
      </c>
      <c r="P343" s="69">
        <f t="shared" si="167"/>
        <v>36666.666666666664</v>
      </c>
      <c r="Q343" s="69">
        <f t="shared" si="167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  <c r="AG343" s="66">
        <v>35000</v>
      </c>
      <c r="AH343" s="66">
        <v>35000</v>
      </c>
    </row>
    <row r="344" spans="1:36" ht="16" x14ac:dyDescent="0.35">
      <c r="A344" s="66"/>
      <c r="B344" s="66"/>
      <c r="C344" s="49"/>
      <c r="D344" s="49"/>
      <c r="E344" s="49"/>
      <c r="F344" s="49" t="s">
        <v>990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77"/>
        <v>2807</v>
      </c>
      <c r="O344" s="66">
        <f>ROUND(I344+K344+M344,5)</f>
        <v>71745</v>
      </c>
      <c r="P344" s="69">
        <f t="shared" si="167"/>
        <v>935.66666666666663</v>
      </c>
      <c r="Q344" s="69">
        <f t="shared" si="167"/>
        <v>23915</v>
      </c>
      <c r="R344" s="54"/>
      <c r="S344" s="49"/>
      <c r="T344" s="49"/>
      <c r="U344" s="49"/>
      <c r="V344" s="49"/>
      <c r="W344" s="49"/>
      <c r="X344" s="49" t="s">
        <v>990</v>
      </c>
      <c r="Y344" s="49"/>
      <c r="Z344" s="66">
        <v>0</v>
      </c>
      <c r="AA344" s="140"/>
      <c r="AB344" s="168">
        <v>0</v>
      </c>
      <c r="AC344" s="168">
        <v>0</v>
      </c>
      <c r="AD344" s="168">
        <v>0</v>
      </c>
      <c r="AE344" s="168">
        <v>0</v>
      </c>
      <c r="AF344" s="168">
        <v>10000</v>
      </c>
      <c r="AG344" s="66">
        <v>10000</v>
      </c>
      <c r="AH344" s="66">
        <v>10000</v>
      </c>
      <c r="AI344" s="206" t="s">
        <v>1000</v>
      </c>
      <c r="AJ344" s="186" t="s">
        <v>955</v>
      </c>
    </row>
    <row r="345" spans="1:36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77"/>
        <v>600</v>
      </c>
      <c r="O345" s="66">
        <v>0</v>
      </c>
      <c r="P345" s="69">
        <f t="shared" si="167"/>
        <v>200</v>
      </c>
      <c r="Q345" s="69">
        <f t="shared" si="167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0</v>
      </c>
    </row>
    <row r="346" spans="1:36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77"/>
        <v>4601.16</v>
      </c>
      <c r="O346" s="66">
        <f t="shared" si="177"/>
        <v>5000</v>
      </c>
      <c r="P346" s="69">
        <f t="shared" si="167"/>
        <v>1533.72</v>
      </c>
      <c r="Q346" s="69">
        <f t="shared" si="167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  <c r="AG346" s="66">
        <v>1500</v>
      </c>
      <c r="AH346" s="66">
        <v>1500</v>
      </c>
    </row>
    <row r="347" spans="1:36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77"/>
        <v>0</v>
      </c>
      <c r="O347" s="66">
        <f t="shared" si="177"/>
        <v>0</v>
      </c>
      <c r="P347" s="69">
        <f t="shared" si="167"/>
        <v>0</v>
      </c>
      <c r="Q347" s="69">
        <f t="shared" si="167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  <c r="AH347" s="66">
        <v>0</v>
      </c>
    </row>
    <row r="348" spans="1:36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77"/>
        <v>55866.65</v>
      </c>
      <c r="O348" s="66">
        <f t="shared" si="177"/>
        <v>39369.230000000003</v>
      </c>
      <c r="P348" s="69">
        <f t="shared" si="167"/>
        <v>18622.216666666667</v>
      </c>
      <c r="Q348" s="69">
        <f t="shared" si="167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  <c r="AG348" s="66">
        <v>19164</v>
      </c>
      <c r="AH348" s="66">
        <v>19164</v>
      </c>
    </row>
    <row r="349" spans="1:36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77"/>
        <v>12578.7</v>
      </c>
      <c r="O349" s="66">
        <f t="shared" si="177"/>
        <v>11353.85</v>
      </c>
      <c r="P349" s="69">
        <f t="shared" si="167"/>
        <v>4192.9000000000005</v>
      </c>
      <c r="Q349" s="69">
        <f t="shared" si="167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  <c r="AG349" s="66">
        <v>4000</v>
      </c>
      <c r="AH349" s="66">
        <v>4000</v>
      </c>
    </row>
    <row r="350" spans="1:36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77"/>
        <v>43549.17</v>
      </c>
      <c r="O350" s="66">
        <f t="shared" si="177"/>
        <v>35000</v>
      </c>
      <c r="P350" s="69">
        <f t="shared" si="167"/>
        <v>14516.39</v>
      </c>
      <c r="Q350" s="69">
        <f t="shared" si="167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G350" s="66">
        <f>ROUND(12117.4*1.5, 0)</f>
        <v>18176</v>
      </c>
      <c r="AH350" s="66">
        <f>ROUND(12117.4*1.5, 0)</f>
        <v>18176</v>
      </c>
      <c r="AI350" s="182"/>
      <c r="AJ350" s="110" t="s">
        <v>970</v>
      </c>
    </row>
    <row r="351" spans="1:36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77"/>
        <v>7760.69</v>
      </c>
      <c r="O351" s="66">
        <f t="shared" si="177"/>
        <v>20000</v>
      </c>
      <c r="P351" s="69">
        <f t="shared" si="167"/>
        <v>2586.8966666666665</v>
      </c>
      <c r="Q351" s="69">
        <f t="shared" si="167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66">
        <v>0</v>
      </c>
      <c r="AI351" s="190"/>
    </row>
    <row r="352" spans="1:36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77"/>
        <v>44149.02</v>
      </c>
      <c r="O352" s="66">
        <f t="shared" si="177"/>
        <v>34250.04</v>
      </c>
      <c r="P352" s="69">
        <f t="shared" si="167"/>
        <v>14716.339999999998</v>
      </c>
      <c r="Q352" s="69">
        <f t="shared" si="167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  <c r="AG352" s="66">
        <v>20000</v>
      </c>
      <c r="AH352" s="66">
        <v>20000</v>
      </c>
    </row>
    <row r="353" spans="1:35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77"/>
        <v>1956.11</v>
      </c>
      <c r="O353" s="66">
        <f t="shared" si="177"/>
        <v>22500</v>
      </c>
      <c r="P353" s="69">
        <f t="shared" si="167"/>
        <v>652.03666666666663</v>
      </c>
      <c r="Q353" s="69">
        <f t="shared" si="167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6">
        <v>0</v>
      </c>
    </row>
    <row r="354" spans="1:35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77"/>
        <v>34446</v>
      </c>
      <c r="O354" s="66">
        <f t="shared" si="177"/>
        <v>20748</v>
      </c>
      <c r="P354" s="69">
        <f t="shared" si="167"/>
        <v>11482</v>
      </c>
      <c r="Q354" s="69">
        <f t="shared" si="167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>
        <v>0</v>
      </c>
    </row>
    <row r="355" spans="1:35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77"/>
        <v>2154.44</v>
      </c>
      <c r="O355" s="66">
        <f t="shared" si="177"/>
        <v>3605</v>
      </c>
      <c r="P355" s="69">
        <f t="shared" si="167"/>
        <v>718.14666666666665</v>
      </c>
      <c r="Q355" s="69">
        <f t="shared" si="167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>
        <v>0</v>
      </c>
    </row>
    <row r="356" spans="1:35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77"/>
        <v>20339.71</v>
      </c>
      <c r="O356" s="66">
        <f t="shared" si="177"/>
        <v>13000</v>
      </c>
      <c r="P356" s="69">
        <f t="shared" si="167"/>
        <v>6779.9033333333327</v>
      </c>
      <c r="Q356" s="69">
        <f t="shared" si="167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  <c r="AG356" s="66">
        <v>9000</v>
      </c>
      <c r="AH356" s="66">
        <v>9000</v>
      </c>
    </row>
    <row r="357" spans="1:35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77"/>
        <v>500</v>
      </c>
      <c r="O357" s="66">
        <f t="shared" si="177"/>
        <v>0</v>
      </c>
      <c r="P357" s="69">
        <f t="shared" si="167"/>
        <v>166.66666666666666</v>
      </c>
      <c r="Q357" s="69">
        <f t="shared" si="167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  <c r="AH357" s="66">
        <v>0</v>
      </c>
    </row>
    <row r="358" spans="1:35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  <c r="AF358" s="66"/>
      <c r="AG358" s="66"/>
      <c r="AH358" s="66"/>
    </row>
    <row r="359" spans="1:35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81">ROUND(H359+J359+L359,5)</f>
        <v>84190</v>
      </c>
      <c r="O359" s="66">
        <f t="shared" si="181"/>
        <v>49784.88</v>
      </c>
      <c r="P359" s="69">
        <f t="shared" si="167"/>
        <v>28063.333333333332</v>
      </c>
      <c r="Q359" s="69">
        <f t="shared" si="167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  <c r="AG359" s="66">
        <v>0</v>
      </c>
      <c r="AH359" s="66">
        <v>0</v>
      </c>
    </row>
    <row r="360" spans="1:35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81"/>
        <v>0</v>
      </c>
      <c r="O360" s="73">
        <f t="shared" si="181"/>
        <v>15000</v>
      </c>
      <c r="P360" s="74">
        <f t="shared" si="167"/>
        <v>0</v>
      </c>
      <c r="Q360" s="74">
        <f t="shared" si="167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  <c r="AG360" s="73">
        <v>0</v>
      </c>
      <c r="AH360" s="73">
        <v>0</v>
      </c>
    </row>
    <row r="361" spans="1:35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82">ROUND(SUM(H358:H360),5)</f>
        <v>31425</v>
      </c>
      <c r="I361" s="63">
        <f t="shared" si="182"/>
        <v>15000</v>
      </c>
      <c r="J361" s="64">
        <f t="shared" si="182"/>
        <v>27367.5</v>
      </c>
      <c r="K361" s="64">
        <f t="shared" si="182"/>
        <v>28917.38</v>
      </c>
      <c r="L361" s="65">
        <f t="shared" si="182"/>
        <v>25397.5</v>
      </c>
      <c r="M361" s="65">
        <f t="shared" si="182"/>
        <v>20867.5</v>
      </c>
      <c r="N361" s="66">
        <f t="shared" si="181"/>
        <v>84190</v>
      </c>
      <c r="O361" s="66">
        <f t="shared" si="181"/>
        <v>64784.88</v>
      </c>
      <c r="P361" s="69">
        <f t="shared" si="167"/>
        <v>28063.333333333332</v>
      </c>
      <c r="Q361" s="69">
        <f t="shared" si="167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 t="shared" ref="AB361:AG361" si="183">ROUND(SUM(AB358:AB360),5)</f>
        <v>0</v>
      </c>
      <c r="AC361" s="80">
        <f t="shared" si="183"/>
        <v>0</v>
      </c>
      <c r="AD361" s="80">
        <f t="shared" si="183"/>
        <v>0</v>
      </c>
      <c r="AE361" s="80">
        <f t="shared" si="183"/>
        <v>0</v>
      </c>
      <c r="AF361" s="80">
        <f t="shared" si="183"/>
        <v>0</v>
      </c>
      <c r="AG361" s="80">
        <f t="shared" si="183"/>
        <v>0</v>
      </c>
      <c r="AH361" s="80">
        <f t="shared" ref="AH361" si="184">ROUND(SUM(AH358:AH360),5)</f>
        <v>0</v>
      </c>
    </row>
    <row r="362" spans="1:35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81"/>
        <v>0</v>
      </c>
      <c r="O362" s="66">
        <f t="shared" si="181"/>
        <v>0</v>
      </c>
      <c r="P362" s="69">
        <f t="shared" si="167"/>
        <v>0</v>
      </c>
      <c r="Q362" s="69">
        <f t="shared" si="167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  <c r="AF362" s="66"/>
      <c r="AG362" s="66"/>
      <c r="AH362" s="66"/>
    </row>
    <row r="363" spans="1:35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85">ROUND(H334+SUM(H342:H357)+SUM(H361:H362),5)</f>
        <v>166149.76999999999</v>
      </c>
      <c r="I363" s="83">
        <f t="shared" si="185"/>
        <v>161924.6</v>
      </c>
      <c r="J363" s="84">
        <f t="shared" si="185"/>
        <v>213318.06</v>
      </c>
      <c r="K363" s="84">
        <f t="shared" si="185"/>
        <v>155784.65</v>
      </c>
      <c r="L363" s="85">
        <f t="shared" si="185"/>
        <v>195366.38</v>
      </c>
      <c r="M363" s="85">
        <f t="shared" si="185"/>
        <v>224646.75</v>
      </c>
      <c r="N363" s="86">
        <f t="shared" si="181"/>
        <v>574834.21</v>
      </c>
      <c r="O363" s="86">
        <f t="shared" si="181"/>
        <v>542356</v>
      </c>
      <c r="P363" s="87">
        <f t="shared" si="167"/>
        <v>191611.40333333332</v>
      </c>
      <c r="Q363" s="87">
        <f t="shared" si="167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 t="shared" ref="AB363:AG363" si="186">ROUND(AB334+SUM(AB342:AB357)+SUM(AB361:AB362),5)</f>
        <v>199017.1</v>
      </c>
      <c r="AC363" s="88">
        <f t="shared" si="186"/>
        <v>199017.1</v>
      </c>
      <c r="AD363" s="88">
        <f t="shared" si="186"/>
        <v>202281.4</v>
      </c>
      <c r="AE363" s="88">
        <f t="shared" si="186"/>
        <v>200781.4</v>
      </c>
      <c r="AF363" s="88">
        <f t="shared" si="186"/>
        <v>210781.4</v>
      </c>
      <c r="AG363" s="88">
        <f t="shared" si="186"/>
        <v>249965</v>
      </c>
      <c r="AH363" s="88">
        <f t="shared" ref="AH363" si="187">ROUND(AH334+SUM(AH342:AH357)+SUM(AH361:AH362),5)</f>
        <v>374965</v>
      </c>
    </row>
    <row r="364" spans="1:35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88">ROUND(H226+H333+H363,5)</f>
        <v>354735.38</v>
      </c>
      <c r="I364" s="63">
        <f t="shared" si="188"/>
        <v>299933.59999999998</v>
      </c>
      <c r="J364" s="64">
        <f t="shared" si="188"/>
        <v>417242.8</v>
      </c>
      <c r="K364" s="64">
        <f t="shared" si="188"/>
        <v>350707.69</v>
      </c>
      <c r="L364" s="65">
        <f t="shared" si="188"/>
        <v>444962.48</v>
      </c>
      <c r="M364" s="65">
        <f t="shared" si="188"/>
        <v>372939.89</v>
      </c>
      <c r="N364" s="66">
        <f t="shared" si="181"/>
        <v>1216940.6599999999</v>
      </c>
      <c r="O364" s="66">
        <f t="shared" si="181"/>
        <v>1023581.18</v>
      </c>
      <c r="P364" s="69">
        <f t="shared" si="167"/>
        <v>405646.88666666666</v>
      </c>
      <c r="Q364" s="69">
        <f t="shared" si="167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 t="shared" ref="AB364:AG364" si="189">ROUND(AB226+AB333+AB363,5)</f>
        <v>426911.41142000002</v>
      </c>
      <c r="AC364" s="66">
        <f t="shared" si="189"/>
        <v>426911.41142000002</v>
      </c>
      <c r="AD364" s="66">
        <f t="shared" si="189"/>
        <v>445657.35201999999</v>
      </c>
      <c r="AE364" s="66">
        <f t="shared" si="189"/>
        <v>405992.24</v>
      </c>
      <c r="AF364" s="66">
        <f t="shared" si="189"/>
        <v>415992.24</v>
      </c>
      <c r="AG364" s="66">
        <f t="shared" si="189"/>
        <v>455176</v>
      </c>
      <c r="AH364" s="66">
        <f t="shared" ref="AH364" si="190">ROUND(AH226+AH333+AH363,5)</f>
        <v>580176</v>
      </c>
    </row>
    <row r="365" spans="1:35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  <c r="AF365" s="66"/>
      <c r="AG365" s="66"/>
      <c r="AH365" s="66"/>
    </row>
    <row r="366" spans="1:35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91">ROUND(H366+J366+L366,5)</f>
        <v>65072</v>
      </c>
      <c r="O366" s="66">
        <f t="shared" si="191"/>
        <v>51375.6</v>
      </c>
      <c r="P366" s="69">
        <f t="shared" si="167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  <c r="AG366" s="66">
        <v>33936</v>
      </c>
      <c r="AH366" s="66">
        <v>33936</v>
      </c>
      <c r="AI366" s="182"/>
    </row>
    <row r="367" spans="1:35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91"/>
        <v>111140.02</v>
      </c>
      <c r="O367" s="66">
        <f t="shared" si="191"/>
        <v>112544.8</v>
      </c>
      <c r="P367" s="69">
        <f t="shared" si="167"/>
        <v>37046.673333333332</v>
      </c>
      <c r="Q367" s="69">
        <f t="shared" si="167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 t="shared" ref="AB367:AH367" si="192">ROUND(37896.24, 0)</f>
        <v>37896</v>
      </c>
      <c r="AC367" s="66">
        <f t="shared" si="192"/>
        <v>37896</v>
      </c>
      <c r="AD367" s="66">
        <f t="shared" si="192"/>
        <v>37896</v>
      </c>
      <c r="AE367" s="66">
        <f t="shared" si="192"/>
        <v>37896</v>
      </c>
      <c r="AF367" s="66">
        <f t="shared" si="192"/>
        <v>37896</v>
      </c>
      <c r="AG367" s="66">
        <f t="shared" si="192"/>
        <v>37896</v>
      </c>
      <c r="AH367" s="66">
        <f t="shared" si="192"/>
        <v>37896</v>
      </c>
      <c r="AI367" s="182"/>
    </row>
    <row r="368" spans="1:35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91"/>
        <v>73064.12</v>
      </c>
      <c r="O368" s="66">
        <f t="shared" si="191"/>
        <v>69064.929999999993</v>
      </c>
      <c r="P368" s="69">
        <f t="shared" si="167"/>
        <v>24354.706666666665</v>
      </c>
      <c r="Q368" s="69">
        <f t="shared" si="167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  <c r="AG368" s="66">
        <v>27067</v>
      </c>
      <c r="AH368" s="66">
        <v>27067</v>
      </c>
      <c r="AI368" s="182"/>
    </row>
    <row r="369" spans="1:36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91"/>
        <v>83751.37</v>
      </c>
      <c r="O369" s="66">
        <f t="shared" si="191"/>
        <v>83288.960000000006</v>
      </c>
      <c r="P369" s="69">
        <f t="shared" si="167"/>
        <v>27917.123333333333</v>
      </c>
      <c r="Q369" s="69">
        <f t="shared" si="167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  <c r="AG369" s="66">
        <v>29904</v>
      </c>
      <c r="AH369" s="66">
        <v>29904</v>
      </c>
      <c r="AI369" s="182"/>
    </row>
    <row r="370" spans="1:36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91"/>
        <v>28135.19</v>
      </c>
      <c r="O370" s="66">
        <f t="shared" si="191"/>
        <v>34600</v>
      </c>
      <c r="P370" s="69">
        <f t="shared" si="167"/>
        <v>9378.3966666666656</v>
      </c>
      <c r="Q370" s="69">
        <f t="shared" si="167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  <c r="AG370" s="66">
        <v>10000</v>
      </c>
      <c r="AH370" s="66">
        <v>10000</v>
      </c>
      <c r="AI370" s="182"/>
    </row>
    <row r="371" spans="1:36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93">ROUND(SUM(H365:H370),5)</f>
        <v>114632.84</v>
      </c>
      <c r="I371" s="75">
        <f t="shared" si="193"/>
        <v>107960.9</v>
      </c>
      <c r="J371" s="76">
        <f t="shared" si="193"/>
        <v>123159.01</v>
      </c>
      <c r="K371" s="76">
        <f t="shared" si="193"/>
        <v>112474.39</v>
      </c>
      <c r="L371" s="77">
        <f t="shared" si="193"/>
        <v>123370.85</v>
      </c>
      <c r="M371" s="77">
        <f t="shared" si="193"/>
        <v>130439</v>
      </c>
      <c r="N371" s="78">
        <f t="shared" si="191"/>
        <v>361162.7</v>
      </c>
      <c r="O371" s="78">
        <f t="shared" si="191"/>
        <v>350874.29</v>
      </c>
      <c r="P371" s="79">
        <f t="shared" si="167"/>
        <v>120387.56666666667</v>
      </c>
      <c r="Q371" s="79">
        <f t="shared" si="167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 t="shared" ref="AB371:AG371" si="194">ROUND(SUM(AB365:AB370),5)</f>
        <v>129087</v>
      </c>
      <c r="AC371" s="80">
        <f t="shared" si="194"/>
        <v>129087</v>
      </c>
      <c r="AD371" s="80">
        <f t="shared" si="194"/>
        <v>129087</v>
      </c>
      <c r="AE371" s="80">
        <f t="shared" si="194"/>
        <v>138803</v>
      </c>
      <c r="AF371" s="80">
        <f t="shared" si="194"/>
        <v>138803</v>
      </c>
      <c r="AG371" s="80">
        <f t="shared" si="194"/>
        <v>138803</v>
      </c>
      <c r="AH371" s="80">
        <f t="shared" ref="AH371" si="195">ROUND(SUM(AH365:AH370),5)</f>
        <v>138803</v>
      </c>
    </row>
    <row r="372" spans="1:36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167"/>
        <v>0</v>
      </c>
      <c r="Q372" s="69">
        <f t="shared" si="167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  <c r="AF372" s="66"/>
      <c r="AG372" s="66"/>
      <c r="AH372" s="66"/>
    </row>
    <row r="373" spans="1:36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96">ROUND(H373+J373+L373,5)</f>
        <v>4736691.54</v>
      </c>
      <c r="O373" s="66">
        <f t="shared" si="196"/>
        <v>4809206.6399999997</v>
      </c>
      <c r="P373" s="69">
        <f t="shared" si="167"/>
        <v>1578897.18</v>
      </c>
      <c r="Q373" s="69">
        <f t="shared" si="167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>ROUND(1728649.91, 0)</f>
        <v>1728650</v>
      </c>
      <c r="AG373" s="66">
        <f>ROUND(1728649.91, 0)</f>
        <v>1728650</v>
      </c>
      <c r="AH373" s="66">
        <f>ROUND(1728649.91, 0)</f>
        <v>1728650</v>
      </c>
      <c r="AJ373" s="110" t="s">
        <v>889</v>
      </c>
    </row>
    <row r="374" spans="1:36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96"/>
        <v>186600.3</v>
      </c>
      <c r="O374" s="66">
        <f t="shared" si="196"/>
        <v>192368.27</v>
      </c>
      <c r="P374" s="69">
        <f t="shared" si="167"/>
        <v>62200.1</v>
      </c>
      <c r="Q374" s="69">
        <f t="shared" si="167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>ROUND(69146, 0)</f>
        <v>69146</v>
      </c>
      <c r="AG374" s="66">
        <f>ROUND(69146, 0)</f>
        <v>69146</v>
      </c>
      <c r="AH374" s="66">
        <f>ROUND(69146, 0)</f>
        <v>69146</v>
      </c>
      <c r="AJ374" s="110" t="s">
        <v>891</v>
      </c>
    </row>
    <row r="375" spans="1:36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96"/>
        <v>1242428.6000000001</v>
      </c>
      <c r="O375" s="66">
        <f t="shared" si="196"/>
        <v>1421274.67</v>
      </c>
      <c r="P375" s="69">
        <f t="shared" si="167"/>
        <v>414142.8666666667</v>
      </c>
      <c r="Q375" s="69">
        <f t="shared" si="167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>ROUND(485404.9, 0)</f>
        <v>485405</v>
      </c>
      <c r="AG375" s="66">
        <f>ROUND(485404.9, 0)</f>
        <v>485405</v>
      </c>
      <c r="AH375" s="66">
        <f>ROUND(485404.9, 0)</f>
        <v>485405</v>
      </c>
      <c r="AJ375" s="110" t="s">
        <v>890</v>
      </c>
    </row>
    <row r="376" spans="1:36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197">ROUND(SUM(H372:H375),5)</f>
        <v>1912297.24</v>
      </c>
      <c r="I376" s="75">
        <f t="shared" si="197"/>
        <v>2105179.7200000002</v>
      </c>
      <c r="J376" s="76">
        <f t="shared" si="197"/>
        <v>2104075.4500000002</v>
      </c>
      <c r="K376" s="76">
        <f t="shared" si="197"/>
        <v>2112580.67</v>
      </c>
      <c r="L376" s="77">
        <f t="shared" si="197"/>
        <v>2149347.75</v>
      </c>
      <c r="M376" s="77">
        <f t="shared" si="197"/>
        <v>2205089.19</v>
      </c>
      <c r="N376" s="78">
        <f t="shared" si="196"/>
        <v>6165720.4400000004</v>
      </c>
      <c r="O376" s="78">
        <f t="shared" si="196"/>
        <v>6422849.5800000001</v>
      </c>
      <c r="P376" s="79">
        <f t="shared" si="167"/>
        <v>2055240.1466666667</v>
      </c>
      <c r="Q376" s="79">
        <f t="shared" si="167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 t="shared" ref="AB376:AG376" si="198">ROUND(SUM(AB372:AB375),5)</f>
        <v>2291617</v>
      </c>
      <c r="AC376" s="80">
        <f t="shared" si="198"/>
        <v>2252385</v>
      </c>
      <c r="AD376" s="80">
        <f t="shared" si="198"/>
        <v>2252385</v>
      </c>
      <c r="AE376" s="80">
        <f t="shared" si="198"/>
        <v>2252385</v>
      </c>
      <c r="AF376" s="80">
        <f t="shared" si="198"/>
        <v>2283201</v>
      </c>
      <c r="AG376" s="80">
        <f t="shared" si="198"/>
        <v>2283201</v>
      </c>
      <c r="AH376" s="80">
        <f t="shared" ref="AH376" si="199">ROUND(SUM(AH372:AH375),5)</f>
        <v>2283201</v>
      </c>
      <c r="AJ376" s="187">
        <f>AG376/AG220</f>
        <v>0.4077895412530414</v>
      </c>
    </row>
    <row r="377" spans="1:36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F377" s="66"/>
      <c r="AG377" s="66"/>
      <c r="AH377" s="66"/>
      <c r="AJ377" s="188"/>
    </row>
    <row r="378" spans="1:36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  <c r="AF378" s="66"/>
      <c r="AG378" s="66"/>
      <c r="AH378" s="66"/>
    </row>
    <row r="379" spans="1:36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200">ROUND(H379+J379+L379,5)</f>
        <v>4046.28</v>
      </c>
      <c r="O379" s="66">
        <f t="shared" si="200"/>
        <v>3800</v>
      </c>
      <c r="P379" s="69">
        <f t="shared" si="167"/>
        <v>1348.76</v>
      </c>
      <c r="Q379" s="69">
        <f t="shared" si="167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G379" s="66">
        <v>1200</v>
      </c>
      <c r="AH379" s="66">
        <v>1200</v>
      </c>
      <c r="AI379" s="173"/>
      <c r="AJ379" s="173"/>
    </row>
    <row r="380" spans="1:36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200"/>
        <v>614951.03</v>
      </c>
      <c r="O380" s="66">
        <f t="shared" si="200"/>
        <v>486000</v>
      </c>
      <c r="P380" s="69">
        <f t="shared" si="167"/>
        <v>204983.67666666667</v>
      </c>
      <c r="Q380" s="69">
        <f t="shared" si="167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G380" s="66">
        <v>190000</v>
      </c>
      <c r="AH380" s="66">
        <v>190000</v>
      </c>
      <c r="AI380" s="173"/>
      <c r="AJ380" s="173"/>
    </row>
    <row r="381" spans="1:36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200"/>
        <v>8559.83</v>
      </c>
      <c r="O381" s="66">
        <f t="shared" si="200"/>
        <v>12510</v>
      </c>
      <c r="P381" s="69">
        <f t="shared" si="167"/>
        <v>2853.2766666666666</v>
      </c>
      <c r="Q381" s="69">
        <f t="shared" si="167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G381" s="66">
        <v>4760</v>
      </c>
      <c r="AH381" s="66">
        <v>4760</v>
      </c>
      <c r="AI381" s="173"/>
      <c r="AJ381" s="173"/>
    </row>
    <row r="382" spans="1:36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200"/>
        <v>309582.38</v>
      </c>
      <c r="O382" s="66">
        <f t="shared" si="200"/>
        <v>255250</v>
      </c>
      <c r="P382" s="69">
        <f t="shared" si="167"/>
        <v>103194.12666666666</v>
      </c>
      <c r="Q382" s="69">
        <f t="shared" si="167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G382" s="66">
        <v>78000</v>
      </c>
      <c r="AH382" s="66">
        <v>78000</v>
      </c>
      <c r="AI382" s="173"/>
      <c r="AJ382" s="173"/>
    </row>
    <row r="383" spans="1:36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200"/>
        <v>0</v>
      </c>
      <c r="O383" s="66">
        <v>0</v>
      </c>
      <c r="P383" s="69">
        <f t="shared" si="167"/>
        <v>0</v>
      </c>
      <c r="Q383" s="69">
        <f t="shared" si="167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66">
        <v>0</v>
      </c>
      <c r="AI383" s="173"/>
      <c r="AJ383" s="173"/>
    </row>
    <row r="384" spans="1:36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200"/>
        <v>563757.04</v>
      </c>
      <c r="O384" s="66">
        <f t="shared" si="200"/>
        <v>385395</v>
      </c>
      <c r="P384" s="69">
        <f t="shared" si="167"/>
        <v>187919.01333333334</v>
      </c>
      <c r="Q384" s="69">
        <f t="shared" si="167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G384" s="66">
        <v>177320</v>
      </c>
      <c r="AH384" s="66">
        <v>177320</v>
      </c>
      <c r="AJ384" s="189" t="s">
        <v>991</v>
      </c>
    </row>
    <row r="385" spans="1:36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200"/>
        <v>1218</v>
      </c>
      <c r="O385" s="66">
        <f t="shared" si="200"/>
        <v>18000</v>
      </c>
      <c r="P385" s="69">
        <f t="shared" si="167"/>
        <v>406</v>
      </c>
      <c r="Q385" s="69">
        <f t="shared" si="167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G385" s="66">
        <v>7500</v>
      </c>
      <c r="AH385" s="66">
        <v>7500</v>
      </c>
      <c r="AI385" s="173"/>
      <c r="AJ385" s="173"/>
    </row>
    <row r="386" spans="1:36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140"/>
      <c r="AB386" s="82"/>
      <c r="AC386" s="82"/>
      <c r="AD386" s="82"/>
      <c r="AE386" s="82"/>
      <c r="AF386" s="66"/>
      <c r="AG386" s="66"/>
      <c r="AH386" s="66"/>
      <c r="AI386" s="173"/>
      <c r="AJ386" s="173"/>
    </row>
    <row r="387" spans="1:36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200"/>
        <v>3483</v>
      </c>
      <c r="O387" s="66">
        <f t="shared" si="200"/>
        <v>13000</v>
      </c>
      <c r="P387" s="69">
        <f t="shared" si="167"/>
        <v>1161</v>
      </c>
      <c r="Q387" s="69">
        <f t="shared" si="167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G387" s="66">
        <v>20000</v>
      </c>
      <c r="AH387" s="66">
        <v>20000</v>
      </c>
      <c r="AI387" s="173"/>
      <c r="AJ387" s="173"/>
    </row>
    <row r="388" spans="1:36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200"/>
        <v>2892.1</v>
      </c>
      <c r="O388" s="66">
        <f t="shared" si="200"/>
        <v>18250</v>
      </c>
      <c r="P388" s="69">
        <f t="shared" ref="P388:Q450" si="201">N388/3</f>
        <v>964.0333333333333</v>
      </c>
      <c r="Q388" s="69">
        <f t="shared" si="201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G388" s="66">
        <v>12000</v>
      </c>
      <c r="AH388" s="66">
        <v>12000</v>
      </c>
      <c r="AI388" s="173"/>
      <c r="AJ388" s="173"/>
    </row>
    <row r="389" spans="1:36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200"/>
        <v>59350</v>
      </c>
      <c r="O389" s="66">
        <f t="shared" si="200"/>
        <v>38500</v>
      </c>
      <c r="P389" s="69">
        <f t="shared" si="201"/>
        <v>19783.333333333332</v>
      </c>
      <c r="Q389" s="69">
        <f t="shared" si="201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G389" s="66">
        <v>20925</v>
      </c>
      <c r="AH389" s="66">
        <v>20925</v>
      </c>
      <c r="AI389" s="173"/>
      <c r="AJ389" s="147"/>
    </row>
    <row r="390" spans="1:36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200"/>
        <v>123607.99</v>
      </c>
      <c r="O390" s="66">
        <f t="shared" si="200"/>
        <v>94000</v>
      </c>
      <c r="P390" s="69">
        <f t="shared" si="201"/>
        <v>41202.663333333338</v>
      </c>
      <c r="Q390" s="69">
        <f t="shared" si="201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G390" s="66">
        <v>32000</v>
      </c>
      <c r="AH390" s="66">
        <v>32000</v>
      </c>
      <c r="AI390" s="173"/>
      <c r="AJ390" s="173"/>
    </row>
    <row r="391" spans="1:36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200"/>
        <v>1886.2</v>
      </c>
      <c r="O391" s="66">
        <f t="shared" si="200"/>
        <v>3000</v>
      </c>
      <c r="P391" s="69">
        <f t="shared" si="201"/>
        <v>628.73333333333335</v>
      </c>
      <c r="Q391" s="69">
        <f t="shared" si="201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1000</v>
      </c>
      <c r="AH391" s="66">
        <v>1000</v>
      </c>
      <c r="AI391" s="173"/>
      <c r="AJ391" s="173"/>
    </row>
    <row r="392" spans="1:36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200"/>
        <v>103295.59</v>
      </c>
      <c r="O392" s="66">
        <f t="shared" si="200"/>
        <v>55000</v>
      </c>
      <c r="P392" s="69">
        <f t="shared" si="201"/>
        <v>34431.863333333335</v>
      </c>
      <c r="Q392" s="69">
        <f t="shared" si="201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G392" s="66">
        <v>25000</v>
      </c>
      <c r="AH392" s="66">
        <v>25000</v>
      </c>
      <c r="AI392" s="173"/>
      <c r="AJ392" s="173"/>
    </row>
    <row r="393" spans="1:36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200"/>
        <v>35000</v>
      </c>
      <c r="O393" s="66">
        <f t="shared" si="200"/>
        <v>35000</v>
      </c>
      <c r="P393" s="69">
        <f t="shared" si="201"/>
        <v>11666.666666666666</v>
      </c>
      <c r="Q393" s="69">
        <f t="shared" si="201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G393" s="66">
        <v>15000</v>
      </c>
      <c r="AH393" s="66">
        <v>15000</v>
      </c>
      <c r="AI393" s="173"/>
      <c r="AJ393" s="173"/>
    </row>
    <row r="394" spans="1:36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200"/>
        <v>37071.82</v>
      </c>
      <c r="O394" s="66">
        <f t="shared" si="200"/>
        <v>21012</v>
      </c>
      <c r="P394" s="69">
        <f t="shared" si="201"/>
        <v>12357.273333333333</v>
      </c>
      <c r="Q394" s="69">
        <f t="shared" si="201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G394" s="66">
        <v>7616</v>
      </c>
      <c r="AH394" s="66">
        <v>7616</v>
      </c>
      <c r="AI394" s="173"/>
      <c r="AJ394" s="173"/>
    </row>
    <row r="395" spans="1:36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202">ROUND(H395+J395+L395,5)</f>
        <v>8975</v>
      </c>
      <c r="O395" s="66">
        <f t="shared" si="202"/>
        <v>9000</v>
      </c>
      <c r="P395" s="69">
        <f t="shared" si="201"/>
        <v>2991.6666666666665</v>
      </c>
      <c r="Q395" s="69">
        <f t="shared" si="201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G395" s="66">
        <v>3000</v>
      </c>
      <c r="AH395" s="66">
        <v>3000</v>
      </c>
      <c r="AI395" s="173"/>
      <c r="AJ395" s="173"/>
    </row>
    <row r="396" spans="1:36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202"/>
        <v>52589.599999999999</v>
      </c>
      <c r="O396" s="66">
        <f t="shared" si="202"/>
        <v>30000</v>
      </c>
      <c r="P396" s="69">
        <f t="shared" si="201"/>
        <v>17529.866666666665</v>
      </c>
      <c r="Q396" s="69">
        <f t="shared" si="201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G396" s="66">
        <v>10000</v>
      </c>
      <c r="AH396" s="66">
        <v>10000</v>
      </c>
      <c r="AI396" s="173"/>
      <c r="AJ396" s="173"/>
    </row>
    <row r="397" spans="1:36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202"/>
        <v>7521.01</v>
      </c>
      <c r="O397" s="66">
        <f t="shared" si="202"/>
        <v>33000</v>
      </c>
      <c r="P397" s="69">
        <f t="shared" si="201"/>
        <v>2507.0033333333336</v>
      </c>
      <c r="Q397" s="69">
        <f t="shared" si="201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G397" s="66">
        <v>10000</v>
      </c>
      <c r="AH397" s="66">
        <v>10000</v>
      </c>
      <c r="AI397" s="173"/>
      <c r="AJ397" s="173"/>
    </row>
    <row r="398" spans="1:36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202"/>
        <v>0</v>
      </c>
      <c r="O398" s="66">
        <f t="shared" si="202"/>
        <v>600</v>
      </c>
      <c r="P398" s="69">
        <f t="shared" si="201"/>
        <v>0</v>
      </c>
      <c r="Q398" s="69">
        <f t="shared" si="201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66">
        <v>0</v>
      </c>
      <c r="AI398" s="173"/>
      <c r="AJ398" s="173"/>
    </row>
    <row r="399" spans="1:36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202"/>
        <v>0</v>
      </c>
      <c r="O399" s="66">
        <f t="shared" si="202"/>
        <v>2000</v>
      </c>
      <c r="P399" s="69">
        <f t="shared" si="201"/>
        <v>0</v>
      </c>
      <c r="Q399" s="69">
        <f t="shared" si="201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3000</v>
      </c>
      <c r="AH399" s="66">
        <v>3000</v>
      </c>
      <c r="AI399" s="173"/>
      <c r="AJ399" s="173"/>
    </row>
    <row r="400" spans="1:36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202"/>
        <v>17586.919999999998</v>
      </c>
      <c r="O400" s="66">
        <f t="shared" si="202"/>
        <v>14000</v>
      </c>
      <c r="P400" s="69">
        <f t="shared" si="201"/>
        <v>5862.3066666666664</v>
      </c>
      <c r="Q400" s="69">
        <f t="shared" si="201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G400" s="66">
        <v>5000</v>
      </c>
      <c r="AH400" s="66">
        <v>5000</v>
      </c>
      <c r="AI400" s="173"/>
      <c r="AJ400" s="173"/>
    </row>
    <row r="401" spans="1:36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202"/>
        <v>263874.56</v>
      </c>
      <c r="O401" s="66">
        <f t="shared" si="202"/>
        <v>238680</v>
      </c>
      <c r="P401" s="69">
        <f t="shared" si="201"/>
        <v>87958.186666666661</v>
      </c>
      <c r="Q401" s="69">
        <f t="shared" si="201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G401" s="66">
        <v>73120</v>
      </c>
      <c r="AH401" s="66">
        <v>73120</v>
      </c>
      <c r="AI401" s="173"/>
      <c r="AJ401" s="173"/>
    </row>
    <row r="402" spans="1:36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202"/>
        <v>40633.14</v>
      </c>
      <c r="O402" s="66">
        <f t="shared" si="202"/>
        <v>30000</v>
      </c>
      <c r="P402" s="69">
        <f t="shared" si="201"/>
        <v>13544.38</v>
      </c>
      <c r="Q402" s="69">
        <f t="shared" si="201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G402" s="66">
        <f>ROUND(-82882.1+10000-1000, 0)</f>
        <v>-73882</v>
      </c>
      <c r="AH402" s="66">
        <f>ROUND(-82882.1+10000-1000, 0)</f>
        <v>-73882</v>
      </c>
      <c r="AI402" s="173"/>
      <c r="AJ402" s="173"/>
    </row>
    <row r="403" spans="1:36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G403" s="66">
        <v>7000</v>
      </c>
      <c r="AH403" s="66">
        <v>7000</v>
      </c>
      <c r="AI403" s="173"/>
      <c r="AJ403" s="173"/>
    </row>
    <row r="404" spans="1:36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201"/>
        <v>6954.9000000000005</v>
      </c>
      <c r="Q404" s="74">
        <f t="shared" si="201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66">
        <v>0</v>
      </c>
      <c r="AI404" s="173"/>
      <c r="AJ404" s="173"/>
    </row>
    <row r="405" spans="1:36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203">ROUND(SUM(H403:H404),5)</f>
        <v>4300</v>
      </c>
      <c r="I405" s="63">
        <f t="shared" si="203"/>
        <v>5000</v>
      </c>
      <c r="J405" s="64">
        <f t="shared" si="203"/>
        <v>13564.7</v>
      </c>
      <c r="K405" s="64">
        <f t="shared" si="203"/>
        <v>5000</v>
      </c>
      <c r="L405" s="65">
        <f t="shared" si="203"/>
        <v>3000</v>
      </c>
      <c r="M405" s="65">
        <f t="shared" si="203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201"/>
        <v>6954.9000000000005</v>
      </c>
      <c r="Q405" s="69">
        <f t="shared" si="201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F405" s="66"/>
      <c r="AG405" s="66"/>
      <c r="AH405" s="66"/>
      <c r="AI405" s="173"/>
      <c r="AJ405" s="173"/>
    </row>
    <row r="406" spans="1:36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204">ROUND(H406+J406+L406,5)</f>
        <v>105788.02</v>
      </c>
      <c r="O406" s="66"/>
      <c r="P406" s="69">
        <f t="shared" si="201"/>
        <v>35262.673333333332</v>
      </c>
      <c r="Q406" s="69">
        <f t="shared" si="201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F406" s="66"/>
      <c r="AG406" s="66"/>
      <c r="AH406" s="66"/>
      <c r="AI406" s="173"/>
      <c r="AJ406" s="173"/>
    </row>
    <row r="407" spans="1:36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204"/>
        <v>27888.79</v>
      </c>
      <c r="O407" s="66">
        <f t="shared" si="204"/>
        <v>14500</v>
      </c>
      <c r="P407" s="69">
        <f t="shared" si="201"/>
        <v>9296.2633333333342</v>
      </c>
      <c r="Q407" s="69">
        <f t="shared" si="201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G407" s="66">
        <v>6000</v>
      </c>
      <c r="AH407" s="66">
        <v>6000</v>
      </c>
      <c r="AI407" s="173"/>
      <c r="AJ407" s="173"/>
    </row>
    <row r="408" spans="1:36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204"/>
        <v>1953.33</v>
      </c>
      <c r="O408" s="66">
        <f t="shared" si="204"/>
        <v>6000</v>
      </c>
      <c r="P408" s="69">
        <f t="shared" si="201"/>
        <v>651.11</v>
      </c>
      <c r="Q408" s="69">
        <f t="shared" si="201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G408" s="66">
        <v>2000</v>
      </c>
      <c r="AH408" s="66">
        <v>2000</v>
      </c>
      <c r="AI408" s="173"/>
      <c r="AJ408" s="173"/>
    </row>
    <row r="409" spans="1:36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204"/>
        <v>30325</v>
      </c>
      <c r="O409" s="66">
        <f t="shared" si="204"/>
        <v>48125</v>
      </c>
      <c r="P409" s="69">
        <f t="shared" si="201"/>
        <v>10108.333333333334</v>
      </c>
      <c r="Q409" s="69">
        <f t="shared" si="201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G409" s="66">
        <v>10125</v>
      </c>
      <c r="AH409" s="66">
        <v>10125</v>
      </c>
      <c r="AI409" s="173"/>
      <c r="AJ409" s="147"/>
    </row>
    <row r="410" spans="1:36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204"/>
        <v>27786.38</v>
      </c>
      <c r="O410" s="66">
        <f t="shared" si="204"/>
        <v>28000</v>
      </c>
      <c r="P410" s="69">
        <f t="shared" si="201"/>
        <v>9262.126666666667</v>
      </c>
      <c r="Q410" s="69">
        <f t="shared" si="201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G410" s="66">
        <v>10000</v>
      </c>
      <c r="AH410" s="66">
        <v>10000</v>
      </c>
      <c r="AI410" s="173"/>
      <c r="AJ410" s="173"/>
    </row>
    <row r="411" spans="1:36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204"/>
        <v>26434.84</v>
      </c>
      <c r="O411" s="66">
        <f t="shared" si="204"/>
        <v>22000</v>
      </c>
      <c r="P411" s="69">
        <f t="shared" si="201"/>
        <v>8811.6133333333328</v>
      </c>
      <c r="Q411" s="69">
        <f t="shared" si="201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G411" s="66">
        <v>8000</v>
      </c>
      <c r="AH411" s="66">
        <v>8000</v>
      </c>
      <c r="AI411" s="173"/>
      <c r="AJ411" s="173"/>
    </row>
    <row r="412" spans="1:36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204"/>
        <v>345.05</v>
      </c>
      <c r="O412" s="66">
        <f t="shared" si="204"/>
        <v>5000</v>
      </c>
      <c r="P412" s="69">
        <f t="shared" si="201"/>
        <v>115.01666666666667</v>
      </c>
      <c r="Q412" s="69">
        <f t="shared" si="201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G412" s="66">
        <v>2000</v>
      </c>
      <c r="AH412" s="66">
        <v>2000</v>
      </c>
      <c r="AI412" s="173"/>
      <c r="AJ412" s="173"/>
    </row>
    <row r="413" spans="1:36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204"/>
        <v>3188.14</v>
      </c>
      <c r="O413" s="66">
        <v>0</v>
      </c>
      <c r="P413" s="69">
        <f t="shared" si="201"/>
        <v>1062.7133333333334</v>
      </c>
      <c r="Q413" s="69">
        <f t="shared" si="201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66">
        <v>0</v>
      </c>
      <c r="AI413" s="173"/>
      <c r="AJ413" s="173"/>
    </row>
    <row r="414" spans="1:36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204"/>
        <v>15583.87</v>
      </c>
      <c r="O414" s="66">
        <f t="shared" si="204"/>
        <v>20000</v>
      </c>
      <c r="P414" s="69">
        <f t="shared" si="201"/>
        <v>5194.6233333333339</v>
      </c>
      <c r="Q414" s="69">
        <f t="shared" si="201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G414" s="66">
        <v>5000</v>
      </c>
      <c r="AH414" s="66">
        <v>5000</v>
      </c>
      <c r="AI414" s="173"/>
      <c r="AJ414" s="173"/>
    </row>
    <row r="415" spans="1:36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204"/>
        <v>4107.4799999999996</v>
      </c>
      <c r="O415" s="66">
        <f t="shared" si="204"/>
        <v>8000</v>
      </c>
      <c r="P415" s="69">
        <f t="shared" si="201"/>
        <v>1369.1599999999999</v>
      </c>
      <c r="Q415" s="69">
        <f t="shared" si="201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G415" s="66">
        <v>2000</v>
      </c>
      <c r="AH415" s="66">
        <v>2000</v>
      </c>
      <c r="AI415" s="173"/>
      <c r="AJ415" s="173"/>
    </row>
    <row r="416" spans="1:36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204"/>
        <v>10387.33</v>
      </c>
      <c r="O416" s="66">
        <f t="shared" si="204"/>
        <v>11000</v>
      </c>
      <c r="P416" s="69">
        <f t="shared" si="201"/>
        <v>3462.4433333333332</v>
      </c>
      <c r="Q416" s="69">
        <f t="shared" si="201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G416" s="66">
        <v>4000</v>
      </c>
      <c r="AH416" s="66">
        <v>4000</v>
      </c>
      <c r="AI416" s="173"/>
      <c r="AJ416" s="173"/>
    </row>
    <row r="417" spans="1:41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204"/>
        <v>123299.08</v>
      </c>
      <c r="O417" s="66">
        <f t="shared" si="204"/>
        <v>180000</v>
      </c>
      <c r="P417" s="69">
        <f t="shared" si="201"/>
        <v>41099.693333333336</v>
      </c>
      <c r="Q417" s="69">
        <f t="shared" si="201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G417" s="66">
        <v>60000</v>
      </c>
      <c r="AH417" s="66">
        <v>60000</v>
      </c>
      <c r="AI417" s="173"/>
      <c r="AJ417" s="173"/>
    </row>
    <row r="418" spans="1:41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204"/>
        <v>53539.32</v>
      </c>
      <c r="O418" s="66">
        <f t="shared" si="204"/>
        <v>120000</v>
      </c>
      <c r="P418" s="69">
        <f t="shared" si="201"/>
        <v>17846.439999999999</v>
      </c>
      <c r="Q418" s="69">
        <f t="shared" si="201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G418" s="66">
        <v>35000</v>
      </c>
      <c r="AH418" s="66">
        <v>35000</v>
      </c>
      <c r="AI418" s="173"/>
      <c r="AJ418" s="173"/>
    </row>
    <row r="419" spans="1:41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204"/>
        <v>81778</v>
      </c>
      <c r="O419" s="66">
        <f t="shared" si="204"/>
        <v>99652</v>
      </c>
      <c r="P419" s="69">
        <f t="shared" si="201"/>
        <v>27259.333333333332</v>
      </c>
      <c r="Q419" s="69">
        <f t="shared" si="201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G419" s="66">
        <v>35520</v>
      </c>
      <c r="AH419" s="66">
        <v>35520</v>
      </c>
      <c r="AI419" s="173"/>
      <c r="AJ419" s="173"/>
    </row>
    <row r="420" spans="1:41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204"/>
        <v>148630.20000000001</v>
      </c>
      <c r="O420" s="66">
        <f t="shared" si="204"/>
        <v>100000</v>
      </c>
      <c r="P420" s="69">
        <f t="shared" si="201"/>
        <v>49543.4</v>
      </c>
      <c r="Q420" s="69">
        <f t="shared" si="201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G420" s="66">
        <v>40000</v>
      </c>
      <c r="AH420" s="66">
        <v>40000</v>
      </c>
      <c r="AI420" s="173"/>
      <c r="AJ420" s="173"/>
    </row>
    <row r="421" spans="1:41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204"/>
        <v>1435.5</v>
      </c>
      <c r="O421" s="66">
        <f t="shared" si="204"/>
        <v>10500</v>
      </c>
      <c r="P421" s="69">
        <f t="shared" si="201"/>
        <v>478.5</v>
      </c>
      <c r="Q421" s="69">
        <f t="shared" si="201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0</v>
      </c>
      <c r="AI421" s="173"/>
      <c r="AJ421" s="173"/>
    </row>
    <row r="422" spans="1:41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204"/>
        <v>32871.629999999997</v>
      </c>
      <c r="O422" s="66">
        <f t="shared" si="204"/>
        <v>58400</v>
      </c>
      <c r="P422" s="69">
        <f t="shared" si="201"/>
        <v>10957.21</v>
      </c>
      <c r="Q422" s="69">
        <f t="shared" si="201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G422" s="66">
        <v>21000</v>
      </c>
      <c r="AH422" s="66">
        <v>21000</v>
      </c>
      <c r="AI422" s="173"/>
    </row>
    <row r="423" spans="1:41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205">ROUND(SUM(H378:H402)+SUM(H405:H422),5)</f>
        <v>971394.67</v>
      </c>
      <c r="I423" s="75">
        <f t="shared" si="205"/>
        <v>759280</v>
      </c>
      <c r="J423" s="76">
        <f t="shared" si="205"/>
        <v>1081537.1200000001</v>
      </c>
      <c r="K423" s="76">
        <f t="shared" si="205"/>
        <v>896198</v>
      </c>
      <c r="L423" s="77">
        <f t="shared" si="205"/>
        <v>923156.36</v>
      </c>
      <c r="M423" s="77">
        <f t="shared" si="205"/>
        <v>887696</v>
      </c>
      <c r="N423" s="78">
        <f t="shared" si="204"/>
        <v>2976088.15</v>
      </c>
      <c r="O423" s="78">
        <f t="shared" si="204"/>
        <v>2543174</v>
      </c>
      <c r="P423" s="79">
        <f t="shared" si="201"/>
        <v>992029.3833333333</v>
      </c>
      <c r="Q423" s="79">
        <f t="shared" si="201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 t="shared" ref="AB423:AG423" si="206">ROUND(SUM(AB378:AB422),5)</f>
        <v>904046</v>
      </c>
      <c r="AC423" s="80">
        <f t="shared" si="206"/>
        <v>904046</v>
      </c>
      <c r="AD423" s="80">
        <f t="shared" si="206"/>
        <v>904046</v>
      </c>
      <c r="AE423" s="80">
        <f t="shared" si="206"/>
        <v>904046</v>
      </c>
      <c r="AF423" s="80">
        <f t="shared" si="206"/>
        <v>862453.9</v>
      </c>
      <c r="AG423" s="80">
        <f t="shared" si="206"/>
        <v>870204</v>
      </c>
      <c r="AH423" s="80">
        <f t="shared" ref="AH423" si="207">ROUND(SUM(AH378:AH422),5)</f>
        <v>870204</v>
      </c>
      <c r="AI423" s="173"/>
      <c r="AJ423" s="183" t="s">
        <v>952</v>
      </c>
    </row>
    <row r="424" spans="1:41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F424" s="66"/>
      <c r="AG424" s="66"/>
      <c r="AH424" s="66"/>
      <c r="AI424" s="173"/>
      <c r="AJ424" s="184">
        <f>AG215-AG423</f>
        <v>5796</v>
      </c>
    </row>
    <row r="425" spans="1:41" ht="16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201"/>
        <v>3054.66</v>
      </c>
      <c r="Q425" s="69">
        <f t="shared" si="201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18750</v>
      </c>
      <c r="AH425" s="66">
        <v>18750</v>
      </c>
      <c r="AI425" s="206" t="s">
        <v>1000</v>
      </c>
      <c r="AJ425" s="110" t="s">
        <v>974</v>
      </c>
    </row>
    <row r="426" spans="1:41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201"/>
        <v>1456.0866666666668</v>
      </c>
      <c r="Q426" s="69">
        <f t="shared" si="201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  <c r="AH426" s="66">
        <v>0</v>
      </c>
    </row>
    <row r="427" spans="1:41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201"/>
        <v>4510.7466666666669</v>
      </c>
      <c r="Q427" s="87">
        <f t="shared" si="201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 t="shared" ref="AB427:AG427" si="208">ROUND(SUM(AB424:AB426),5)</f>
        <v>0</v>
      </c>
      <c r="AC427" s="88">
        <f t="shared" si="208"/>
        <v>0</v>
      </c>
      <c r="AD427" s="88">
        <f t="shared" si="208"/>
        <v>0</v>
      </c>
      <c r="AE427" s="88">
        <f t="shared" si="208"/>
        <v>0</v>
      </c>
      <c r="AF427" s="88">
        <f t="shared" si="208"/>
        <v>0</v>
      </c>
      <c r="AG427" s="88">
        <f t="shared" si="208"/>
        <v>18750</v>
      </c>
      <c r="AH427" s="88">
        <f t="shared" ref="AH427" si="209">ROUND(SUM(AH424:AH426),5)</f>
        <v>18750</v>
      </c>
    </row>
    <row r="428" spans="1:41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210">ROUND(H377+H423+H427,5)</f>
        <v>971394.67</v>
      </c>
      <c r="I428" s="63">
        <f t="shared" si="210"/>
        <v>759280</v>
      </c>
      <c r="J428" s="64">
        <f t="shared" si="210"/>
        <v>1094481.01</v>
      </c>
      <c r="K428" s="64">
        <f t="shared" si="210"/>
        <v>896198</v>
      </c>
      <c r="L428" s="65">
        <f t="shared" si="210"/>
        <v>923744.71</v>
      </c>
      <c r="M428" s="65">
        <f t="shared" si="210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201"/>
        <v>996540.13</v>
      </c>
      <c r="Q428" s="69">
        <f t="shared" si="201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 t="shared" ref="AB428:AG428" si="211">ROUND(AB377+AB423+AB427,5)</f>
        <v>904046</v>
      </c>
      <c r="AC428" s="66">
        <f t="shared" si="211"/>
        <v>904046</v>
      </c>
      <c r="AD428" s="66">
        <f t="shared" si="211"/>
        <v>904046</v>
      </c>
      <c r="AE428" s="66">
        <f t="shared" si="211"/>
        <v>904046</v>
      </c>
      <c r="AF428" s="66">
        <f t="shared" si="211"/>
        <v>862453.9</v>
      </c>
      <c r="AG428" s="66">
        <f t="shared" si="211"/>
        <v>888954</v>
      </c>
      <c r="AH428" s="66">
        <f t="shared" ref="AH428" si="212">ROUND(AH377+AH423+AH427,5)</f>
        <v>888954</v>
      </c>
    </row>
    <row r="429" spans="1:41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201"/>
        <v>0</v>
      </c>
      <c r="Q429" s="69">
        <f t="shared" si="201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  <c r="AF429" s="66"/>
      <c r="AG429" s="66"/>
      <c r="AH429" s="66"/>
    </row>
    <row r="430" spans="1:41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201"/>
        <v>0</v>
      </c>
      <c r="Q430" s="69">
        <f t="shared" si="201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F430" s="66"/>
      <c r="AG430" s="66"/>
      <c r="AH430" s="66"/>
      <c r="AJ430" s="182"/>
    </row>
    <row r="431" spans="1:41" ht="16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213">ROUND(H431+J431+L431,5)</f>
        <v>22454.45</v>
      </c>
      <c r="O431" s="66">
        <f t="shared" si="213"/>
        <v>22500</v>
      </c>
      <c r="P431" s="69">
        <f t="shared" si="201"/>
        <v>7484.8166666666666</v>
      </c>
      <c r="Q431" s="69">
        <f t="shared" si="201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v>8862.5</v>
      </c>
      <c r="AD431" s="66">
        <v>8862.5</v>
      </c>
      <c r="AE431" s="66">
        <v>9000</v>
      </c>
      <c r="AF431" s="66">
        <v>9000</v>
      </c>
      <c r="AG431" s="66">
        <v>9000</v>
      </c>
      <c r="AH431" s="66">
        <v>9000</v>
      </c>
      <c r="AI431" s="196" t="s">
        <v>954</v>
      </c>
      <c r="AJ431" s="190"/>
      <c r="AK431" s="81"/>
      <c r="AL431" s="81"/>
      <c r="AN431" s="131"/>
      <c r="AO431" s="111"/>
    </row>
    <row r="432" spans="1:41" ht="16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213"/>
        <v>13414.87</v>
      </c>
      <c r="O432" s="66">
        <f t="shared" si="213"/>
        <v>22500</v>
      </c>
      <c r="P432" s="69">
        <f t="shared" si="201"/>
        <v>4471.6233333333339</v>
      </c>
      <c r="Q432" s="69">
        <f t="shared" si="201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v>6987.5</v>
      </c>
      <c r="AD432" s="66">
        <v>6987.5</v>
      </c>
      <c r="AE432" s="66">
        <v>9000</v>
      </c>
      <c r="AF432" s="66">
        <v>9000</v>
      </c>
      <c r="AG432" s="66">
        <v>9000</v>
      </c>
      <c r="AH432" s="66">
        <v>9000</v>
      </c>
      <c r="AI432" s="196" t="s">
        <v>954</v>
      </c>
      <c r="AJ432" s="190"/>
      <c r="AK432" s="81"/>
      <c r="AL432" s="81"/>
      <c r="AN432" s="131"/>
      <c r="AO432" s="111"/>
    </row>
    <row r="433" spans="1:41" ht="16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213"/>
        <v>14590.26</v>
      </c>
      <c r="O433" s="66">
        <f t="shared" si="213"/>
        <v>22500</v>
      </c>
      <c r="P433" s="69">
        <f t="shared" si="201"/>
        <v>4863.42</v>
      </c>
      <c r="Q433" s="69">
        <f t="shared" si="201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v>6675</v>
      </c>
      <c r="AD433" s="66">
        <v>6675</v>
      </c>
      <c r="AE433" s="66">
        <v>9000</v>
      </c>
      <c r="AF433" s="66">
        <v>9000</v>
      </c>
      <c r="AG433" s="66">
        <v>9000</v>
      </c>
      <c r="AH433" s="66">
        <v>9000</v>
      </c>
      <c r="AI433" s="196" t="s">
        <v>954</v>
      </c>
      <c r="AJ433" s="190"/>
      <c r="AK433" s="81"/>
      <c r="AL433" s="81"/>
      <c r="AN433" s="131"/>
      <c r="AO433" s="111"/>
    </row>
    <row r="434" spans="1:41" ht="16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213"/>
        <v>11509.98</v>
      </c>
      <c r="O434" s="66">
        <f t="shared" si="213"/>
        <v>22500</v>
      </c>
      <c r="P434" s="69">
        <f t="shared" si="201"/>
        <v>3836.66</v>
      </c>
      <c r="Q434" s="69">
        <f t="shared" si="201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v>6987.5</v>
      </c>
      <c r="AD434" s="66">
        <v>6987.5</v>
      </c>
      <c r="AE434" s="66">
        <v>9000</v>
      </c>
      <c r="AF434" s="66">
        <v>9000</v>
      </c>
      <c r="AG434" s="66">
        <v>9000</v>
      </c>
      <c r="AH434" s="66">
        <v>9000</v>
      </c>
      <c r="AI434" s="196" t="s">
        <v>954</v>
      </c>
      <c r="AJ434" s="190"/>
      <c r="AK434" s="81"/>
      <c r="AL434" s="81"/>
      <c r="AN434" s="131"/>
      <c r="AO434" s="111"/>
    </row>
    <row r="435" spans="1:41" ht="16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213"/>
        <v>19031.37</v>
      </c>
      <c r="O435" s="66">
        <f t="shared" si="213"/>
        <v>22500</v>
      </c>
      <c r="P435" s="69">
        <f t="shared" si="201"/>
        <v>6343.79</v>
      </c>
      <c r="Q435" s="69">
        <f t="shared" si="201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v>7300</v>
      </c>
      <c r="AD435" s="66">
        <v>7300</v>
      </c>
      <c r="AE435" s="66">
        <v>9000</v>
      </c>
      <c r="AF435" s="66">
        <v>9000</v>
      </c>
      <c r="AG435" s="66">
        <v>9000</v>
      </c>
      <c r="AH435" s="66">
        <v>9000</v>
      </c>
      <c r="AI435" s="196" t="s">
        <v>954</v>
      </c>
      <c r="AJ435" s="190"/>
      <c r="AK435" s="81"/>
      <c r="AL435" s="81"/>
      <c r="AN435" s="131"/>
      <c r="AO435" s="111"/>
    </row>
    <row r="436" spans="1:41" ht="16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213"/>
        <v>19829.439999999999</v>
      </c>
      <c r="O436" s="66">
        <f t="shared" si="213"/>
        <v>22500</v>
      </c>
      <c r="P436" s="69">
        <f t="shared" si="201"/>
        <v>6609.8133333333326</v>
      </c>
      <c r="Q436" s="69">
        <f t="shared" si="201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v>6987.5</v>
      </c>
      <c r="AD436" s="66">
        <v>6987.5</v>
      </c>
      <c r="AE436" s="66">
        <v>9000</v>
      </c>
      <c r="AF436" s="66">
        <v>9000</v>
      </c>
      <c r="AG436" s="66">
        <v>9000</v>
      </c>
      <c r="AH436" s="66">
        <v>9000</v>
      </c>
      <c r="AI436" s="196" t="s">
        <v>954</v>
      </c>
      <c r="AJ436" s="190"/>
      <c r="AK436" s="81"/>
      <c r="AL436" s="81"/>
      <c r="AN436" s="131"/>
      <c r="AO436" s="111"/>
    </row>
    <row r="437" spans="1:41" ht="16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213"/>
        <v>6373.1</v>
      </c>
      <c r="O437" s="66">
        <f t="shared" si="213"/>
        <v>22500</v>
      </c>
      <c r="P437" s="69">
        <f t="shared" si="201"/>
        <v>2124.3666666666668</v>
      </c>
      <c r="Q437" s="69">
        <f t="shared" si="201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v>6675</v>
      </c>
      <c r="AD437" s="66">
        <v>6675</v>
      </c>
      <c r="AE437" s="66">
        <v>9000</v>
      </c>
      <c r="AF437" s="66">
        <v>9000</v>
      </c>
      <c r="AG437" s="66">
        <v>9000</v>
      </c>
      <c r="AH437" s="66">
        <v>9000</v>
      </c>
      <c r="AI437" s="196" t="s">
        <v>954</v>
      </c>
      <c r="AJ437" s="190"/>
      <c r="AK437" s="81"/>
      <c r="AL437" s="81"/>
      <c r="AN437" s="131"/>
      <c r="AO437" s="111"/>
    </row>
    <row r="438" spans="1:41" ht="16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213"/>
        <v>18080.3</v>
      </c>
      <c r="O438" s="66">
        <f t="shared" si="213"/>
        <v>22500</v>
      </c>
      <c r="P438" s="69">
        <f t="shared" si="201"/>
        <v>6026.7666666666664</v>
      </c>
      <c r="Q438" s="69">
        <f t="shared" si="201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v>5737.5</v>
      </c>
      <c r="AD438" s="66">
        <v>5737.5</v>
      </c>
      <c r="AE438" s="66">
        <v>9000</v>
      </c>
      <c r="AF438" s="66">
        <v>9000</v>
      </c>
      <c r="AG438" s="66">
        <v>9000</v>
      </c>
      <c r="AH438" s="66">
        <v>9000</v>
      </c>
      <c r="AI438" s="196" t="s">
        <v>954</v>
      </c>
      <c r="AJ438" s="190"/>
      <c r="AK438" s="81"/>
      <c r="AL438" s="81"/>
      <c r="AN438" s="131"/>
      <c r="AO438" s="111"/>
    </row>
    <row r="439" spans="1:41" ht="16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213"/>
        <v>7603.5</v>
      </c>
      <c r="O439" s="66">
        <f t="shared" si="213"/>
        <v>22500</v>
      </c>
      <c r="P439" s="69">
        <f t="shared" si="201"/>
        <v>2534.5</v>
      </c>
      <c r="Q439" s="69">
        <f t="shared" si="201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v>5737.5</v>
      </c>
      <c r="AD439" s="66">
        <v>5737.5</v>
      </c>
      <c r="AE439" s="66">
        <v>9000</v>
      </c>
      <c r="AF439" s="66">
        <v>9000</v>
      </c>
      <c r="AG439" s="66">
        <v>9000</v>
      </c>
      <c r="AH439" s="66">
        <v>9000</v>
      </c>
      <c r="AI439" s="196" t="s">
        <v>954</v>
      </c>
      <c r="AJ439" s="190"/>
      <c r="AK439" s="81"/>
      <c r="AL439" s="81"/>
      <c r="AN439" s="131"/>
      <c r="AO439" s="111"/>
    </row>
    <row r="440" spans="1:41" ht="16.5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213"/>
        <v>10711.38</v>
      </c>
      <c r="O440" s="73">
        <f t="shared" si="213"/>
        <v>22500</v>
      </c>
      <c r="P440" s="74">
        <f t="shared" si="201"/>
        <v>3570.4599999999996</v>
      </c>
      <c r="Q440" s="74">
        <f t="shared" si="201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v>6050</v>
      </c>
      <c r="AD440" s="66">
        <v>6050</v>
      </c>
      <c r="AE440" s="66">
        <v>9000</v>
      </c>
      <c r="AF440" s="66">
        <v>9000</v>
      </c>
      <c r="AG440" s="66">
        <v>9000</v>
      </c>
      <c r="AH440" s="66">
        <v>9000</v>
      </c>
      <c r="AI440" s="196" t="s">
        <v>954</v>
      </c>
      <c r="AJ440" s="190"/>
      <c r="AK440" s="81"/>
      <c r="AL440" s="81"/>
      <c r="AN440" s="131"/>
      <c r="AO440" s="111"/>
    </row>
    <row r="441" spans="1:41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214">ROUND(SUM(H430:H440),5)</f>
        <v>39609.57</v>
      </c>
      <c r="I441" s="63">
        <f t="shared" si="214"/>
        <v>75000</v>
      </c>
      <c r="J441" s="64">
        <f t="shared" si="214"/>
        <v>50436.92</v>
      </c>
      <c r="K441" s="64">
        <f t="shared" si="214"/>
        <v>75000</v>
      </c>
      <c r="L441" s="65">
        <f t="shared" si="214"/>
        <v>53552.160000000003</v>
      </c>
      <c r="M441" s="65">
        <f t="shared" si="214"/>
        <v>75000</v>
      </c>
      <c r="N441" s="66">
        <f t="shared" si="213"/>
        <v>143598.65</v>
      </c>
      <c r="O441" s="66">
        <f t="shared" si="213"/>
        <v>225000</v>
      </c>
      <c r="P441" s="69">
        <f t="shared" si="201"/>
        <v>47866.216666666667</v>
      </c>
      <c r="Q441" s="69">
        <f t="shared" si="201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 t="shared" ref="AB441:AG441" si="215">ROUND(SUM(AB430:AB440),5)</f>
        <v>90000</v>
      </c>
      <c r="AC441" s="80">
        <f t="shared" si="215"/>
        <v>68000</v>
      </c>
      <c r="AD441" s="80">
        <f t="shared" si="215"/>
        <v>88000</v>
      </c>
      <c r="AE441" s="80">
        <f t="shared" si="215"/>
        <v>90000</v>
      </c>
      <c r="AF441" s="80">
        <f t="shared" si="215"/>
        <v>90000</v>
      </c>
      <c r="AG441" s="80">
        <f t="shared" si="215"/>
        <v>90000</v>
      </c>
      <c r="AH441" s="80">
        <f t="shared" ref="AH441" si="216">ROUND(SUM(AH430:AH440),5)</f>
        <v>90000</v>
      </c>
      <c r="AI441" s="190"/>
      <c r="AJ441" s="190"/>
      <c r="AK441" s="81"/>
      <c r="AL441" s="81"/>
      <c r="AO441" s="111"/>
    </row>
    <row r="442" spans="1:41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F442" s="66"/>
      <c r="AG442" s="66"/>
      <c r="AH442" s="66"/>
      <c r="AK442" s="81">
        <f>12*1850</f>
        <v>22200</v>
      </c>
      <c r="AL442" s="81"/>
    </row>
    <row r="443" spans="1:41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F443" s="66"/>
      <c r="AG443" s="66"/>
      <c r="AH443" s="66"/>
      <c r="AK443" s="81"/>
      <c r="AL443" s="81"/>
    </row>
    <row r="444" spans="1:41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217">ROUND(H444+J444+L444,5)</f>
        <v>3082.32</v>
      </c>
      <c r="O444" s="66">
        <f t="shared" si="217"/>
        <v>6500</v>
      </c>
      <c r="P444" s="69">
        <f t="shared" si="201"/>
        <v>1027.44</v>
      </c>
      <c r="Q444" s="69">
        <f t="shared" si="201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f>Travel!$T$139</f>
        <v>3700</v>
      </c>
      <c r="AG444" s="66">
        <f>Travel!$T$139</f>
        <v>3700</v>
      </c>
      <c r="AH444" s="66">
        <f>Travel!$T$139</f>
        <v>3700</v>
      </c>
      <c r="AI444" s="110" t="s">
        <v>976</v>
      </c>
      <c r="AK444"/>
      <c r="AL444">
        <f>1850</f>
        <v>1850</v>
      </c>
      <c r="AM444"/>
      <c r="AN444"/>
      <c r="AO444"/>
    </row>
    <row r="445" spans="1:41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217"/>
        <v>4346.18</v>
      </c>
      <c r="O445" s="66">
        <f t="shared" si="217"/>
        <v>6500</v>
      </c>
      <c r="P445" s="69">
        <f t="shared" si="201"/>
        <v>1448.7266666666667</v>
      </c>
      <c r="Q445" s="69">
        <f t="shared" si="201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f>Travel!$T$141</f>
        <v>3700</v>
      </c>
      <c r="AG445" s="66">
        <f>Travel!$T$141</f>
        <v>3700</v>
      </c>
      <c r="AH445" s="66">
        <f>Travel!$T$141</f>
        <v>3700</v>
      </c>
      <c r="AI445" s="110" t="s">
        <v>976</v>
      </c>
      <c r="AK445"/>
      <c r="AL445">
        <f>1850</f>
        <v>1850</v>
      </c>
      <c r="AM445"/>
      <c r="AN445"/>
      <c r="AO445"/>
    </row>
    <row r="446" spans="1:41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217"/>
        <v>1181.1600000000001</v>
      </c>
      <c r="O446" s="66">
        <f t="shared" si="217"/>
        <v>6500</v>
      </c>
      <c r="P446" s="69">
        <f t="shared" si="201"/>
        <v>393.72</v>
      </c>
      <c r="Q446" s="69">
        <f t="shared" si="201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f>Travel!$T$145</f>
        <v>3700</v>
      </c>
      <c r="AG446" s="66">
        <f>Travel!$T$145</f>
        <v>3700</v>
      </c>
      <c r="AH446" s="66">
        <f>Travel!$T$145</f>
        <v>3700</v>
      </c>
      <c r="AI446" s="110" t="s">
        <v>976</v>
      </c>
      <c r="AJ446" s="191"/>
      <c r="AK446"/>
      <c r="AL446">
        <f>1850</f>
        <v>1850</v>
      </c>
      <c r="AM446"/>
      <c r="AN446"/>
      <c r="AO446"/>
    </row>
    <row r="447" spans="1:41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217"/>
        <v>1117.28</v>
      </c>
      <c r="O447" s="66">
        <f t="shared" si="217"/>
        <v>3500</v>
      </c>
      <c r="P447" s="69">
        <f t="shared" si="201"/>
        <v>372.42666666666668</v>
      </c>
      <c r="Q447" s="69">
        <f t="shared" si="201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f>Travel!$T$149</f>
        <v>3700</v>
      </c>
      <c r="AG447" s="66">
        <f>Travel!$T$149</f>
        <v>3700</v>
      </c>
      <c r="AH447" s="66">
        <f>Travel!$T$149</f>
        <v>3700</v>
      </c>
      <c r="AI447" s="110" t="s">
        <v>976</v>
      </c>
      <c r="AJ447" s="191"/>
      <c r="AK447"/>
      <c r="AL447">
        <f>1850</f>
        <v>1850</v>
      </c>
      <c r="AM447"/>
      <c r="AN447"/>
      <c r="AO447"/>
    </row>
    <row r="448" spans="1:41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217"/>
        <v>5060.6499999999996</v>
      </c>
      <c r="O448" s="66">
        <f t="shared" si="217"/>
        <v>6500</v>
      </c>
      <c r="P448" s="69">
        <f t="shared" si="201"/>
        <v>1686.8833333333332</v>
      </c>
      <c r="Q448" s="69">
        <f t="shared" si="201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f>Travel!$T$151</f>
        <v>3700</v>
      </c>
      <c r="AG448" s="66">
        <f>Travel!$T$151</f>
        <v>3700</v>
      </c>
      <c r="AH448" s="66">
        <f>Travel!$T$151</f>
        <v>3700</v>
      </c>
      <c r="AI448" s="110" t="s">
        <v>976</v>
      </c>
      <c r="AJ448" s="191"/>
      <c r="AK448"/>
      <c r="AL448">
        <f>1850</f>
        <v>1850</v>
      </c>
      <c r="AM448"/>
      <c r="AN448"/>
      <c r="AO448"/>
    </row>
    <row r="449" spans="1:41" ht="32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217"/>
        <v>2560.85</v>
      </c>
      <c r="O449" s="66">
        <f t="shared" si="217"/>
        <v>3500</v>
      </c>
      <c r="P449" s="69">
        <f t="shared" si="201"/>
        <v>853.61666666666667</v>
      </c>
      <c r="Q449" s="69">
        <f t="shared" si="201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6">
        <f>Travel!$T$153</f>
        <v>3700</v>
      </c>
      <c r="AC449" s="66">
        <f>Travel!$T$153</f>
        <v>3700</v>
      </c>
      <c r="AD449" s="66">
        <f>Travel!$T$153</f>
        <v>3700</v>
      </c>
      <c r="AE449" s="66">
        <f>Travel!$T$153</f>
        <v>3700</v>
      </c>
      <c r="AF449" s="66">
        <f>Travel!$T$153</f>
        <v>3700</v>
      </c>
      <c r="AG449" s="66">
        <f>Travel!$T$153</f>
        <v>3700</v>
      </c>
      <c r="AH449" s="66">
        <f>Travel!$T$153</f>
        <v>3700</v>
      </c>
      <c r="AI449" s="110" t="s">
        <v>976</v>
      </c>
      <c r="AJ449" s="116" t="s">
        <v>862</v>
      </c>
      <c r="AK449"/>
      <c r="AL449">
        <f>1850</f>
        <v>1850</v>
      </c>
      <c r="AM449"/>
      <c r="AN449"/>
      <c r="AO449"/>
    </row>
    <row r="450" spans="1:41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217"/>
        <v>4712.95</v>
      </c>
      <c r="O450" s="66">
        <f t="shared" si="217"/>
        <v>6500</v>
      </c>
      <c r="P450" s="69">
        <f t="shared" si="201"/>
        <v>1570.9833333333333</v>
      </c>
      <c r="Q450" s="69">
        <f t="shared" si="201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f>Travel!$T$155</f>
        <v>3700</v>
      </c>
      <c r="AG450" s="66">
        <f>Travel!$T$155</f>
        <v>3700</v>
      </c>
      <c r="AH450" s="66">
        <f>Travel!$T$155</f>
        <v>3700</v>
      </c>
      <c r="AI450" s="110" t="s">
        <v>976</v>
      </c>
      <c r="AJ450" s="191"/>
      <c r="AK450"/>
      <c r="AL450">
        <f>1850</f>
        <v>1850</v>
      </c>
      <c r="AM450"/>
      <c r="AN450"/>
      <c r="AO450"/>
    </row>
    <row r="451" spans="1:41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217"/>
        <v>10623.42</v>
      </c>
      <c r="O451" s="66">
        <f t="shared" si="217"/>
        <v>6500</v>
      </c>
      <c r="P451" s="69">
        <f t="shared" ref="P451:Q509" si="218">N451/3</f>
        <v>3541.14</v>
      </c>
      <c r="Q451" s="69">
        <f t="shared" si="218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6">
        <f>Travel!$T$157</f>
        <v>3700</v>
      </c>
      <c r="AC451" s="66">
        <f>Travel!$T$157</f>
        <v>3700</v>
      </c>
      <c r="AD451" s="66">
        <f>Travel!$T$157</f>
        <v>3700</v>
      </c>
      <c r="AE451" s="66">
        <f>Travel!$T$157</f>
        <v>3700</v>
      </c>
      <c r="AF451" s="66">
        <f>Travel!$T$157</f>
        <v>3700</v>
      </c>
      <c r="AG451" s="66">
        <f>Travel!$T$157</f>
        <v>3700</v>
      </c>
      <c r="AH451" s="66">
        <f>Travel!$T$157</f>
        <v>3700</v>
      </c>
      <c r="AI451" s="110" t="s">
        <v>976</v>
      </c>
      <c r="AJ451" s="116" t="s">
        <v>863</v>
      </c>
      <c r="AK451"/>
      <c r="AL451">
        <f>1850</f>
        <v>1850</v>
      </c>
      <c r="AM451"/>
      <c r="AN451"/>
      <c r="AO451"/>
    </row>
    <row r="452" spans="1:41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217"/>
        <v>4606.37</v>
      </c>
      <c r="O452" s="66">
        <f t="shared" si="217"/>
        <v>6500</v>
      </c>
      <c r="P452" s="69">
        <f t="shared" si="218"/>
        <v>1535.4566666666667</v>
      </c>
      <c r="Q452" s="69">
        <f t="shared" si="218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f>Travel!$T$159</f>
        <v>3700</v>
      </c>
      <c r="AG452" s="66">
        <f>Travel!$T$159</f>
        <v>3700</v>
      </c>
      <c r="AH452" s="66">
        <f>Travel!$T$159</f>
        <v>3700</v>
      </c>
      <c r="AI452" s="110" t="s">
        <v>976</v>
      </c>
      <c r="AJ452" s="191"/>
      <c r="AK452"/>
      <c r="AL452">
        <f>1850</f>
        <v>1850</v>
      </c>
      <c r="AM452"/>
      <c r="AN452"/>
      <c r="AO452"/>
    </row>
    <row r="453" spans="1:41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217"/>
        <v>0</v>
      </c>
      <c r="O453" s="66">
        <f t="shared" si="217"/>
        <v>79500</v>
      </c>
      <c r="P453" s="69">
        <f t="shared" si="218"/>
        <v>0</v>
      </c>
      <c r="Q453" s="69">
        <f t="shared" si="218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6">
        <f>Travel!$R$160</f>
        <v>10000</v>
      </c>
      <c r="AC453" s="66">
        <v>10000</v>
      </c>
      <c r="AD453" s="66">
        <v>10000</v>
      </c>
      <c r="AE453" s="66">
        <v>15000</v>
      </c>
      <c r="AF453" s="66">
        <v>17500</v>
      </c>
      <c r="AG453" s="66">
        <f>Travel!$P$160</f>
        <v>10000</v>
      </c>
      <c r="AH453" s="66">
        <f>Travel!$P$160</f>
        <v>10000</v>
      </c>
      <c r="AI453" s="173"/>
      <c r="AJ453" s="191"/>
      <c r="AK453"/>
      <c r="AL453">
        <f>SUM(AL444:AL452)</f>
        <v>16650</v>
      </c>
      <c r="AM453"/>
      <c r="AN453"/>
      <c r="AO453"/>
    </row>
    <row r="454" spans="1:41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219">ROUND(SUM(H443:H453),5)</f>
        <v>8532.3799999999992</v>
      </c>
      <c r="I454" s="75">
        <f t="shared" si="219"/>
        <v>49500</v>
      </c>
      <c r="J454" s="76">
        <f t="shared" si="219"/>
        <v>10517.83</v>
      </c>
      <c r="K454" s="76">
        <f t="shared" si="219"/>
        <v>31000</v>
      </c>
      <c r="L454" s="77">
        <f t="shared" si="219"/>
        <v>18240.97</v>
      </c>
      <c r="M454" s="77">
        <f t="shared" si="219"/>
        <v>51500</v>
      </c>
      <c r="N454" s="78">
        <f t="shared" si="217"/>
        <v>37291.18</v>
      </c>
      <c r="O454" s="78">
        <f t="shared" si="217"/>
        <v>132000</v>
      </c>
      <c r="P454" s="79">
        <f t="shared" si="218"/>
        <v>12430.393333333333</v>
      </c>
      <c r="Q454" s="79">
        <f t="shared" si="218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 t="shared" ref="AB454:AG454" si="220">ROUND(SUM(AB443:AB453),5)</f>
        <v>43300</v>
      </c>
      <c r="AC454" s="88">
        <f t="shared" si="220"/>
        <v>43300</v>
      </c>
      <c r="AD454" s="88">
        <f t="shared" si="220"/>
        <v>43300</v>
      </c>
      <c r="AE454" s="88">
        <f t="shared" si="220"/>
        <v>48300</v>
      </c>
      <c r="AF454" s="88">
        <f t="shared" si="220"/>
        <v>50800</v>
      </c>
      <c r="AG454" s="88">
        <f t="shared" si="220"/>
        <v>43300</v>
      </c>
      <c r="AH454" s="88">
        <f t="shared" ref="AH454" si="221">ROUND(SUM(AH443:AH453),5)</f>
        <v>43300</v>
      </c>
      <c r="AJ454" s="191"/>
      <c r="AK454"/>
      <c r="AL454">
        <f>AL449*14</f>
        <v>25900</v>
      </c>
      <c r="AM454"/>
      <c r="AN454"/>
      <c r="AO454"/>
    </row>
    <row r="455" spans="1:41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222">ROUND(H442+SUM(H454:H454),5)</f>
        <v>8532.3799999999992</v>
      </c>
      <c r="I455" s="75">
        <f t="shared" si="222"/>
        <v>49500</v>
      </c>
      <c r="J455" s="76">
        <f t="shared" si="222"/>
        <v>10517.83</v>
      </c>
      <c r="K455" s="76">
        <f t="shared" si="222"/>
        <v>31000</v>
      </c>
      <c r="L455" s="77">
        <f t="shared" si="222"/>
        <v>18240.97</v>
      </c>
      <c r="M455" s="77">
        <f t="shared" si="222"/>
        <v>51500</v>
      </c>
      <c r="N455" s="78">
        <f t="shared" si="217"/>
        <v>37291.18</v>
      </c>
      <c r="O455" s="78">
        <f t="shared" si="217"/>
        <v>132000</v>
      </c>
      <c r="P455" s="79">
        <f t="shared" si="218"/>
        <v>12430.393333333333</v>
      </c>
      <c r="Q455" s="79">
        <f t="shared" si="218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 t="shared" ref="AB455:AG455" si="223">ROUND(AB442+SUM(AB454:AB454),5)</f>
        <v>43300</v>
      </c>
      <c r="AC455" s="78">
        <f t="shared" si="223"/>
        <v>43300</v>
      </c>
      <c r="AD455" s="78">
        <f t="shared" si="223"/>
        <v>43300</v>
      </c>
      <c r="AE455" s="78">
        <f t="shared" si="223"/>
        <v>48300</v>
      </c>
      <c r="AF455" s="78">
        <f t="shared" si="223"/>
        <v>50800</v>
      </c>
      <c r="AG455" s="78">
        <f t="shared" si="223"/>
        <v>43300</v>
      </c>
      <c r="AH455" s="78">
        <f t="shared" ref="AH455" si="224">ROUND(AH442+SUM(AH454:AH454),5)</f>
        <v>43300</v>
      </c>
      <c r="AJ455" s="191"/>
      <c r="AK455"/>
      <c r="AL455">
        <v>7500</v>
      </c>
      <c r="AM455"/>
      <c r="AN455"/>
      <c r="AO455"/>
    </row>
    <row r="456" spans="1:41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F456" s="66"/>
      <c r="AG456" s="66"/>
      <c r="AH456" s="66"/>
      <c r="AJ456" s="191"/>
      <c r="AK456"/>
      <c r="AL456"/>
      <c r="AM456"/>
      <c r="AN456"/>
      <c r="AO456"/>
    </row>
    <row r="457" spans="1:41" ht="32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225">ROUND(H457+J457+L457,5)</f>
        <v>9342.6299999999992</v>
      </c>
      <c r="O457" s="66">
        <f t="shared" si="225"/>
        <v>11500</v>
      </c>
      <c r="P457" s="69">
        <f t="shared" si="218"/>
        <v>3114.2099999999996</v>
      </c>
      <c r="Q457" s="69">
        <f t="shared" si="218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6">
        <f>Travel!$T$170</f>
        <v>9250</v>
      </c>
      <c r="AC457" s="66">
        <v>5000</v>
      </c>
      <c r="AD457" s="66">
        <v>5000</v>
      </c>
      <c r="AE457" s="66">
        <v>6700</v>
      </c>
      <c r="AF457" s="66">
        <f>Travel!$T$170</f>
        <v>9250</v>
      </c>
      <c r="AG457" s="66">
        <f>Travel!$T$170</f>
        <v>9250</v>
      </c>
      <c r="AH457" s="66">
        <f>Travel!$T$170</f>
        <v>9250</v>
      </c>
      <c r="AI457" s="110" t="s">
        <v>976</v>
      </c>
      <c r="AJ457" s="116" t="s">
        <v>852</v>
      </c>
      <c r="AK457"/>
      <c r="AL457"/>
      <c r="AM457"/>
      <c r="AN457"/>
      <c r="AO457"/>
    </row>
    <row r="458" spans="1:41" ht="29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225"/>
        <v>17829.34</v>
      </c>
      <c r="O458" s="66">
        <f t="shared" si="225"/>
        <v>38500</v>
      </c>
      <c r="P458" s="69">
        <f t="shared" si="218"/>
        <v>5943.1133333333337</v>
      </c>
      <c r="Q458" s="69">
        <f t="shared" si="218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G458" s="66">
        <f>Travel!$T$172</f>
        <v>14500</v>
      </c>
      <c r="AH458" s="66">
        <f>Travel!$T$172</f>
        <v>14500</v>
      </c>
      <c r="AJ458" s="147" t="s">
        <v>977</v>
      </c>
      <c r="AK458"/>
      <c r="AL458"/>
      <c r="AM458"/>
      <c r="AN458"/>
      <c r="AO458"/>
    </row>
    <row r="459" spans="1:41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225"/>
        <v>27125.43</v>
      </c>
      <c r="O459" s="66">
        <f t="shared" si="225"/>
        <v>30000</v>
      </c>
      <c r="P459" s="69">
        <f t="shared" si="218"/>
        <v>9041.81</v>
      </c>
      <c r="Q459" s="69">
        <f t="shared" si="218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f>Travel!$T$180</f>
        <v>12000</v>
      </c>
      <c r="AG459" s="66">
        <f>Travel!$T$180</f>
        <v>12000</v>
      </c>
      <c r="AH459" s="66">
        <f>Travel!$T$180</f>
        <v>12000</v>
      </c>
      <c r="AJ459" s="192"/>
      <c r="AK459"/>
      <c r="AL459"/>
      <c r="AM459"/>
      <c r="AN459"/>
      <c r="AO459"/>
    </row>
    <row r="460" spans="1:41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225"/>
        <v>82292.61</v>
      </c>
      <c r="O460" s="66">
        <f t="shared" si="225"/>
        <v>96550</v>
      </c>
      <c r="P460" s="69">
        <f t="shared" si="218"/>
        <v>27430.87</v>
      </c>
      <c r="Q460" s="69">
        <f t="shared" si="218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f>Travel!$T$200</f>
        <v>46550</v>
      </c>
      <c r="AG460" s="66">
        <f>Travel!$T$200</f>
        <v>46550</v>
      </c>
      <c r="AH460" s="66">
        <f>Travel!$T$200</f>
        <v>46550</v>
      </c>
      <c r="AJ460" s="191"/>
      <c r="AK460"/>
      <c r="AL460"/>
      <c r="AM460"/>
      <c r="AN460"/>
      <c r="AO460"/>
    </row>
    <row r="461" spans="1:41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225"/>
        <v>77589.72</v>
      </c>
      <c r="O461" s="66">
        <f t="shared" si="225"/>
        <v>107235</v>
      </c>
      <c r="P461" s="69">
        <f t="shared" si="218"/>
        <v>25863.24</v>
      </c>
      <c r="Q461" s="69">
        <f t="shared" si="218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f>Travel!$T$224</f>
        <v>30000</v>
      </c>
      <c r="AG461" s="66">
        <f>Travel!$T$224</f>
        <v>30000</v>
      </c>
      <c r="AH461" s="66">
        <f>Travel!$T$224</f>
        <v>30000</v>
      </c>
      <c r="AJ461" s="191"/>
      <c r="AK461"/>
      <c r="AL461"/>
      <c r="AM461"/>
      <c r="AN461"/>
      <c r="AO461"/>
    </row>
    <row r="462" spans="1:41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225"/>
        <v>8410.5499999999993</v>
      </c>
      <c r="O462" s="66">
        <f t="shared" si="225"/>
        <v>9500</v>
      </c>
      <c r="P462" s="69">
        <f t="shared" si="218"/>
        <v>2803.5166666666664</v>
      </c>
      <c r="Q462" s="69">
        <f t="shared" si="218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G462" s="66">
        <f>Travel!$T$226</f>
        <v>3700</v>
      </c>
      <c r="AH462" s="66">
        <f>Travel!$T$226</f>
        <v>3700</v>
      </c>
      <c r="AI462" s="110" t="s">
        <v>976</v>
      </c>
      <c r="AJ462" s="191"/>
      <c r="AK462"/>
      <c r="AL462"/>
      <c r="AM462"/>
      <c r="AN462"/>
      <c r="AO462"/>
    </row>
    <row r="463" spans="1:41" ht="16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225"/>
        <v>1939.64</v>
      </c>
      <c r="O463" s="66">
        <f t="shared" si="225"/>
        <v>16500</v>
      </c>
      <c r="P463" s="69">
        <f t="shared" si="218"/>
        <v>646.54666666666674</v>
      </c>
      <c r="Q463" s="69">
        <f t="shared" si="218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6">
        <v>9000</v>
      </c>
      <c r="AC463" s="66">
        <v>5000</v>
      </c>
      <c r="AD463" s="66">
        <v>5000</v>
      </c>
      <c r="AE463" s="66">
        <v>5000</v>
      </c>
      <c r="AF463" s="66">
        <v>5000</v>
      </c>
      <c r="AG463" s="66">
        <f>Travel!$T$164</f>
        <v>7150</v>
      </c>
      <c r="AH463" s="66">
        <f>Travel!$T$164</f>
        <v>7150</v>
      </c>
      <c r="AI463" s="110" t="s">
        <v>976</v>
      </c>
      <c r="AJ463" s="191"/>
      <c r="AK463"/>
      <c r="AL463"/>
      <c r="AM463"/>
      <c r="AN463"/>
      <c r="AO463"/>
    </row>
    <row r="464" spans="1:41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226">ROUND(SUM(H456:H463),5)</f>
        <v>68157.66</v>
      </c>
      <c r="I464" s="75">
        <f t="shared" si="226"/>
        <v>97000</v>
      </c>
      <c r="J464" s="76">
        <f t="shared" si="226"/>
        <v>75651.53</v>
      </c>
      <c r="K464" s="76">
        <f t="shared" si="226"/>
        <v>88000</v>
      </c>
      <c r="L464" s="77">
        <f t="shared" si="226"/>
        <v>80720.73</v>
      </c>
      <c r="M464" s="77">
        <f t="shared" si="226"/>
        <v>124785</v>
      </c>
      <c r="N464" s="78">
        <f t="shared" si="225"/>
        <v>224529.92000000001</v>
      </c>
      <c r="O464" s="78">
        <f t="shared" si="225"/>
        <v>309785</v>
      </c>
      <c r="P464" s="79">
        <f t="shared" si="218"/>
        <v>74843.306666666671</v>
      </c>
      <c r="Q464" s="79">
        <f t="shared" si="218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 t="shared" ref="AB464:AG464" si="227">ROUND(SUM(AB456:AB463),5)</f>
        <v>125000</v>
      </c>
      <c r="AC464" s="91">
        <f t="shared" si="227"/>
        <v>105700</v>
      </c>
      <c r="AD464" s="91">
        <f t="shared" si="227"/>
        <v>105700</v>
      </c>
      <c r="AE464" s="91">
        <f t="shared" si="227"/>
        <v>114900</v>
      </c>
      <c r="AF464" s="91">
        <f t="shared" si="227"/>
        <v>121000</v>
      </c>
      <c r="AG464" s="91">
        <f t="shared" si="227"/>
        <v>123150</v>
      </c>
      <c r="AH464" s="91">
        <f t="shared" ref="AH464" si="228">ROUND(SUM(AH456:AH463),5)</f>
        <v>123150</v>
      </c>
      <c r="AJ464" s="191"/>
      <c r="AK464"/>
      <c r="AL464"/>
      <c r="AM464"/>
      <c r="AN464"/>
      <c r="AO464"/>
    </row>
    <row r="465" spans="1:41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218"/>
        <v>0</v>
      </c>
      <c r="Q465" s="69">
        <f t="shared" si="218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F465" s="66"/>
      <c r="AG465" s="66"/>
      <c r="AH465" s="66"/>
      <c r="AJ465" s="191"/>
      <c r="AK465"/>
      <c r="AL465"/>
      <c r="AM465"/>
      <c r="AN465"/>
      <c r="AO465"/>
    </row>
    <row r="466" spans="1:41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229">ROUND(H466+J466+L466,5)</f>
        <v>0</v>
      </c>
      <c r="O466" s="66">
        <f t="shared" si="229"/>
        <v>4350</v>
      </c>
      <c r="P466" s="69">
        <f t="shared" si="218"/>
        <v>0</v>
      </c>
      <c r="Q466" s="69">
        <f t="shared" si="218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6">
        <f>Travel!$T$228</f>
        <v>1300</v>
      </c>
      <c r="AC466" s="66">
        <f>Travel!$T$228</f>
        <v>1300</v>
      </c>
      <c r="AD466" s="66">
        <f>Travel!$T$228</f>
        <v>1300</v>
      </c>
      <c r="AE466" s="66">
        <f>Travel!$T$228</f>
        <v>1300</v>
      </c>
      <c r="AF466" s="66">
        <f>Travel!$T$228</f>
        <v>1300</v>
      </c>
      <c r="AG466" s="66">
        <f>Travel!$T$228</f>
        <v>1300</v>
      </c>
      <c r="AH466" s="66">
        <f>Travel!$T$228</f>
        <v>1300</v>
      </c>
      <c r="AJ466" s="191"/>
      <c r="AK466"/>
      <c r="AL466"/>
      <c r="AM466"/>
      <c r="AN466"/>
      <c r="AO466"/>
    </row>
    <row r="467" spans="1:41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229"/>
        <v>6468.36</v>
      </c>
      <c r="O467" s="66">
        <f t="shared" si="229"/>
        <v>27000</v>
      </c>
      <c r="P467" s="69">
        <f t="shared" si="218"/>
        <v>2156.12</v>
      </c>
      <c r="Q467" s="69">
        <f t="shared" si="218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6">
        <f>Travel!$T$233</f>
        <v>18000</v>
      </c>
      <c r="AC467" s="66">
        <v>5000</v>
      </c>
      <c r="AD467" s="66">
        <v>5000</v>
      </c>
      <c r="AE467" s="66">
        <v>5000</v>
      </c>
      <c r="AF467" s="66">
        <f>Travel!$T$233</f>
        <v>18000</v>
      </c>
      <c r="AG467" s="66">
        <f>Travel!$T$233</f>
        <v>18000</v>
      </c>
      <c r="AH467" s="66">
        <f>Travel!$T$233</f>
        <v>18000</v>
      </c>
      <c r="AI467" s="206" t="s">
        <v>1000</v>
      </c>
      <c r="AJ467" s="191" t="s">
        <v>964</v>
      </c>
      <c r="AK467"/>
      <c r="AL467">
        <v>6000</v>
      </c>
      <c r="AM467"/>
      <c r="AN467"/>
      <c r="AO467"/>
    </row>
    <row r="468" spans="1:41" ht="16.5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229"/>
        <v>1454.32</v>
      </c>
      <c r="O468" s="73">
        <f t="shared" si="229"/>
        <v>7100</v>
      </c>
      <c r="P468" s="74">
        <f t="shared" si="218"/>
        <v>484.77333333333331</v>
      </c>
      <c r="Q468" s="74">
        <f t="shared" si="218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6">
        <f>Travel!$T$237</f>
        <v>0</v>
      </c>
      <c r="AC468" s="66">
        <f>Travel!$T$237</f>
        <v>0</v>
      </c>
      <c r="AD468" s="66">
        <f>Travel!$T$237</f>
        <v>0</v>
      </c>
      <c r="AE468" s="66">
        <v>2600</v>
      </c>
      <c r="AF468" s="66">
        <v>2600</v>
      </c>
      <c r="AG468" s="66">
        <f>Travel!$T$237</f>
        <v>0</v>
      </c>
      <c r="AH468" s="66">
        <f>Travel!$T$237</f>
        <v>0</v>
      </c>
      <c r="AJ468" s="191"/>
      <c r="AK468"/>
      <c r="AL468"/>
      <c r="AM468"/>
      <c r="AN468"/>
      <c r="AO468"/>
    </row>
    <row r="469" spans="1:41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230">ROUND(SUM(H465:H468),5)</f>
        <v>2517.89</v>
      </c>
      <c r="I469" s="63">
        <f t="shared" si="230"/>
        <v>15000</v>
      </c>
      <c r="J469" s="64">
        <f t="shared" si="230"/>
        <v>3142.66</v>
      </c>
      <c r="K469" s="64">
        <f t="shared" si="230"/>
        <v>12550</v>
      </c>
      <c r="L469" s="65">
        <f t="shared" si="230"/>
        <v>2262.13</v>
      </c>
      <c r="M469" s="65">
        <f t="shared" si="230"/>
        <v>10900</v>
      </c>
      <c r="N469" s="66">
        <f t="shared" si="229"/>
        <v>7922.68</v>
      </c>
      <c r="O469" s="66">
        <f t="shared" si="229"/>
        <v>38450</v>
      </c>
      <c r="P469" s="69">
        <f t="shared" si="218"/>
        <v>2640.8933333333334</v>
      </c>
      <c r="Q469" s="69">
        <f t="shared" si="218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 t="shared" ref="AB469:AG469" si="231">ROUND(SUM(AB465:AB468),5)</f>
        <v>19300</v>
      </c>
      <c r="AC469" s="91">
        <f t="shared" si="231"/>
        <v>6300</v>
      </c>
      <c r="AD469" s="91">
        <f t="shared" si="231"/>
        <v>6300</v>
      </c>
      <c r="AE469" s="91">
        <f t="shared" si="231"/>
        <v>8900</v>
      </c>
      <c r="AF469" s="91">
        <f t="shared" si="231"/>
        <v>21900</v>
      </c>
      <c r="AG469" s="91">
        <f t="shared" si="231"/>
        <v>19300</v>
      </c>
      <c r="AH469" s="91">
        <f t="shared" ref="AH469" si="232">ROUND(SUM(AH465:AH468),5)</f>
        <v>19300</v>
      </c>
      <c r="AJ469" s="191"/>
      <c r="AK469"/>
      <c r="AL469"/>
      <c r="AM469"/>
      <c r="AN469"/>
      <c r="AO469"/>
    </row>
    <row r="470" spans="1:41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F470" s="66"/>
      <c r="AG470" s="66"/>
      <c r="AH470" s="66"/>
      <c r="AJ470" s="191"/>
      <c r="AK470"/>
      <c r="AL470"/>
      <c r="AM470"/>
      <c r="AN470"/>
      <c r="AO470"/>
    </row>
    <row r="471" spans="1:41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233">ROUND(H471+J471+L471,5)</f>
        <v>40121.949999999997</v>
      </c>
      <c r="O471" s="66">
        <f t="shared" si="233"/>
        <v>50000</v>
      </c>
      <c r="P471" s="69">
        <f t="shared" si="218"/>
        <v>13373.983333333332</v>
      </c>
      <c r="Q471" s="69">
        <f t="shared" si="218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6">
        <f>Travel!$T$248</f>
        <v>18000</v>
      </c>
      <c r="AC471" s="66">
        <v>20000</v>
      </c>
      <c r="AD471" s="66">
        <v>20000</v>
      </c>
      <c r="AE471" s="66">
        <v>20000</v>
      </c>
      <c r="AF471" s="66">
        <f>Travel!$T$248</f>
        <v>18000</v>
      </c>
      <c r="AG471" s="66">
        <f>Travel!$T$248</f>
        <v>18000</v>
      </c>
      <c r="AH471" s="66">
        <f>Travel!$T$248</f>
        <v>18000</v>
      </c>
      <c r="AJ471" s="191"/>
      <c r="AK471"/>
      <c r="AL471"/>
      <c r="AM471"/>
      <c r="AN471"/>
      <c r="AO471"/>
    </row>
    <row r="472" spans="1:41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233"/>
        <v>298044.73</v>
      </c>
      <c r="O472" s="66">
        <f t="shared" si="233"/>
        <v>298300</v>
      </c>
      <c r="P472" s="69">
        <f t="shared" si="218"/>
        <v>99348.243333333332</v>
      </c>
      <c r="Q472" s="69">
        <f t="shared" si="218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6">
        <f>Travel!$T$262</f>
        <v>92000</v>
      </c>
      <c r="AC472" s="66">
        <v>85000</v>
      </c>
      <c r="AD472" s="66">
        <v>85000</v>
      </c>
      <c r="AE472" s="66">
        <v>85000</v>
      </c>
      <c r="AF472" s="66">
        <f>Travel!$T$262</f>
        <v>92000</v>
      </c>
      <c r="AG472" s="66">
        <f>Travel!$T$262</f>
        <v>92000</v>
      </c>
      <c r="AH472" s="66">
        <f>Travel!$T$262</f>
        <v>92000</v>
      </c>
      <c r="AJ472" s="191"/>
      <c r="AK472"/>
      <c r="AL472"/>
      <c r="AM472"/>
      <c r="AN472"/>
      <c r="AO472"/>
    </row>
    <row r="473" spans="1:41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233"/>
        <v>91427.03</v>
      </c>
      <c r="O473" s="66">
        <f t="shared" si="233"/>
        <v>71500</v>
      </c>
      <c r="P473" s="69">
        <f t="shared" si="218"/>
        <v>30475.676666666666</v>
      </c>
      <c r="Q473" s="69">
        <f t="shared" si="218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6">
        <f>Travel!$T$289</f>
        <v>29500</v>
      </c>
      <c r="AC473" s="66">
        <v>27000</v>
      </c>
      <c r="AD473" s="66">
        <v>27000</v>
      </c>
      <c r="AE473" s="66">
        <v>30000</v>
      </c>
      <c r="AF473" s="66">
        <f>Travel!$T$289</f>
        <v>29500</v>
      </c>
      <c r="AG473" s="66">
        <f>Travel!$T$289</f>
        <v>29500</v>
      </c>
      <c r="AH473" s="66">
        <f>Travel!$T$289</f>
        <v>29500</v>
      </c>
      <c r="AJ473" s="191"/>
      <c r="AK473"/>
      <c r="AL473"/>
      <c r="AM473"/>
      <c r="AN473"/>
      <c r="AO473"/>
    </row>
    <row r="474" spans="1:41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233"/>
        <v>3636.89</v>
      </c>
      <c r="O474" s="66">
        <f t="shared" si="233"/>
        <v>16000</v>
      </c>
      <c r="P474" s="69">
        <f t="shared" si="218"/>
        <v>1212.2966666666666</v>
      </c>
      <c r="Q474" s="69">
        <f t="shared" si="218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6">
        <f>Travel!$T$290</f>
        <v>3000</v>
      </c>
      <c r="AC474" s="66">
        <f>Travel!$T$290</f>
        <v>3000</v>
      </c>
      <c r="AD474" s="66">
        <f>Travel!$T$290</f>
        <v>3000</v>
      </c>
      <c r="AE474" s="66">
        <f>Travel!$T$290</f>
        <v>3000</v>
      </c>
      <c r="AF474" s="66">
        <f>Travel!$T$290</f>
        <v>3000</v>
      </c>
      <c r="AG474" s="66">
        <f>Travel!$T$290</f>
        <v>3000</v>
      </c>
      <c r="AH474" s="66">
        <f>Travel!$T$290</f>
        <v>3000</v>
      </c>
      <c r="AJ474" s="191"/>
      <c r="AK474"/>
      <c r="AL474"/>
      <c r="AM474"/>
      <c r="AN474"/>
      <c r="AO474"/>
    </row>
    <row r="475" spans="1:41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233"/>
        <v>1704.48</v>
      </c>
      <c r="O475" s="66">
        <f t="shared" si="233"/>
        <v>13000</v>
      </c>
      <c r="P475" s="69">
        <f t="shared" si="218"/>
        <v>568.16</v>
      </c>
      <c r="Q475" s="69">
        <f t="shared" si="218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6">
        <f>Travel!$T$291</f>
        <v>9000</v>
      </c>
      <c r="AC475" s="66">
        <f>Travel!$T$291</f>
        <v>9000</v>
      </c>
      <c r="AD475" s="66">
        <f>Travel!$T$291</f>
        <v>9000</v>
      </c>
      <c r="AE475" s="66">
        <f>Travel!$T$291</f>
        <v>9000</v>
      </c>
      <c r="AF475" s="66">
        <v>3000</v>
      </c>
      <c r="AG475" s="66">
        <f>Travel!$T$291</f>
        <v>9000</v>
      </c>
      <c r="AH475" s="66">
        <f>Travel!$T$291</f>
        <v>9000</v>
      </c>
      <c r="AJ475" s="191"/>
      <c r="AK475"/>
      <c r="AL475"/>
      <c r="AM475"/>
      <c r="AN475"/>
      <c r="AO475"/>
    </row>
    <row r="476" spans="1:41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233"/>
        <v>323010.53999999998</v>
      </c>
      <c r="O476" s="66">
        <f t="shared" si="233"/>
        <v>333639</v>
      </c>
      <c r="P476" s="69">
        <f t="shared" si="218"/>
        <v>107670.18</v>
      </c>
      <c r="Q476" s="69">
        <f t="shared" si="218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6">
        <f>Travel!$AE$34</f>
        <v>138650</v>
      </c>
      <c r="AC476" s="66">
        <v>110000</v>
      </c>
      <c r="AD476" s="66">
        <v>110000</v>
      </c>
      <c r="AE476" s="66">
        <v>110000</v>
      </c>
      <c r="AF476" s="66">
        <f>Travel!$AE$34</f>
        <v>138650</v>
      </c>
      <c r="AG476" s="66">
        <f>Travel!$AE$34</f>
        <v>138650</v>
      </c>
      <c r="AH476" s="66">
        <f>Travel!$AE$34</f>
        <v>138650</v>
      </c>
      <c r="AI476" s="206" t="s">
        <v>1000</v>
      </c>
      <c r="AJ476" s="191"/>
      <c r="AK476"/>
      <c r="AL476"/>
      <c r="AM476"/>
      <c r="AN476"/>
      <c r="AO476"/>
    </row>
    <row r="477" spans="1:41" ht="29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233"/>
        <v>38757.58</v>
      </c>
      <c r="O477" s="66">
        <f t="shared" si="233"/>
        <v>20000</v>
      </c>
      <c r="P477" s="69">
        <f t="shared" si="218"/>
        <v>12919.193333333335</v>
      </c>
      <c r="Q477" s="69">
        <f t="shared" si="218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6">
        <f>Travel!$T$292</f>
        <v>17500</v>
      </c>
      <c r="AC477" s="66">
        <f>Travel!$T$292</f>
        <v>17500</v>
      </c>
      <c r="AD477" s="66">
        <f>Travel!$T$292</f>
        <v>17500</v>
      </c>
      <c r="AE477" s="66">
        <f>Travel!$T$292</f>
        <v>17500</v>
      </c>
      <c r="AF477" s="66">
        <f>Travel!$T$292</f>
        <v>17500</v>
      </c>
      <c r="AG477" s="66">
        <f>Travel!$T$292</f>
        <v>17500</v>
      </c>
      <c r="AH477" s="66">
        <f>Travel!$T$292</f>
        <v>17500</v>
      </c>
      <c r="AJ477" s="172" t="s">
        <v>978</v>
      </c>
      <c r="AK477"/>
      <c r="AL477">
        <v>7500</v>
      </c>
      <c r="AM477"/>
      <c r="AN477"/>
      <c r="AO477"/>
    </row>
    <row r="478" spans="1:41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233"/>
        <v>9458.01</v>
      </c>
      <c r="O478" s="66">
        <f t="shared" si="233"/>
        <v>15000</v>
      </c>
      <c r="P478" s="69">
        <f t="shared" si="218"/>
        <v>3152.67</v>
      </c>
      <c r="Q478" s="69">
        <f t="shared" si="218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6">
        <f>Travel!$T$293</f>
        <v>5000</v>
      </c>
      <c r="AC478" s="66">
        <f>Travel!$T$293</f>
        <v>5000</v>
      </c>
      <c r="AD478" s="66">
        <f>Travel!$T$293</f>
        <v>5000</v>
      </c>
      <c r="AE478" s="66">
        <f>Travel!$T$293</f>
        <v>5000</v>
      </c>
      <c r="AF478" s="66">
        <f>Travel!$T$293</f>
        <v>5000</v>
      </c>
      <c r="AG478" s="66">
        <f>Travel!$T$293</f>
        <v>5000</v>
      </c>
      <c r="AH478" s="66">
        <f>Travel!$T$293</f>
        <v>5000</v>
      </c>
      <c r="AJ478" s="191"/>
      <c r="AK478"/>
      <c r="AL478"/>
      <c r="AM478"/>
      <c r="AN478"/>
      <c r="AO478"/>
    </row>
    <row r="479" spans="1:41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234">ROUND(SUM(H470:H478),5)</f>
        <v>239537.82</v>
      </c>
      <c r="I479" s="75">
        <f t="shared" si="234"/>
        <v>266000</v>
      </c>
      <c r="J479" s="76">
        <f t="shared" si="234"/>
        <v>275471.45</v>
      </c>
      <c r="K479" s="76">
        <f t="shared" si="234"/>
        <v>278000</v>
      </c>
      <c r="L479" s="77">
        <f t="shared" si="234"/>
        <v>291151.94</v>
      </c>
      <c r="M479" s="77">
        <f t="shared" si="234"/>
        <v>273439</v>
      </c>
      <c r="N479" s="78">
        <f t="shared" si="233"/>
        <v>806161.21</v>
      </c>
      <c r="O479" s="78">
        <f t="shared" si="233"/>
        <v>817439</v>
      </c>
      <c r="P479" s="79">
        <f t="shared" si="218"/>
        <v>268720.40333333332</v>
      </c>
      <c r="Q479" s="79">
        <f t="shared" si="218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 t="shared" ref="AB479:AG479" si="235">ROUND(SUM(AB470:AB478),5)</f>
        <v>312650</v>
      </c>
      <c r="AC479" s="91">
        <f t="shared" si="235"/>
        <v>276500</v>
      </c>
      <c r="AD479" s="91">
        <f t="shared" si="235"/>
        <v>276500</v>
      </c>
      <c r="AE479" s="91">
        <f t="shared" si="235"/>
        <v>279500</v>
      </c>
      <c r="AF479" s="91">
        <f t="shared" si="235"/>
        <v>306650</v>
      </c>
      <c r="AG479" s="91">
        <f t="shared" si="235"/>
        <v>312650</v>
      </c>
      <c r="AH479" s="91">
        <f t="shared" ref="AH479" si="236">ROUND(SUM(AH470:AH478),5)</f>
        <v>312650</v>
      </c>
      <c r="AJ479" s="191"/>
      <c r="AK479"/>
      <c r="AL479" s="115">
        <f>SUM(AL454:AL477)</f>
        <v>46900</v>
      </c>
      <c r="AM479"/>
      <c r="AN479"/>
      <c r="AO479"/>
    </row>
    <row r="480" spans="1:41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F480" s="66"/>
      <c r="AG480" s="66"/>
      <c r="AH480" s="66"/>
      <c r="AJ480" s="191"/>
      <c r="AK480"/>
      <c r="AL480"/>
      <c r="AM480"/>
      <c r="AN480"/>
      <c r="AO480"/>
    </row>
    <row r="481" spans="1:41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237">ROUND(H481+J481+L481,5)</f>
        <v>20687.05</v>
      </c>
      <c r="O481" s="66">
        <f t="shared" si="237"/>
        <v>17200</v>
      </c>
      <c r="P481" s="69">
        <f t="shared" si="218"/>
        <v>6895.6833333333334</v>
      </c>
      <c r="Q481" s="69">
        <f t="shared" si="218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6">
        <f>Travel!$T$300</f>
        <v>10500</v>
      </c>
      <c r="AC481" s="66">
        <f>Travel!$T$300</f>
        <v>10500</v>
      </c>
      <c r="AD481" s="66">
        <f>Travel!$T$300</f>
        <v>10500</v>
      </c>
      <c r="AE481" s="66">
        <f>Travel!$T$300</f>
        <v>10500</v>
      </c>
      <c r="AF481" s="66">
        <f>Travel!$T$300</f>
        <v>10500</v>
      </c>
      <c r="AG481" s="66">
        <f>Travel!$T$300</f>
        <v>10500</v>
      </c>
      <c r="AH481" s="66">
        <f>Travel!$T$300</f>
        <v>10500</v>
      </c>
      <c r="AJ481" s="191"/>
      <c r="AK481"/>
      <c r="AL481"/>
      <c r="AM481"/>
      <c r="AN481"/>
      <c r="AO481"/>
    </row>
    <row r="482" spans="1:41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237"/>
        <v>57727.78</v>
      </c>
      <c r="O482" s="66">
        <f t="shared" si="237"/>
        <v>41100</v>
      </c>
      <c r="P482" s="69">
        <f t="shared" si="218"/>
        <v>19242.593333333334</v>
      </c>
      <c r="Q482" s="69">
        <f t="shared" si="218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6">
        <f>Travel!$T$312</f>
        <v>18300</v>
      </c>
      <c r="AC482" s="66">
        <v>15000</v>
      </c>
      <c r="AD482" s="66">
        <v>15000</v>
      </c>
      <c r="AE482" s="66">
        <v>15000</v>
      </c>
      <c r="AF482" s="66">
        <f>Travel!$T$312</f>
        <v>18300</v>
      </c>
      <c r="AG482" s="66">
        <f>Travel!$T$312</f>
        <v>18300</v>
      </c>
      <c r="AH482" s="66">
        <f>Travel!$T$312</f>
        <v>18300</v>
      </c>
      <c r="AJ482" s="191"/>
      <c r="AK482"/>
      <c r="AL482"/>
      <c r="AM482"/>
      <c r="AN482"/>
      <c r="AO482"/>
    </row>
    <row r="483" spans="1:41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237"/>
        <v>70814.95</v>
      </c>
      <c r="O483" s="66">
        <f t="shared" si="237"/>
        <v>78000</v>
      </c>
      <c r="P483" s="69">
        <f t="shared" si="218"/>
        <v>23604.983333333334</v>
      </c>
      <c r="Q483" s="69">
        <f t="shared" si="218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6">
        <f>Travel!$T$332</f>
        <v>30500</v>
      </c>
      <c r="AC483" s="66">
        <v>25000</v>
      </c>
      <c r="AD483" s="66">
        <v>25000</v>
      </c>
      <c r="AE483" s="66">
        <v>25000</v>
      </c>
      <c r="AF483" s="66">
        <f>Travel!$T$332</f>
        <v>30500</v>
      </c>
      <c r="AG483" s="66">
        <f>Travel!$T$332</f>
        <v>30500</v>
      </c>
      <c r="AH483" s="66">
        <f>Travel!$T$332</f>
        <v>30500</v>
      </c>
      <c r="AJ483" s="191"/>
      <c r="AK483"/>
      <c r="AL483"/>
      <c r="AM483"/>
      <c r="AN483"/>
      <c r="AO483"/>
    </row>
    <row r="484" spans="1:41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237"/>
        <v>4458.2</v>
      </c>
      <c r="O484" s="66">
        <f t="shared" si="237"/>
        <v>14615</v>
      </c>
      <c r="P484" s="69">
        <f t="shared" si="218"/>
        <v>1486.0666666666666</v>
      </c>
      <c r="Q484" s="69">
        <f t="shared" si="218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6">
        <f>Travel!$T$336</f>
        <v>5000</v>
      </c>
      <c r="AC484" s="66">
        <f>Travel!$T$336</f>
        <v>5000</v>
      </c>
      <c r="AD484" s="66">
        <f>Travel!$T$336</f>
        <v>5000</v>
      </c>
      <c r="AE484" s="66">
        <f>Travel!$T$336</f>
        <v>5000</v>
      </c>
      <c r="AF484" s="66">
        <f>Travel!$T$336</f>
        <v>5000</v>
      </c>
      <c r="AG484" s="66">
        <f>Travel!$T$336</f>
        <v>5000</v>
      </c>
      <c r="AH484" s="66">
        <f>Travel!$T$336</f>
        <v>5000</v>
      </c>
      <c r="AJ484" s="191"/>
      <c r="AK484"/>
      <c r="AL484"/>
      <c r="AM484"/>
      <c r="AN484"/>
      <c r="AO484"/>
    </row>
    <row r="485" spans="1:41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237"/>
        <v>10610.4</v>
      </c>
      <c r="O485" s="66">
        <f t="shared" si="237"/>
        <v>61200</v>
      </c>
      <c r="P485" s="69">
        <f t="shared" si="218"/>
        <v>3536.7999999999997</v>
      </c>
      <c r="Q485" s="69">
        <f t="shared" si="218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6">
        <f>Travel!$T$352</f>
        <v>21000</v>
      </c>
      <c r="AC485" s="66">
        <v>15000</v>
      </c>
      <c r="AD485" s="66">
        <v>15000</v>
      </c>
      <c r="AE485" s="66">
        <v>15000</v>
      </c>
      <c r="AF485" s="66">
        <f>Travel!$T$352</f>
        <v>21000</v>
      </c>
      <c r="AG485" s="66">
        <f>Travel!$T$352</f>
        <v>21000</v>
      </c>
      <c r="AH485" s="66">
        <f>Travel!$T$352</f>
        <v>21000</v>
      </c>
      <c r="AJ485" s="191"/>
      <c r="AK485"/>
      <c r="AL485"/>
      <c r="AM485"/>
      <c r="AN485"/>
      <c r="AO485"/>
    </row>
    <row r="486" spans="1:41" ht="32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237"/>
        <v>81544.240000000005</v>
      </c>
      <c r="O486" s="66">
        <f t="shared" si="237"/>
        <v>84000</v>
      </c>
      <c r="P486" s="69">
        <f t="shared" si="218"/>
        <v>27181.413333333334</v>
      </c>
      <c r="Q486" s="69">
        <f t="shared" si="218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6">
        <f>Travel!$T$361</f>
        <v>39999.994999999995</v>
      </c>
      <c r="AC486" s="66">
        <v>30000</v>
      </c>
      <c r="AD486" s="66">
        <v>30000</v>
      </c>
      <c r="AE486" s="66">
        <v>30000</v>
      </c>
      <c r="AF486" s="66">
        <f>Travel!$T$361</f>
        <v>39999.994999999995</v>
      </c>
      <c r="AG486" s="66">
        <f>Travel!$T$361</f>
        <v>39999.994999999995</v>
      </c>
      <c r="AH486" s="66">
        <f>Travel!$T$361</f>
        <v>39999.994999999995</v>
      </c>
      <c r="AJ486" s="191" t="s">
        <v>979</v>
      </c>
      <c r="AK486"/>
      <c r="AL486">
        <v>5000</v>
      </c>
      <c r="AM486"/>
      <c r="AN486"/>
      <c r="AO486"/>
    </row>
    <row r="487" spans="1:41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237"/>
        <v>2890.95</v>
      </c>
      <c r="O487" s="66">
        <f t="shared" si="237"/>
        <v>5000</v>
      </c>
      <c r="P487" s="69">
        <f t="shared" si="218"/>
        <v>963.65</v>
      </c>
      <c r="Q487" s="69">
        <f t="shared" si="218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6">
        <f>Travel!$T$362</f>
        <v>5000</v>
      </c>
      <c r="AC487" s="66">
        <f>Travel!$T$362</f>
        <v>5000</v>
      </c>
      <c r="AD487" s="66">
        <f>Travel!$T$362</f>
        <v>5000</v>
      </c>
      <c r="AE487" s="66">
        <f>Travel!$T$362</f>
        <v>5000</v>
      </c>
      <c r="AF487" s="66">
        <f>Travel!$T$362</f>
        <v>5000</v>
      </c>
      <c r="AG487" s="66">
        <f>Travel!$T$362</f>
        <v>5000</v>
      </c>
      <c r="AH487" s="66">
        <f>Travel!$T$362</f>
        <v>5000</v>
      </c>
      <c r="AJ487" s="191"/>
      <c r="AK487"/>
      <c r="AL487" s="210">
        <f>SUM(AL479:AL486)</f>
        <v>51900</v>
      </c>
      <c r="AM487"/>
      <c r="AN487"/>
      <c r="AO487"/>
    </row>
    <row r="488" spans="1:41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238">ROUND(SUM(H480:H487),5)</f>
        <v>59874.94</v>
      </c>
      <c r="I488" s="75">
        <f t="shared" si="238"/>
        <v>92500</v>
      </c>
      <c r="J488" s="76">
        <f t="shared" si="238"/>
        <v>75252.66</v>
      </c>
      <c r="K488" s="76">
        <f t="shared" si="238"/>
        <v>95000</v>
      </c>
      <c r="L488" s="77">
        <f t="shared" si="238"/>
        <v>113605.97</v>
      </c>
      <c r="M488" s="77">
        <f t="shared" si="238"/>
        <v>113615</v>
      </c>
      <c r="N488" s="78">
        <f t="shared" si="237"/>
        <v>248733.57</v>
      </c>
      <c r="O488" s="78">
        <f t="shared" si="237"/>
        <v>301115</v>
      </c>
      <c r="P488" s="79">
        <f t="shared" si="218"/>
        <v>82911.19</v>
      </c>
      <c r="Q488" s="79">
        <f t="shared" si="218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 t="shared" ref="AB488:AG488" si="239">ROUND(SUM(AB480:AB487),5)</f>
        <v>130299.995</v>
      </c>
      <c r="AC488" s="91">
        <f t="shared" si="239"/>
        <v>105500</v>
      </c>
      <c r="AD488" s="91">
        <f t="shared" si="239"/>
        <v>105500</v>
      </c>
      <c r="AE488" s="91">
        <f t="shared" si="239"/>
        <v>105500</v>
      </c>
      <c r="AF488" s="91">
        <f t="shared" si="239"/>
        <v>130299.995</v>
      </c>
      <c r="AG488" s="91">
        <f t="shared" si="239"/>
        <v>130299.995</v>
      </c>
      <c r="AH488" s="91">
        <f t="shared" ref="AH488" si="240">ROUND(SUM(AH480:AH487),5)</f>
        <v>130299.995</v>
      </c>
      <c r="AJ488" s="191"/>
      <c r="AK488"/>
      <c r="AL488"/>
      <c r="AM488"/>
      <c r="AN488"/>
      <c r="AO488"/>
    </row>
    <row r="489" spans="1:41" ht="1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241">ROUND(H429+H441+H455+H464+H469+H479+SUM(H488:H488),5)</f>
        <v>418230.26</v>
      </c>
      <c r="I489" s="75">
        <f t="shared" si="241"/>
        <v>595000</v>
      </c>
      <c r="J489" s="76">
        <f t="shared" si="241"/>
        <v>490473.05</v>
      </c>
      <c r="K489" s="76">
        <f t="shared" si="241"/>
        <v>579550</v>
      </c>
      <c r="L489" s="77">
        <f t="shared" si="241"/>
        <v>559533.9</v>
      </c>
      <c r="M489" s="77">
        <f t="shared" si="241"/>
        <v>649239</v>
      </c>
      <c r="N489" s="78">
        <f t="shared" si="237"/>
        <v>1468237.21</v>
      </c>
      <c r="O489" s="78">
        <f t="shared" si="237"/>
        <v>1823789</v>
      </c>
      <c r="P489" s="79">
        <f t="shared" si="218"/>
        <v>489412.40333333332</v>
      </c>
      <c r="Q489" s="79">
        <f t="shared" si="218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 t="shared" ref="AB489:AG489" si="242">ROUND(AB429+AB441+AB455+AB464+AB469+AB479+SUM(AB488:AB488),5)</f>
        <v>720549.995</v>
      </c>
      <c r="AC489" s="78">
        <f t="shared" si="242"/>
        <v>605300</v>
      </c>
      <c r="AD489" s="78">
        <f t="shared" si="242"/>
        <v>625300</v>
      </c>
      <c r="AE489" s="78">
        <f t="shared" si="242"/>
        <v>647100</v>
      </c>
      <c r="AF489" s="78">
        <f t="shared" si="242"/>
        <v>720649.995</v>
      </c>
      <c r="AG489" s="78">
        <f t="shared" si="242"/>
        <v>718699.995</v>
      </c>
      <c r="AH489" s="78">
        <f t="shared" ref="AH489" si="243">ROUND(AH429+AH441+AH455+AH464+AH469+AH479+SUM(AH488:AH488),5)</f>
        <v>718699.995</v>
      </c>
      <c r="AJ489" s="191"/>
      <c r="AK489"/>
      <c r="AL489"/>
      <c r="AM489"/>
      <c r="AN489"/>
      <c r="AO489"/>
    </row>
    <row r="490" spans="1:41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218"/>
        <v>0</v>
      </c>
      <c r="Q490" s="69">
        <f t="shared" si="218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F490" s="66"/>
      <c r="AG490" s="66"/>
      <c r="AH490" s="66"/>
      <c r="AJ490" s="191"/>
      <c r="AK490"/>
      <c r="AL490"/>
      <c r="AM490"/>
      <c r="AN490"/>
      <c r="AO490"/>
    </row>
    <row r="491" spans="1:41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4" si="244">ROUND(H491+J491+L491,5)</f>
        <v>10042.5</v>
      </c>
      <c r="O491" s="66">
        <f t="shared" si="244"/>
        <v>30000</v>
      </c>
      <c r="P491" s="69">
        <f t="shared" si="218"/>
        <v>3347.5</v>
      </c>
      <c r="Q491" s="69">
        <f t="shared" si="218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H491" s="66">
        <v>0</v>
      </c>
      <c r="AJ491" s="191"/>
      <c r="AK491"/>
      <c r="AL491"/>
      <c r="AM491"/>
      <c r="AN491"/>
      <c r="AO491"/>
    </row>
    <row r="492" spans="1:41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244"/>
        <v>7205.43</v>
      </c>
      <c r="O492" s="66">
        <f t="shared" si="244"/>
        <v>8000</v>
      </c>
      <c r="P492" s="69">
        <f t="shared" si="218"/>
        <v>2401.81</v>
      </c>
      <c r="Q492" s="69">
        <f t="shared" si="218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G492" s="66">
        <v>2500</v>
      </c>
      <c r="AH492" s="66">
        <v>2500</v>
      </c>
      <c r="AJ492" s="191"/>
      <c r="AK492"/>
      <c r="AL492"/>
      <c r="AM492"/>
      <c r="AN492"/>
      <c r="AO492"/>
    </row>
    <row r="493" spans="1:41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244"/>
        <v>15127.94</v>
      </c>
      <c r="O493" s="66">
        <f t="shared" si="244"/>
        <v>16500</v>
      </c>
      <c r="P493" s="69">
        <f t="shared" si="218"/>
        <v>5042.6466666666665</v>
      </c>
      <c r="Q493" s="69">
        <f t="shared" si="218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6">
        <v>6000</v>
      </c>
      <c r="AC493" s="66">
        <v>6000</v>
      </c>
      <c r="AD493" s="66">
        <v>6000</v>
      </c>
      <c r="AE493" s="66">
        <v>6000</v>
      </c>
      <c r="AF493" s="66">
        <v>6000</v>
      </c>
      <c r="AG493" s="66">
        <v>6000</v>
      </c>
      <c r="AH493" s="66">
        <v>6000</v>
      </c>
      <c r="AJ493" s="191"/>
      <c r="AK493"/>
      <c r="AL493"/>
      <c r="AM493"/>
      <c r="AN493"/>
      <c r="AO493"/>
    </row>
    <row r="494" spans="1:41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244"/>
        <v>13298.77</v>
      </c>
      <c r="O494" s="66">
        <f t="shared" si="244"/>
        <v>7000</v>
      </c>
      <c r="P494" s="69">
        <f t="shared" si="218"/>
        <v>4432.9233333333332</v>
      </c>
      <c r="Q494" s="69">
        <f t="shared" si="218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G494" s="66">
        <v>3000</v>
      </c>
      <c r="AH494" s="66">
        <v>3000</v>
      </c>
      <c r="AJ494" s="191"/>
      <c r="AK494"/>
      <c r="AL494"/>
      <c r="AM494"/>
      <c r="AN494"/>
      <c r="AO494"/>
    </row>
    <row r="495" spans="1:41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244"/>
        <v>510268.35</v>
      </c>
      <c r="O495" s="66">
        <f t="shared" si="244"/>
        <v>437243.12</v>
      </c>
      <c r="P495" s="69">
        <f t="shared" si="218"/>
        <v>170089.44999999998</v>
      </c>
      <c r="Q495" s="69">
        <f t="shared" si="218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 t="shared" ref="AB495:AF495" si="245">ROUND(AB220*0.0386, 0)</f>
        <v>205031</v>
      </c>
      <c r="AC495" s="66">
        <f t="shared" si="245"/>
        <v>205031</v>
      </c>
      <c r="AD495" s="66">
        <f t="shared" si="245"/>
        <v>207550</v>
      </c>
      <c r="AE495" s="66">
        <f t="shared" si="245"/>
        <v>206778</v>
      </c>
      <c r="AF495" s="66">
        <f t="shared" si="245"/>
        <v>212691</v>
      </c>
      <c r="AG495" s="66">
        <f>ROUND(AG220*0.0386, 0)</f>
        <v>216120</v>
      </c>
      <c r="AH495" s="66">
        <f>ROUND(AH220*0.0386, 0)</f>
        <v>221717</v>
      </c>
      <c r="AI495" s="197"/>
      <c r="AJ495" s="193" t="s">
        <v>844</v>
      </c>
      <c r="AK495"/>
      <c r="AL495"/>
      <c r="AM495"/>
      <c r="AN495"/>
      <c r="AO495"/>
    </row>
    <row r="496" spans="1:41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244"/>
        <v>0</v>
      </c>
      <c r="O496" s="66">
        <f>ROUND(I496+K496+M496,5)</f>
        <v>1000</v>
      </c>
      <c r="P496" s="69">
        <f t="shared" si="218"/>
        <v>0</v>
      </c>
      <c r="Q496" s="69">
        <f t="shared" si="218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0</v>
      </c>
      <c r="AI496" s="197"/>
      <c r="AJ496" s="147"/>
      <c r="AK496"/>
      <c r="AL496"/>
      <c r="AM496"/>
      <c r="AN496"/>
      <c r="AO496"/>
    </row>
    <row r="497" spans="1:41" x14ac:dyDescent="0.35">
      <c r="A497" s="66"/>
      <c r="B497" s="66"/>
      <c r="C497" s="49"/>
      <c r="D497" s="49"/>
      <c r="E497" s="49"/>
      <c r="F497" s="49"/>
      <c r="G497" s="49"/>
      <c r="H497" s="63"/>
      <c r="I497" s="63"/>
      <c r="J497" s="64"/>
      <c r="K497" s="64"/>
      <c r="L497" s="65"/>
      <c r="M497" s="65"/>
      <c r="N497" s="66"/>
      <c r="O497" s="66"/>
      <c r="P497" s="69"/>
      <c r="Q497" s="69"/>
      <c r="R497" s="54"/>
      <c r="S497" s="49"/>
      <c r="T497" s="49"/>
      <c r="U497" s="49"/>
      <c r="V497" s="49"/>
      <c r="W497" s="49" t="s">
        <v>967</v>
      </c>
      <c r="X497" s="49"/>
      <c r="Y497" s="49"/>
      <c r="Z497" s="66"/>
      <c r="AA497" s="140"/>
      <c r="AB497" s="66"/>
      <c r="AC497" s="66"/>
      <c r="AD497" s="66"/>
      <c r="AE497" s="66"/>
      <c r="AF497" s="66"/>
      <c r="AG497" s="66"/>
      <c r="AH497" s="66"/>
      <c r="AI497" s="197"/>
      <c r="AJ497" s="147"/>
      <c r="AK497"/>
      <c r="AL497"/>
      <c r="AM497"/>
      <c r="AN497"/>
      <c r="AO497"/>
    </row>
    <row r="498" spans="1:41" ht="16" x14ac:dyDescent="0.35">
      <c r="A498" s="66"/>
      <c r="B498" s="66"/>
      <c r="C498" s="49"/>
      <c r="D498" s="49"/>
      <c r="E498" s="49" t="s">
        <v>493</v>
      </c>
      <c r="F498" s="49"/>
      <c r="G498" s="49"/>
      <c r="H498" s="63">
        <v>3322.5</v>
      </c>
      <c r="I498" s="63">
        <v>6000</v>
      </c>
      <c r="J498" s="64">
        <v>5750.2</v>
      </c>
      <c r="K498" s="64">
        <v>4000</v>
      </c>
      <c r="L498" s="65">
        <v>26568.75</v>
      </c>
      <c r="M498" s="65">
        <v>4000</v>
      </c>
      <c r="N498" s="66">
        <f t="shared" si="244"/>
        <v>35641.449999999997</v>
      </c>
      <c r="O498" s="66">
        <f t="shared" si="244"/>
        <v>14000</v>
      </c>
      <c r="P498" s="69">
        <f t="shared" si="218"/>
        <v>11880.483333333332</v>
      </c>
      <c r="Q498" s="69">
        <f t="shared" si="218"/>
        <v>4666.666666666667</v>
      </c>
      <c r="R498" s="54"/>
      <c r="S498" s="49"/>
      <c r="T498" s="49"/>
      <c r="U498" s="49"/>
      <c r="V498" s="49"/>
      <c r="W498" s="49" t="s">
        <v>493</v>
      </c>
      <c r="X498" s="49"/>
      <c r="Y498" s="49"/>
      <c r="Z498" s="66">
        <v>37500</v>
      </c>
      <c r="AA498" s="140"/>
      <c r="AB498" s="66">
        <v>24000</v>
      </c>
      <c r="AC498" s="66">
        <v>24000</v>
      </c>
      <c r="AD498" s="66">
        <v>24000</v>
      </c>
      <c r="AE498" s="66">
        <v>24000</v>
      </c>
      <c r="AF498" s="66">
        <v>24000</v>
      </c>
      <c r="AG498" s="66">
        <v>15000</v>
      </c>
      <c r="AH498" s="66">
        <v>15000</v>
      </c>
      <c r="AJ498" s="191"/>
      <c r="AK498"/>
      <c r="AL498"/>
      <c r="AM498"/>
      <c r="AN498"/>
      <c r="AO498"/>
    </row>
    <row r="499" spans="1:41" ht="16" x14ac:dyDescent="0.35">
      <c r="A499" s="66"/>
      <c r="B499" s="66"/>
      <c r="C499" s="49"/>
      <c r="D499" s="49"/>
      <c r="E499" s="49" t="s">
        <v>494</v>
      </c>
      <c r="F499" s="49"/>
      <c r="G499" s="49"/>
      <c r="H499" s="63">
        <v>2934</v>
      </c>
      <c r="I499" s="63">
        <v>5607</v>
      </c>
      <c r="J499" s="64">
        <v>0</v>
      </c>
      <c r="K499" s="64">
        <v>0</v>
      </c>
      <c r="L499" s="65">
        <v>0</v>
      </c>
      <c r="M499" s="65">
        <v>0</v>
      </c>
      <c r="N499" s="66">
        <f t="shared" si="244"/>
        <v>2934</v>
      </c>
      <c r="O499" s="66">
        <f t="shared" si="244"/>
        <v>5607</v>
      </c>
      <c r="P499" s="69">
        <f t="shared" si="218"/>
        <v>978</v>
      </c>
      <c r="Q499" s="69">
        <f t="shared" si="218"/>
        <v>1869</v>
      </c>
      <c r="R499" s="54"/>
      <c r="S499" s="49"/>
      <c r="T499" s="49"/>
      <c r="U499" s="49"/>
      <c r="V499" s="49"/>
      <c r="W499" s="49" t="s">
        <v>494</v>
      </c>
      <c r="X499" s="49"/>
      <c r="Y499" s="49"/>
      <c r="Z499" s="66">
        <v>0</v>
      </c>
      <c r="AA499" s="140"/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0</v>
      </c>
      <c r="AJ499" s="191"/>
      <c r="AK499"/>
      <c r="AL499"/>
      <c r="AM499"/>
      <c r="AN499"/>
      <c r="AO499"/>
    </row>
    <row r="500" spans="1:41" ht="29" x14ac:dyDescent="0.35">
      <c r="A500" s="66"/>
      <c r="B500" s="66"/>
      <c r="C500" s="49"/>
      <c r="D500" s="49"/>
      <c r="E500" s="49" t="s">
        <v>495</v>
      </c>
      <c r="F500" s="49"/>
      <c r="G500" s="49"/>
      <c r="H500" s="63">
        <v>74809.66</v>
      </c>
      <c r="I500" s="63">
        <v>105600</v>
      </c>
      <c r="J500" s="64">
        <v>52243.49</v>
      </c>
      <c r="K500" s="64">
        <v>53000</v>
      </c>
      <c r="L500" s="65">
        <v>51678.79</v>
      </c>
      <c r="M500" s="65">
        <v>70507</v>
      </c>
      <c r="N500" s="66">
        <f t="shared" si="244"/>
        <v>178731.94</v>
      </c>
      <c r="O500" s="66">
        <f t="shared" si="244"/>
        <v>229107</v>
      </c>
      <c r="P500" s="69">
        <f t="shared" si="218"/>
        <v>59577.313333333332</v>
      </c>
      <c r="Q500" s="69">
        <f t="shared" si="218"/>
        <v>76369</v>
      </c>
      <c r="R500" s="54"/>
      <c r="S500" s="49"/>
      <c r="T500" s="49"/>
      <c r="U500" s="49"/>
      <c r="V500" s="49"/>
      <c r="W500" s="49" t="s">
        <v>495</v>
      </c>
      <c r="X500" s="49"/>
      <c r="Y500" s="49"/>
      <c r="Z500" s="66">
        <v>74122.820000000007</v>
      </c>
      <c r="AA500" s="140"/>
      <c r="AB500" s="66">
        <v>109482.14</v>
      </c>
      <c r="AC500" s="66">
        <v>109482.14</v>
      </c>
      <c r="AD500" s="66">
        <v>109482.14</v>
      </c>
      <c r="AE500" s="66">
        <v>109482.14</v>
      </c>
      <c r="AF500" s="66">
        <f>ROUND(135482.14, 0)</f>
        <v>135482</v>
      </c>
      <c r="AG500" s="66">
        <f>ROUND(145282.14, 0)</f>
        <v>145282</v>
      </c>
      <c r="AH500" s="66">
        <v>121979.63</v>
      </c>
      <c r="AI500" s="206" t="s">
        <v>1000</v>
      </c>
      <c r="AJ500" s="147" t="s">
        <v>969</v>
      </c>
      <c r="AK500"/>
      <c r="AL500"/>
      <c r="AM500"/>
      <c r="AN500"/>
      <c r="AO500"/>
    </row>
    <row r="501" spans="1:41" ht="16" x14ac:dyDescent="0.35">
      <c r="A501" s="66"/>
      <c r="B501" s="66"/>
      <c r="C501" s="49"/>
      <c r="D501" s="49"/>
      <c r="E501" s="49" t="s">
        <v>496</v>
      </c>
      <c r="F501" s="49"/>
      <c r="G501" s="49"/>
      <c r="H501" s="63">
        <v>2727.19</v>
      </c>
      <c r="I501" s="63">
        <v>4500</v>
      </c>
      <c r="J501" s="64">
        <v>4935.63</v>
      </c>
      <c r="K501" s="64">
        <v>4500</v>
      </c>
      <c r="L501" s="65">
        <v>6253.02</v>
      </c>
      <c r="M501" s="65">
        <v>4025</v>
      </c>
      <c r="N501" s="66">
        <f t="shared" si="244"/>
        <v>13915.84</v>
      </c>
      <c r="O501" s="66">
        <f t="shared" si="244"/>
        <v>13025</v>
      </c>
      <c r="P501" s="69">
        <f t="shared" si="218"/>
        <v>4638.6133333333337</v>
      </c>
      <c r="Q501" s="69">
        <f t="shared" si="218"/>
        <v>4341.666666666667</v>
      </c>
      <c r="R501" s="54"/>
      <c r="S501" s="49"/>
      <c r="T501" s="49"/>
      <c r="U501" s="49"/>
      <c r="V501" s="49"/>
      <c r="W501" s="49" t="s">
        <v>496</v>
      </c>
      <c r="X501" s="49"/>
      <c r="Y501" s="49"/>
      <c r="Z501" s="66">
        <v>8352</v>
      </c>
      <c r="AA501" s="140"/>
      <c r="AB501" s="66">
        <v>4563</v>
      </c>
      <c r="AC501" s="66">
        <v>4563</v>
      </c>
      <c r="AD501" s="66">
        <v>4563</v>
      </c>
      <c r="AE501" s="66">
        <v>4563</v>
      </c>
      <c r="AF501" s="66">
        <v>4563</v>
      </c>
      <c r="AG501" s="66">
        <v>4563</v>
      </c>
      <c r="AH501" s="66">
        <v>4563</v>
      </c>
      <c r="AJ501" s="191"/>
      <c r="AK501"/>
      <c r="AL501"/>
      <c r="AM501"/>
      <c r="AN501"/>
      <c r="AO501"/>
    </row>
    <row r="502" spans="1:41" ht="16" x14ac:dyDescent="0.35">
      <c r="A502" s="66"/>
      <c r="B502" s="66"/>
      <c r="C502" s="49"/>
      <c r="D502" s="49"/>
      <c r="E502" s="49" t="s">
        <v>497</v>
      </c>
      <c r="F502" s="49"/>
      <c r="G502" s="49"/>
      <c r="H502" s="63">
        <v>3590</v>
      </c>
      <c r="I502" s="63">
        <v>4608</v>
      </c>
      <c r="J502" s="64">
        <v>3588</v>
      </c>
      <c r="K502" s="64">
        <v>3700</v>
      </c>
      <c r="L502" s="65">
        <v>689</v>
      </c>
      <c r="M502" s="65">
        <v>3600</v>
      </c>
      <c r="N502" s="66">
        <f t="shared" si="244"/>
        <v>7867</v>
      </c>
      <c r="O502" s="66">
        <f t="shared" si="244"/>
        <v>11908</v>
      </c>
      <c r="P502" s="69">
        <f t="shared" si="218"/>
        <v>2622.3333333333335</v>
      </c>
      <c r="Q502" s="69">
        <f t="shared" si="218"/>
        <v>3969.3333333333335</v>
      </c>
      <c r="R502" s="54"/>
      <c r="S502" s="49"/>
      <c r="T502" s="49"/>
      <c r="U502" s="49"/>
      <c r="V502" s="49"/>
      <c r="W502" s="49" t="s">
        <v>497</v>
      </c>
      <c r="X502" s="49"/>
      <c r="Y502" s="49"/>
      <c r="Z502" s="66">
        <v>2000</v>
      </c>
      <c r="AA502" s="140"/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0</v>
      </c>
      <c r="AJ502" s="191"/>
      <c r="AK502"/>
      <c r="AL502"/>
      <c r="AM502"/>
      <c r="AN502"/>
      <c r="AO502"/>
    </row>
    <row r="503" spans="1:41" ht="16" x14ac:dyDescent="0.35">
      <c r="A503" s="66"/>
      <c r="B503" s="66"/>
      <c r="C503" s="49"/>
      <c r="D503" s="49"/>
      <c r="E503" s="49" t="s">
        <v>498</v>
      </c>
      <c r="F503" s="49"/>
      <c r="G503" s="49"/>
      <c r="H503" s="63">
        <v>12597.17</v>
      </c>
      <c r="I503" s="63">
        <v>12766</v>
      </c>
      <c r="J503" s="64">
        <v>11637.22</v>
      </c>
      <c r="K503" s="64">
        <v>12771.48</v>
      </c>
      <c r="L503" s="65">
        <v>11300</v>
      </c>
      <c r="M503" s="65">
        <v>11832</v>
      </c>
      <c r="N503" s="66">
        <f t="shared" si="244"/>
        <v>35534.39</v>
      </c>
      <c r="O503" s="66">
        <f t="shared" si="244"/>
        <v>37369.480000000003</v>
      </c>
      <c r="P503" s="69">
        <f t="shared" si="218"/>
        <v>11844.796666666667</v>
      </c>
      <c r="Q503" s="69">
        <f t="shared" si="218"/>
        <v>12456.493333333334</v>
      </c>
      <c r="R503" s="54"/>
      <c r="S503" s="49"/>
      <c r="T503" s="49"/>
      <c r="U503" s="49"/>
      <c r="V503" s="49"/>
      <c r="W503" s="49" t="s">
        <v>498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G503" s="66">
        <v>11767.5</v>
      </c>
      <c r="AH503" s="66">
        <v>11767.5</v>
      </c>
      <c r="AJ503" s="191"/>
      <c r="AK503"/>
      <c r="AL503"/>
      <c r="AM503"/>
      <c r="AN503"/>
      <c r="AO503"/>
    </row>
    <row r="504" spans="1:41" ht="16" x14ac:dyDescent="0.35">
      <c r="A504" s="66"/>
      <c r="B504" s="66"/>
      <c r="C504" s="49"/>
      <c r="D504" s="49"/>
      <c r="E504" s="49" t="s">
        <v>499</v>
      </c>
      <c r="F504" s="49"/>
      <c r="G504" s="49"/>
      <c r="H504" s="63">
        <v>12597.14</v>
      </c>
      <c r="I504" s="63">
        <v>12766</v>
      </c>
      <c r="J504" s="64">
        <v>11637.22</v>
      </c>
      <c r="K504" s="64">
        <v>12771.35</v>
      </c>
      <c r="L504" s="65">
        <v>11300</v>
      </c>
      <c r="M504" s="65">
        <v>11832</v>
      </c>
      <c r="N504" s="66">
        <f t="shared" si="244"/>
        <v>35534.36</v>
      </c>
      <c r="O504" s="66">
        <f t="shared" si="244"/>
        <v>37369.35</v>
      </c>
      <c r="P504" s="69">
        <f t="shared" si="218"/>
        <v>11844.786666666667</v>
      </c>
      <c r="Q504" s="69">
        <f t="shared" si="218"/>
        <v>12456.449999999999</v>
      </c>
      <c r="R504" s="54"/>
      <c r="S504" s="49"/>
      <c r="T504" s="49"/>
      <c r="U504" s="49"/>
      <c r="V504" s="49"/>
      <c r="W504" s="49" t="s">
        <v>499</v>
      </c>
      <c r="X504" s="49"/>
      <c r="Y504" s="49"/>
      <c r="Z504" s="66">
        <v>12424</v>
      </c>
      <c r="AA504" s="140"/>
      <c r="AB504" s="66">
        <v>11767.5</v>
      </c>
      <c r="AC504" s="66">
        <v>11767.5</v>
      </c>
      <c r="AD504" s="66">
        <v>11767.5</v>
      </c>
      <c r="AE504" s="66">
        <v>11767.5</v>
      </c>
      <c r="AF504" s="66">
        <v>11767.5</v>
      </c>
      <c r="AG504" s="66">
        <v>11767.5</v>
      </c>
      <c r="AH504" s="66">
        <v>11767.5</v>
      </c>
      <c r="AJ504" s="191"/>
      <c r="AK504"/>
      <c r="AL504"/>
      <c r="AM504"/>
      <c r="AN504"/>
      <c r="AO504"/>
    </row>
    <row r="505" spans="1:41" ht="16" x14ac:dyDescent="0.35">
      <c r="A505" s="66"/>
      <c r="B505" s="66"/>
      <c r="C505" s="49"/>
      <c r="D505" s="49"/>
      <c r="E505" s="49" t="s">
        <v>500</v>
      </c>
      <c r="F505" s="49"/>
      <c r="G505" s="49"/>
      <c r="H505" s="63">
        <v>4694</v>
      </c>
      <c r="I505" s="63">
        <v>4807</v>
      </c>
      <c r="J505" s="64">
        <v>5020.5</v>
      </c>
      <c r="K505" s="64">
        <v>4700</v>
      </c>
      <c r="L505" s="65">
        <v>5177.16</v>
      </c>
      <c r="M505" s="65">
        <v>5244</v>
      </c>
      <c r="N505" s="66">
        <f t="shared" si="244"/>
        <v>14891.66</v>
      </c>
      <c r="O505" s="66">
        <f t="shared" si="244"/>
        <v>14751</v>
      </c>
      <c r="P505" s="69">
        <f t="shared" si="218"/>
        <v>4963.8866666666663</v>
      </c>
      <c r="Q505" s="69">
        <f t="shared" si="218"/>
        <v>4917</v>
      </c>
      <c r="R505" s="54"/>
      <c r="S505" s="49"/>
      <c r="T505" s="49"/>
      <c r="U505" s="49"/>
      <c r="V505" s="49"/>
      <c r="W505" s="49" t="s">
        <v>500</v>
      </c>
      <c r="X505" s="49"/>
      <c r="Y505" s="49"/>
      <c r="Z505" s="66">
        <v>5411</v>
      </c>
      <c r="AA505" s="140"/>
      <c r="AB505" s="66">
        <f t="shared" ref="AB505:AH505" si="246">ROUND(7535.85, 0)</f>
        <v>7536</v>
      </c>
      <c r="AC505" s="66">
        <f t="shared" si="246"/>
        <v>7536</v>
      </c>
      <c r="AD505" s="66">
        <f t="shared" si="246"/>
        <v>7536</v>
      </c>
      <c r="AE505" s="66">
        <f t="shared" si="246"/>
        <v>7536</v>
      </c>
      <c r="AF505" s="66">
        <f t="shared" si="246"/>
        <v>7536</v>
      </c>
      <c r="AG505" s="66">
        <f t="shared" si="246"/>
        <v>7536</v>
      </c>
      <c r="AH505" s="66">
        <f t="shared" si="246"/>
        <v>7536</v>
      </c>
      <c r="AJ505" s="191" t="s">
        <v>992</v>
      </c>
      <c r="AK505"/>
      <c r="AL505"/>
      <c r="AM505"/>
      <c r="AN505"/>
      <c r="AO505"/>
    </row>
    <row r="506" spans="1:41" ht="16" x14ac:dyDescent="0.35">
      <c r="A506" s="66"/>
      <c r="B506" s="66"/>
      <c r="C506" s="49"/>
      <c r="D506" s="49"/>
      <c r="E506" s="49" t="s">
        <v>501</v>
      </c>
      <c r="F506" s="49"/>
      <c r="G506" s="49"/>
      <c r="H506" s="63">
        <v>0</v>
      </c>
      <c r="I506" s="63">
        <v>0</v>
      </c>
      <c r="J506" s="64">
        <v>14469.34</v>
      </c>
      <c r="K506" s="64">
        <v>2000</v>
      </c>
      <c r="L506" s="65">
        <v>16282.95</v>
      </c>
      <c r="M506" s="65">
        <v>2000</v>
      </c>
      <c r="N506" s="66">
        <f t="shared" si="244"/>
        <v>30752.29</v>
      </c>
      <c r="O506" s="66">
        <f t="shared" si="244"/>
        <v>4000</v>
      </c>
      <c r="P506" s="69">
        <f t="shared" si="218"/>
        <v>10250.763333333334</v>
      </c>
      <c r="Q506" s="69">
        <f t="shared" si="218"/>
        <v>1333.3333333333333</v>
      </c>
      <c r="R506" s="54"/>
      <c r="S506" s="49"/>
      <c r="T506" s="49"/>
      <c r="U506" s="49"/>
      <c r="V506" s="49"/>
      <c r="W506" s="49" t="s">
        <v>501</v>
      </c>
      <c r="X506" s="49"/>
      <c r="Y506" s="49"/>
      <c r="Z506" s="66">
        <v>2000</v>
      </c>
      <c r="AA506" s="140"/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H506" s="66">
        <v>0</v>
      </c>
      <c r="AJ506" s="191"/>
      <c r="AK506"/>
      <c r="AL506"/>
      <c r="AM506"/>
      <c r="AN506"/>
      <c r="AO506"/>
    </row>
    <row r="507" spans="1:41" ht="29" x14ac:dyDescent="0.35">
      <c r="A507" s="66"/>
      <c r="B507" s="66"/>
      <c r="C507" s="49"/>
      <c r="D507" s="49"/>
      <c r="E507" s="49" t="s">
        <v>502</v>
      </c>
      <c r="F507" s="49"/>
      <c r="G507" s="49"/>
      <c r="H507" s="63">
        <v>15158.69</v>
      </c>
      <c r="I507" s="63">
        <v>50000</v>
      </c>
      <c r="J507" s="64">
        <v>5299.22</v>
      </c>
      <c r="K507" s="64">
        <v>10000</v>
      </c>
      <c r="L507" s="65">
        <v>10963.76</v>
      </c>
      <c r="M507" s="65">
        <v>45000</v>
      </c>
      <c r="N507" s="66">
        <f t="shared" si="244"/>
        <v>31421.67</v>
      </c>
      <c r="O507" s="66">
        <f t="shared" si="244"/>
        <v>105000</v>
      </c>
      <c r="P507" s="69">
        <f t="shared" si="218"/>
        <v>10473.89</v>
      </c>
      <c r="Q507" s="69">
        <f t="shared" si="218"/>
        <v>35000</v>
      </c>
      <c r="R507" s="54"/>
      <c r="S507" s="49"/>
      <c r="T507" s="49"/>
      <c r="U507" s="49"/>
      <c r="V507" s="49"/>
      <c r="W507" s="49" t="s">
        <v>502</v>
      </c>
      <c r="X507" s="49"/>
      <c r="Y507" s="49"/>
      <c r="Z507" s="66">
        <v>20000</v>
      </c>
      <c r="AA507" s="140"/>
      <c r="AB507" s="66">
        <v>20000</v>
      </c>
      <c r="AC507" s="66">
        <v>10000</v>
      </c>
      <c r="AD507" s="66">
        <v>10000</v>
      </c>
      <c r="AE507" s="66">
        <v>10000</v>
      </c>
      <c r="AF507" s="66">
        <v>20000</v>
      </c>
      <c r="AG507" s="66">
        <f>20000+5000</f>
        <v>25000</v>
      </c>
      <c r="AH507" s="66">
        <f>20000+5000</f>
        <v>25000</v>
      </c>
      <c r="AI507" s="206" t="s">
        <v>1000</v>
      </c>
      <c r="AJ507" s="110" t="s">
        <v>966</v>
      </c>
      <c r="AK507"/>
      <c r="AL507"/>
      <c r="AM507"/>
      <c r="AN507"/>
      <c r="AO507"/>
    </row>
    <row r="508" spans="1:41" x14ac:dyDescent="0.35">
      <c r="A508" s="66"/>
      <c r="B508" s="66"/>
      <c r="C508" s="49"/>
      <c r="D508" s="49"/>
      <c r="E508" s="49" t="s">
        <v>503</v>
      </c>
      <c r="F508" s="49"/>
      <c r="G508" s="49"/>
      <c r="H508" s="63">
        <v>1942.71</v>
      </c>
      <c r="I508" s="63">
        <v>0</v>
      </c>
      <c r="J508" s="64">
        <v>1701.44</v>
      </c>
      <c r="K508" s="64">
        <v>1500</v>
      </c>
      <c r="L508" s="65">
        <v>1553.27</v>
      </c>
      <c r="M508" s="65">
        <v>1650</v>
      </c>
      <c r="N508" s="66">
        <f t="shared" si="244"/>
        <v>5197.42</v>
      </c>
      <c r="O508" s="66">
        <f t="shared" si="244"/>
        <v>3150</v>
      </c>
      <c r="P508" s="69">
        <f t="shared" si="218"/>
        <v>1732.4733333333334</v>
      </c>
      <c r="Q508" s="69">
        <f t="shared" si="218"/>
        <v>1050</v>
      </c>
      <c r="R508" s="54"/>
      <c r="S508" s="49"/>
      <c r="T508" s="49"/>
      <c r="U508" s="49"/>
      <c r="V508" s="49"/>
      <c r="W508" s="49" t="s">
        <v>503</v>
      </c>
      <c r="X508" s="49"/>
      <c r="Y508" s="49"/>
      <c r="Z508" s="66">
        <v>1650</v>
      </c>
      <c r="AA508" s="140"/>
      <c r="AB508" s="66">
        <v>1600</v>
      </c>
      <c r="AC508" s="66">
        <v>1600</v>
      </c>
      <c r="AD508" s="66">
        <v>1600</v>
      </c>
      <c r="AE508" s="66">
        <v>1600</v>
      </c>
      <c r="AF508" s="66">
        <v>1600</v>
      </c>
      <c r="AG508" s="66">
        <v>1600</v>
      </c>
      <c r="AH508" s="66">
        <v>1600</v>
      </c>
      <c r="AK508"/>
      <c r="AL508"/>
      <c r="AM508"/>
      <c r="AN508"/>
      <c r="AO508"/>
    </row>
    <row r="509" spans="1:41" x14ac:dyDescent="0.35">
      <c r="A509" s="66"/>
      <c r="B509" s="66"/>
      <c r="C509" s="49"/>
      <c r="D509" s="49"/>
      <c r="E509" s="49" t="s">
        <v>504</v>
      </c>
      <c r="F509" s="49"/>
      <c r="G509" s="49"/>
      <c r="H509" s="63">
        <v>43056.86</v>
      </c>
      <c r="I509" s="63">
        <v>43200</v>
      </c>
      <c r="J509" s="64">
        <v>49577.21</v>
      </c>
      <c r="K509" s="64">
        <v>40000</v>
      </c>
      <c r="L509" s="65">
        <v>49198.66</v>
      </c>
      <c r="M509" s="65">
        <v>43000</v>
      </c>
      <c r="N509" s="66">
        <f t="shared" si="244"/>
        <v>141832.73000000001</v>
      </c>
      <c r="O509" s="66">
        <f t="shared" si="244"/>
        <v>126200</v>
      </c>
      <c r="P509" s="69">
        <f t="shared" si="218"/>
        <v>47277.576666666668</v>
      </c>
      <c r="Q509" s="69">
        <f t="shared" si="218"/>
        <v>42066.666666666664</v>
      </c>
      <c r="R509" s="54"/>
      <c r="S509" s="49"/>
      <c r="T509" s="49"/>
      <c r="U509" s="49"/>
      <c r="V509" s="49"/>
      <c r="W509" s="49" t="s">
        <v>504</v>
      </c>
      <c r="X509" s="49"/>
      <c r="Y509" s="49"/>
      <c r="Z509" s="66">
        <v>53400</v>
      </c>
      <c r="AA509" s="140"/>
      <c r="AB509" s="66">
        <v>50400</v>
      </c>
      <c r="AC509" s="66">
        <v>50400</v>
      </c>
      <c r="AD509" s="66">
        <v>50400</v>
      </c>
      <c r="AE509" s="66">
        <v>50400</v>
      </c>
      <c r="AF509" s="66">
        <v>50400</v>
      </c>
      <c r="AG509" s="66">
        <v>50400</v>
      </c>
      <c r="AH509" s="66">
        <v>50400</v>
      </c>
      <c r="AJ509" s="182"/>
      <c r="AK509"/>
      <c r="AL509"/>
      <c r="AM509"/>
      <c r="AN509"/>
      <c r="AO509"/>
    </row>
    <row r="510" spans="1:41" x14ac:dyDescent="0.35">
      <c r="A510" s="66"/>
      <c r="B510" s="66"/>
      <c r="C510" s="49"/>
      <c r="D510" s="49"/>
      <c r="E510" s="49" t="s">
        <v>505</v>
      </c>
      <c r="F510" s="49"/>
      <c r="G510" s="49"/>
      <c r="H510" s="63">
        <v>29693.03</v>
      </c>
      <c r="I510" s="63">
        <v>25200</v>
      </c>
      <c r="J510" s="64">
        <v>29633.54</v>
      </c>
      <c r="K510" s="64">
        <v>26000</v>
      </c>
      <c r="L510" s="65">
        <v>30299.87</v>
      </c>
      <c r="M510" s="65">
        <v>30000</v>
      </c>
      <c r="N510" s="66">
        <f t="shared" si="244"/>
        <v>89626.44</v>
      </c>
      <c r="O510" s="66">
        <f t="shared" si="244"/>
        <v>81200</v>
      </c>
      <c r="P510" s="69">
        <f t="shared" ref="P510:Q571" si="247">N510/3</f>
        <v>29875.48</v>
      </c>
      <c r="Q510" s="69">
        <f t="shared" si="247"/>
        <v>27066.666666666668</v>
      </c>
      <c r="R510" s="54"/>
      <c r="S510" s="49"/>
      <c r="T510" s="49"/>
      <c r="U510" s="49"/>
      <c r="V510" s="49"/>
      <c r="W510" s="49" t="s">
        <v>505</v>
      </c>
      <c r="X510" s="49"/>
      <c r="Y510" s="49"/>
      <c r="Z510" s="66">
        <v>32964</v>
      </c>
      <c r="AA510" s="140"/>
      <c r="AB510" s="66">
        <v>29886</v>
      </c>
      <c r="AC510" s="66">
        <v>29886</v>
      </c>
      <c r="AD510" s="66">
        <v>29886</v>
      </c>
      <c r="AE510" s="66">
        <v>29886</v>
      </c>
      <c r="AF510" s="66">
        <v>29886</v>
      </c>
      <c r="AG510" s="66">
        <v>31436</v>
      </c>
      <c r="AH510" s="66">
        <v>31436</v>
      </c>
      <c r="AJ510" s="190"/>
      <c r="AK510"/>
      <c r="AL510"/>
      <c r="AM510"/>
      <c r="AN510"/>
      <c r="AO510"/>
    </row>
    <row r="511" spans="1:41" x14ac:dyDescent="0.35">
      <c r="A511" s="66"/>
      <c r="B511" s="66"/>
      <c r="C511" s="49"/>
      <c r="D511" s="49"/>
      <c r="E511" s="49" t="s">
        <v>506</v>
      </c>
      <c r="F511" s="49"/>
      <c r="G511" s="49"/>
      <c r="H511" s="63">
        <v>0</v>
      </c>
      <c r="I511" s="63">
        <v>700</v>
      </c>
      <c r="J511" s="64">
        <v>0</v>
      </c>
      <c r="K511" s="64">
        <v>500</v>
      </c>
      <c r="L511" s="65">
        <v>0</v>
      </c>
      <c r="M511" s="65">
        <v>575</v>
      </c>
      <c r="N511" s="66">
        <f t="shared" si="244"/>
        <v>0</v>
      </c>
      <c r="O511" s="66">
        <f t="shared" si="244"/>
        <v>1775</v>
      </c>
      <c r="P511" s="69">
        <f t="shared" si="247"/>
        <v>0</v>
      </c>
      <c r="Q511" s="69">
        <f t="shared" si="247"/>
        <v>591.66666666666663</v>
      </c>
      <c r="R511" s="54"/>
      <c r="S511" s="49"/>
      <c r="T511" s="49"/>
      <c r="U511" s="49"/>
      <c r="V511" s="49"/>
      <c r="W511" s="49" t="s">
        <v>506</v>
      </c>
      <c r="X511" s="49"/>
      <c r="Y511" s="49"/>
      <c r="Z511" s="66">
        <v>700</v>
      </c>
      <c r="AA511" s="140"/>
      <c r="AB511" s="66">
        <v>700</v>
      </c>
      <c r="AC511" s="66">
        <v>700</v>
      </c>
      <c r="AD511" s="66">
        <v>700</v>
      </c>
      <c r="AE511" s="66">
        <v>700</v>
      </c>
      <c r="AF511" s="66">
        <v>700</v>
      </c>
      <c r="AG511" s="66">
        <v>700</v>
      </c>
      <c r="AH511" s="66">
        <v>700</v>
      </c>
      <c r="AK511"/>
      <c r="AL511"/>
      <c r="AM511"/>
      <c r="AN511"/>
      <c r="AO511"/>
    </row>
    <row r="512" spans="1:41" x14ac:dyDescent="0.35">
      <c r="A512" s="66"/>
      <c r="B512" s="66"/>
      <c r="C512" s="49"/>
      <c r="D512" s="49"/>
      <c r="E512" s="49" t="s">
        <v>507</v>
      </c>
      <c r="F512" s="49"/>
      <c r="G512" s="49"/>
      <c r="H512" s="63">
        <v>11143.42</v>
      </c>
      <c r="I512" s="63">
        <v>11688</v>
      </c>
      <c r="J512" s="64">
        <v>11624.25</v>
      </c>
      <c r="K512" s="64">
        <v>10368</v>
      </c>
      <c r="L512" s="65">
        <v>11804</v>
      </c>
      <c r="M512" s="65">
        <v>11238</v>
      </c>
      <c r="N512" s="66">
        <f t="shared" si="244"/>
        <v>34571.67</v>
      </c>
      <c r="O512" s="66">
        <f t="shared" si="244"/>
        <v>33294</v>
      </c>
      <c r="P512" s="69">
        <f t="shared" si="247"/>
        <v>11523.89</v>
      </c>
      <c r="Q512" s="69">
        <f t="shared" si="247"/>
        <v>11098</v>
      </c>
      <c r="R512" s="54"/>
      <c r="S512" s="49"/>
      <c r="T512" s="49"/>
      <c r="U512" s="49"/>
      <c r="V512" s="49"/>
      <c r="W512" s="49" t="s">
        <v>507</v>
      </c>
      <c r="X512" s="49"/>
      <c r="Y512" s="49"/>
      <c r="Z512" s="66">
        <v>10173</v>
      </c>
      <c r="AA512" s="140"/>
      <c r="AB512" s="66">
        <v>13488</v>
      </c>
      <c r="AC512" s="66">
        <v>13488</v>
      </c>
      <c r="AD512" s="66">
        <v>13488</v>
      </c>
      <c r="AE512" s="66">
        <v>13488</v>
      </c>
      <c r="AF512" s="66">
        <v>13488</v>
      </c>
      <c r="AG512" s="66">
        <v>13000</v>
      </c>
      <c r="AH512" s="66">
        <v>13000</v>
      </c>
      <c r="AK512"/>
      <c r="AL512"/>
      <c r="AM512"/>
      <c r="AN512"/>
      <c r="AO512"/>
    </row>
    <row r="513" spans="1:41" ht="16" x14ac:dyDescent="0.35">
      <c r="A513" s="66"/>
      <c r="B513" s="66"/>
      <c r="C513" s="49"/>
      <c r="D513" s="49"/>
      <c r="E513" s="49" t="s">
        <v>508</v>
      </c>
      <c r="F513" s="49"/>
      <c r="G513" s="49"/>
      <c r="H513" s="63">
        <v>23426.28</v>
      </c>
      <c r="I513" s="63">
        <v>12424</v>
      </c>
      <c r="J513" s="64">
        <v>25016.84</v>
      </c>
      <c r="K513" s="64">
        <v>23200</v>
      </c>
      <c r="L513" s="65">
        <v>28552.11</v>
      </c>
      <c r="M513" s="65">
        <v>26073</v>
      </c>
      <c r="N513" s="66">
        <f t="shared" si="244"/>
        <v>76995.23</v>
      </c>
      <c r="O513" s="66">
        <f t="shared" si="244"/>
        <v>61697</v>
      </c>
      <c r="P513" s="69">
        <f t="shared" si="247"/>
        <v>25665.076666666664</v>
      </c>
      <c r="Q513" s="69">
        <f t="shared" si="247"/>
        <v>20565.666666666668</v>
      </c>
      <c r="R513" s="54"/>
      <c r="S513" s="49"/>
      <c r="T513" s="49"/>
      <c r="U513" s="49"/>
      <c r="V513" s="49"/>
      <c r="W513" s="49" t="s">
        <v>508</v>
      </c>
      <c r="X513" s="49"/>
      <c r="Y513" s="49"/>
      <c r="Z513" s="66">
        <v>29969</v>
      </c>
      <c r="AA513" s="140"/>
      <c r="AB513" s="66">
        <v>0</v>
      </c>
      <c r="AC513" s="66">
        <v>0</v>
      </c>
      <c r="AD513" s="66">
        <v>0</v>
      </c>
      <c r="AE513" s="66">
        <v>0</v>
      </c>
      <c r="AF513" s="66">
        <v>0</v>
      </c>
      <c r="AG513" s="66">
        <v>31650</v>
      </c>
      <c r="AH513" s="66">
        <v>31650</v>
      </c>
      <c r="AI513" s="206" t="s">
        <v>1000</v>
      </c>
      <c r="AJ513" s="110" t="s">
        <v>847</v>
      </c>
      <c r="AK513"/>
      <c r="AL513"/>
      <c r="AM513"/>
      <c r="AN513"/>
      <c r="AO513"/>
    </row>
    <row r="514" spans="1:41" ht="16" x14ac:dyDescent="0.35">
      <c r="A514" s="66"/>
      <c r="B514" s="66"/>
      <c r="C514" s="49"/>
      <c r="D514" s="49"/>
      <c r="E514" s="49" t="s">
        <v>509</v>
      </c>
      <c r="F514" s="49"/>
      <c r="G514" s="49"/>
      <c r="H514" s="63">
        <v>32596.51</v>
      </c>
      <c r="I514" s="63">
        <v>32227.24</v>
      </c>
      <c r="J514" s="64">
        <v>35370.050000000003</v>
      </c>
      <c r="K514" s="64">
        <v>32800</v>
      </c>
      <c r="L514" s="65">
        <v>38961.4</v>
      </c>
      <c r="M514" s="65">
        <v>35599</v>
      </c>
      <c r="N514" s="66">
        <f t="shared" si="244"/>
        <v>106927.96</v>
      </c>
      <c r="O514" s="66">
        <f t="shared" si="244"/>
        <v>100626.24000000001</v>
      </c>
      <c r="P514" s="69">
        <f t="shared" si="247"/>
        <v>35642.653333333335</v>
      </c>
      <c r="Q514" s="69">
        <f t="shared" si="247"/>
        <v>33542.080000000002</v>
      </c>
      <c r="R514" s="54"/>
      <c r="S514" s="49"/>
      <c r="T514" s="49"/>
      <c r="U514" s="49"/>
      <c r="V514" s="49"/>
      <c r="W514" s="49" t="s">
        <v>509</v>
      </c>
      <c r="X514" s="49"/>
      <c r="Y514" s="49"/>
      <c r="Z514" s="66">
        <v>50578</v>
      </c>
      <c r="AA514" s="140"/>
      <c r="AB514" s="66">
        <v>49805</v>
      </c>
      <c r="AC514" s="66">
        <v>49805</v>
      </c>
      <c r="AD514" s="66">
        <v>49805</v>
      </c>
      <c r="AE514" s="66">
        <v>49805</v>
      </c>
      <c r="AF514" s="66">
        <v>49805</v>
      </c>
      <c r="AG514" s="66">
        <f>ROUND(55578.03, -2)</f>
        <v>55600</v>
      </c>
      <c r="AH514" s="66">
        <f>ROUND(55578.03, -2)</f>
        <v>55600</v>
      </c>
      <c r="AI514" s="206" t="s">
        <v>1000</v>
      </c>
      <c r="AJ514" s="110" t="s">
        <v>980</v>
      </c>
      <c r="AK514"/>
      <c r="AL514"/>
      <c r="AM514"/>
      <c r="AN514"/>
      <c r="AO514"/>
    </row>
    <row r="515" spans="1:41" x14ac:dyDescent="0.35">
      <c r="A515" s="66"/>
      <c r="B515" s="66"/>
      <c r="C515" s="49"/>
      <c r="D515" s="49"/>
      <c r="E515" s="49" t="s">
        <v>510</v>
      </c>
      <c r="F515" s="49"/>
      <c r="G515" s="49"/>
      <c r="H515" s="63"/>
      <c r="I515" s="63"/>
      <c r="J515" s="64"/>
      <c r="K515" s="64"/>
      <c r="L515" s="65"/>
      <c r="M515" s="65"/>
      <c r="N515" s="66"/>
      <c r="O515" s="66"/>
      <c r="P515" s="69"/>
      <c r="Q515" s="69"/>
      <c r="R515" s="54"/>
      <c r="S515" s="49"/>
      <c r="T515" s="49"/>
      <c r="U515" s="49"/>
      <c r="V515" s="49"/>
      <c r="W515" s="49" t="s">
        <v>510</v>
      </c>
      <c r="X515" s="49"/>
      <c r="Y515" s="49"/>
      <c r="Z515" s="66"/>
      <c r="AA515" s="140"/>
      <c r="AB515" s="66"/>
      <c r="AC515" s="66"/>
      <c r="AD515" s="66"/>
      <c r="AE515" s="66"/>
      <c r="AF515" s="66"/>
      <c r="AK515"/>
      <c r="AL515"/>
      <c r="AM515"/>
      <c r="AN515"/>
      <c r="AO515"/>
    </row>
    <row r="516" spans="1:41" x14ac:dyDescent="0.35">
      <c r="A516" s="66"/>
      <c r="B516" s="66"/>
      <c r="C516" s="49"/>
      <c r="D516" s="49"/>
      <c r="E516" s="49"/>
      <c r="F516" s="49" t="s">
        <v>511</v>
      </c>
      <c r="G516" s="49"/>
      <c r="H516" s="63">
        <v>8700</v>
      </c>
      <c r="I516" s="63">
        <v>15000</v>
      </c>
      <c r="J516" s="64">
        <v>24061</v>
      </c>
      <c r="K516" s="64">
        <v>25000</v>
      </c>
      <c r="L516" s="65">
        <v>24976</v>
      </c>
      <c r="M516" s="65">
        <v>25000</v>
      </c>
      <c r="N516" s="66">
        <f t="shared" ref="N516:O532" si="248">ROUND(H516+J516+L516,5)</f>
        <v>57737</v>
      </c>
      <c r="O516" s="66">
        <f t="shared" si="248"/>
        <v>65000</v>
      </c>
      <c r="P516" s="69">
        <f t="shared" si="247"/>
        <v>19245.666666666668</v>
      </c>
      <c r="Q516" s="69">
        <f t="shared" si="247"/>
        <v>21666.666666666668</v>
      </c>
      <c r="R516" s="54"/>
      <c r="S516" s="49"/>
      <c r="T516" s="49"/>
      <c r="U516" s="49"/>
      <c r="V516" s="49"/>
      <c r="W516" s="49"/>
      <c r="X516" s="49" t="s">
        <v>511</v>
      </c>
      <c r="Y516" s="49"/>
      <c r="Z516" s="66">
        <v>25000</v>
      </c>
      <c r="AA516" s="140"/>
      <c r="AB516" s="66">
        <v>25000</v>
      </c>
      <c r="AC516" s="66">
        <v>20000</v>
      </c>
      <c r="AD516" s="66">
        <v>20000</v>
      </c>
      <c r="AE516" s="66">
        <v>20000</v>
      </c>
      <c r="AF516" s="66">
        <v>25000</v>
      </c>
      <c r="AG516" s="66">
        <v>25000</v>
      </c>
      <c r="AH516" s="66">
        <v>25000</v>
      </c>
      <c r="AK516"/>
      <c r="AL516"/>
      <c r="AM516"/>
      <c r="AN516"/>
      <c r="AO516"/>
    </row>
    <row r="517" spans="1:41" ht="29" x14ac:dyDescent="0.35">
      <c r="A517" s="66"/>
      <c r="B517" s="66"/>
      <c r="C517" s="49"/>
      <c r="D517" s="49"/>
      <c r="E517" s="49"/>
      <c r="F517" s="49" t="s">
        <v>512</v>
      </c>
      <c r="G517" s="49"/>
      <c r="H517" s="63">
        <v>968.76</v>
      </c>
      <c r="I517" s="63">
        <v>40000</v>
      </c>
      <c r="J517" s="64">
        <v>11604.98</v>
      </c>
      <c r="K517" s="64">
        <v>18000</v>
      </c>
      <c r="L517" s="65">
        <v>9768.11</v>
      </c>
      <c r="M517" s="65">
        <v>30000</v>
      </c>
      <c r="N517" s="66">
        <f t="shared" si="248"/>
        <v>22341.85</v>
      </c>
      <c r="O517" s="66">
        <f t="shared" si="248"/>
        <v>88000</v>
      </c>
      <c r="P517" s="69">
        <f t="shared" si="247"/>
        <v>7447.2833333333328</v>
      </c>
      <c r="Q517" s="69">
        <f t="shared" si="247"/>
        <v>29333.333333333332</v>
      </c>
      <c r="R517" s="54"/>
      <c r="S517" s="49"/>
      <c r="T517" s="49"/>
      <c r="U517" s="49"/>
      <c r="V517" s="49"/>
      <c r="W517" s="49"/>
      <c r="X517" s="49" t="s">
        <v>512</v>
      </c>
      <c r="Y517" s="49"/>
      <c r="Z517" s="66">
        <v>35000</v>
      </c>
      <c r="AA517" s="140"/>
      <c r="AB517" s="66">
        <v>20000</v>
      </c>
      <c r="AC517" s="66">
        <v>15000</v>
      </c>
      <c r="AD517" s="66">
        <v>15000</v>
      </c>
      <c r="AE517" s="66">
        <v>15000</v>
      </c>
      <c r="AF517" s="66">
        <v>20000</v>
      </c>
      <c r="AG517" s="66">
        <f>20000+3500</f>
        <v>23500</v>
      </c>
      <c r="AH517" s="66">
        <f>20000+3500</f>
        <v>23500</v>
      </c>
      <c r="AI517" s="206" t="s">
        <v>1000</v>
      </c>
      <c r="AJ517" s="110" t="s">
        <v>968</v>
      </c>
      <c r="AK517"/>
      <c r="AL517"/>
      <c r="AM517"/>
      <c r="AN517"/>
      <c r="AO517"/>
    </row>
    <row r="518" spans="1:41" ht="16.5" thickBot="1" x14ac:dyDescent="0.4">
      <c r="A518" s="66"/>
      <c r="B518" s="66"/>
      <c r="C518" s="49"/>
      <c r="D518" s="49"/>
      <c r="E518" s="49"/>
      <c r="F518" s="49" t="s">
        <v>513</v>
      </c>
      <c r="G518" s="49"/>
      <c r="H518" s="70">
        <v>18640.98</v>
      </c>
      <c r="I518" s="70">
        <v>20000</v>
      </c>
      <c r="J518" s="71">
        <v>34056.79</v>
      </c>
      <c r="K518" s="71">
        <v>15000</v>
      </c>
      <c r="L518" s="72">
        <v>41936.720000000001</v>
      </c>
      <c r="M518" s="72">
        <v>20000</v>
      </c>
      <c r="N518" s="73">
        <f t="shared" si="248"/>
        <v>94634.49</v>
      </c>
      <c r="O518" s="73">
        <f t="shared" si="248"/>
        <v>55000</v>
      </c>
      <c r="P518" s="74">
        <f t="shared" si="247"/>
        <v>31544.83</v>
      </c>
      <c r="Q518" s="74">
        <f t="shared" si="247"/>
        <v>18333.333333333332</v>
      </c>
      <c r="R518" s="54"/>
      <c r="S518" s="49"/>
      <c r="T518" s="49"/>
      <c r="U518" s="49"/>
      <c r="V518" s="49"/>
      <c r="W518" s="49"/>
      <c r="X518" s="49" t="s">
        <v>513</v>
      </c>
      <c r="Y518" s="49"/>
      <c r="Z518" s="66">
        <v>30000</v>
      </c>
      <c r="AA518" s="140"/>
      <c r="AB518" s="66">
        <v>35000</v>
      </c>
      <c r="AC518" s="66">
        <v>30000</v>
      </c>
      <c r="AD518" s="66">
        <v>30000</v>
      </c>
      <c r="AE518" s="66">
        <v>30000</v>
      </c>
      <c r="AF518" s="66">
        <v>35000</v>
      </c>
      <c r="AG518" s="66">
        <f>35000+7000</f>
        <v>42000</v>
      </c>
      <c r="AH518" s="66">
        <f>35000+7000</f>
        <v>42000</v>
      </c>
      <c r="AI518" s="206" t="s">
        <v>1000</v>
      </c>
      <c r="AJ518" s="110" t="s">
        <v>982</v>
      </c>
      <c r="AK518"/>
      <c r="AL518"/>
      <c r="AM518"/>
      <c r="AN518"/>
      <c r="AO518"/>
    </row>
    <row r="519" spans="1:41" ht="16.5" thickBot="1" x14ac:dyDescent="0.4">
      <c r="A519" s="66"/>
      <c r="B519" s="66"/>
      <c r="C519" s="49"/>
      <c r="D519" s="49"/>
      <c r="E519" s="49"/>
      <c r="F519" s="49"/>
      <c r="G519" s="49"/>
      <c r="H519" s="63"/>
      <c r="I519" s="63"/>
      <c r="J519" s="64"/>
      <c r="K519" s="64"/>
      <c r="L519" s="65"/>
      <c r="M519" s="65"/>
      <c r="N519" s="66"/>
      <c r="O519" s="66"/>
      <c r="P519" s="69"/>
      <c r="Q519" s="69"/>
      <c r="R519" s="54"/>
      <c r="S519" s="49"/>
      <c r="T519" s="49"/>
      <c r="U519" s="49"/>
      <c r="V519" s="49"/>
      <c r="W519" s="49"/>
      <c r="X519" s="49" t="s">
        <v>986</v>
      </c>
      <c r="Y519" s="49"/>
      <c r="Z519" s="73">
        <v>0</v>
      </c>
      <c r="AA519" s="140"/>
      <c r="AB519" s="73">
        <v>0</v>
      </c>
      <c r="AC519" s="73">
        <v>0</v>
      </c>
      <c r="AD519" s="73">
        <v>0</v>
      </c>
      <c r="AE519" s="73">
        <v>0</v>
      </c>
      <c r="AF519" s="73">
        <v>0</v>
      </c>
      <c r="AG519" s="73">
        <v>10000</v>
      </c>
      <c r="AH519" s="73">
        <v>10000</v>
      </c>
      <c r="AI519" s="206" t="s">
        <v>1000</v>
      </c>
      <c r="AJ519" s="110" t="s">
        <v>981</v>
      </c>
      <c r="AK519"/>
      <c r="AL519"/>
      <c r="AM519"/>
      <c r="AN519"/>
      <c r="AO519"/>
    </row>
    <row r="520" spans="1:41" x14ac:dyDescent="0.35">
      <c r="A520" s="66"/>
      <c r="B520" s="66"/>
      <c r="C520" s="49"/>
      <c r="D520" s="49"/>
      <c r="E520" s="49" t="s">
        <v>514</v>
      </c>
      <c r="F520" s="49"/>
      <c r="G520" s="49"/>
      <c r="H520" s="63">
        <f t="shared" ref="H520:M520" si="249">ROUND(SUM(H515:H518),5)</f>
        <v>28309.74</v>
      </c>
      <c r="I520" s="63">
        <f t="shared" si="249"/>
        <v>75000</v>
      </c>
      <c r="J520" s="64">
        <f t="shared" si="249"/>
        <v>69722.77</v>
      </c>
      <c r="K520" s="64">
        <f t="shared" si="249"/>
        <v>58000</v>
      </c>
      <c r="L520" s="65">
        <f t="shared" si="249"/>
        <v>76680.83</v>
      </c>
      <c r="M520" s="65">
        <f t="shared" si="249"/>
        <v>75000</v>
      </c>
      <c r="N520" s="66">
        <f t="shared" si="248"/>
        <v>174713.34</v>
      </c>
      <c r="O520" s="66">
        <f t="shared" si="248"/>
        <v>208000</v>
      </c>
      <c r="P520" s="69">
        <f t="shared" si="247"/>
        <v>58237.78</v>
      </c>
      <c r="Q520" s="69">
        <f t="shared" si="247"/>
        <v>69333.333333333328</v>
      </c>
      <c r="R520" s="54"/>
      <c r="S520" s="49"/>
      <c r="T520" s="49"/>
      <c r="U520" s="49"/>
      <c r="V520" s="49"/>
      <c r="W520" s="49" t="s">
        <v>514</v>
      </c>
      <c r="X520" s="49"/>
      <c r="Y520" s="49"/>
      <c r="Z520" s="66">
        <f>ROUND(SUM(Z515:Z518),5)</f>
        <v>90000</v>
      </c>
      <c r="AA520" s="140"/>
      <c r="AB520" s="66">
        <f t="shared" ref="AB520:AF520" si="250">ROUND(SUM(AB515:AB519),5)</f>
        <v>80000</v>
      </c>
      <c r="AC520" s="66">
        <f t="shared" si="250"/>
        <v>65000</v>
      </c>
      <c r="AD520" s="66">
        <f t="shared" si="250"/>
        <v>65000</v>
      </c>
      <c r="AE520" s="66">
        <f t="shared" si="250"/>
        <v>65000</v>
      </c>
      <c r="AF520" s="66">
        <f t="shared" si="250"/>
        <v>80000</v>
      </c>
      <c r="AG520" s="66">
        <f>ROUND(SUM(AG516:AG519),5)</f>
        <v>100500</v>
      </c>
      <c r="AH520" s="66">
        <f>ROUND(SUM(AH516:AH519),5)</f>
        <v>100500</v>
      </c>
      <c r="AK520"/>
      <c r="AL520"/>
      <c r="AM520"/>
      <c r="AN520"/>
      <c r="AO520"/>
    </row>
    <row r="521" spans="1:41" x14ac:dyDescent="0.35">
      <c r="A521" s="66"/>
      <c r="B521" s="66"/>
      <c r="C521" s="49"/>
      <c r="D521" s="49"/>
      <c r="E521" s="49" t="s">
        <v>515</v>
      </c>
      <c r="F521" s="49"/>
      <c r="G521" s="49"/>
      <c r="H521" s="63">
        <v>4964.49</v>
      </c>
      <c r="I521" s="63">
        <v>2000</v>
      </c>
      <c r="J521" s="64">
        <v>2885.14</v>
      </c>
      <c r="K521" s="64">
        <v>2880</v>
      </c>
      <c r="L521" s="65">
        <v>670.2</v>
      </c>
      <c r="M521" s="65">
        <v>3000</v>
      </c>
      <c r="N521" s="66">
        <f t="shared" si="248"/>
        <v>8519.83</v>
      </c>
      <c r="O521" s="66">
        <f t="shared" si="248"/>
        <v>7880</v>
      </c>
      <c r="P521" s="69">
        <f t="shared" si="247"/>
        <v>2839.9433333333332</v>
      </c>
      <c r="Q521" s="69">
        <f t="shared" si="247"/>
        <v>2626.6666666666665</v>
      </c>
      <c r="R521" s="54"/>
      <c r="S521" s="49"/>
      <c r="T521" s="49"/>
      <c r="U521" s="49"/>
      <c r="V521" s="49"/>
      <c r="W521" s="49" t="s">
        <v>515</v>
      </c>
      <c r="X521" s="49"/>
      <c r="Y521" s="49"/>
      <c r="Z521" s="66">
        <v>8000</v>
      </c>
      <c r="AA521" s="140"/>
      <c r="AB521" s="66">
        <v>2000</v>
      </c>
      <c r="AC521" s="66">
        <v>2000</v>
      </c>
      <c r="AD521" s="66">
        <v>2000</v>
      </c>
      <c r="AE521" s="66">
        <v>2000</v>
      </c>
      <c r="AF521" s="66">
        <v>2000</v>
      </c>
      <c r="AG521" s="66">
        <v>2000</v>
      </c>
      <c r="AH521" s="66">
        <v>2000</v>
      </c>
      <c r="AK521"/>
      <c r="AL521"/>
      <c r="AM521"/>
      <c r="AN521"/>
      <c r="AO521"/>
    </row>
    <row r="522" spans="1:41" ht="16" x14ac:dyDescent="0.35">
      <c r="A522" s="66"/>
      <c r="B522" s="66"/>
      <c r="C522" s="49"/>
      <c r="D522" s="49"/>
      <c r="E522" s="49" t="s">
        <v>516</v>
      </c>
      <c r="F522" s="49"/>
      <c r="G522" s="49"/>
      <c r="H522" s="63">
        <v>47274.94</v>
      </c>
      <c r="I522" s="63">
        <v>28524</v>
      </c>
      <c r="J522" s="64">
        <v>40863.71</v>
      </c>
      <c r="K522" s="64">
        <v>43665</v>
      </c>
      <c r="L522" s="65">
        <v>42646.15</v>
      </c>
      <c r="M522" s="65">
        <v>44757</v>
      </c>
      <c r="N522" s="66">
        <f t="shared" si="248"/>
        <v>130784.8</v>
      </c>
      <c r="O522" s="66">
        <f t="shared" si="248"/>
        <v>116946</v>
      </c>
      <c r="P522" s="69">
        <f t="shared" si="247"/>
        <v>43594.933333333334</v>
      </c>
      <c r="Q522" s="69">
        <f t="shared" si="247"/>
        <v>38982</v>
      </c>
      <c r="R522" s="54"/>
      <c r="S522" s="49"/>
      <c r="T522" s="49"/>
      <c r="U522" s="49"/>
      <c r="V522" s="49"/>
      <c r="W522" s="49" t="s">
        <v>516</v>
      </c>
      <c r="X522" s="49"/>
      <c r="Y522" s="49"/>
      <c r="Z522" s="66">
        <v>49516</v>
      </c>
      <c r="AA522" s="140"/>
      <c r="AB522" s="66">
        <v>82667.42</v>
      </c>
      <c r="AC522" s="66">
        <v>82667.42</v>
      </c>
      <c r="AD522" s="66">
        <v>82667.42</v>
      </c>
      <c r="AE522" s="66">
        <v>82667.42</v>
      </c>
      <c r="AF522" s="66">
        <v>82667.42</v>
      </c>
      <c r="AG522" s="66">
        <f>ROUND(82667.42, 0)</f>
        <v>82667</v>
      </c>
      <c r="AH522" s="66">
        <f>ROUND(82667.42, 0)</f>
        <v>82667</v>
      </c>
      <c r="AI522" s="206" t="s">
        <v>1000</v>
      </c>
      <c r="AJ522" s="110" t="s">
        <v>1001</v>
      </c>
      <c r="AK522"/>
      <c r="AL522"/>
      <c r="AM522"/>
      <c r="AN522"/>
      <c r="AO522"/>
    </row>
    <row r="523" spans="1:41" ht="16" x14ac:dyDescent="0.35">
      <c r="A523" s="66"/>
      <c r="B523" s="66"/>
      <c r="C523" s="49"/>
      <c r="D523" s="49"/>
      <c r="E523" s="49" t="s">
        <v>517</v>
      </c>
      <c r="F523" s="49"/>
      <c r="G523" s="49"/>
      <c r="H523" s="63">
        <v>4530.93</v>
      </c>
      <c r="I523" s="63">
        <v>3000</v>
      </c>
      <c r="J523" s="64">
        <v>2569.27</v>
      </c>
      <c r="K523" s="64">
        <v>5000</v>
      </c>
      <c r="L523" s="65">
        <v>3451.72</v>
      </c>
      <c r="M523" s="65">
        <v>0</v>
      </c>
      <c r="N523" s="66">
        <f t="shared" si="248"/>
        <v>10551.92</v>
      </c>
      <c r="O523" s="66">
        <f t="shared" si="248"/>
        <v>8000</v>
      </c>
      <c r="P523" s="69">
        <f t="shared" si="247"/>
        <v>3517.3066666666668</v>
      </c>
      <c r="Q523" s="69">
        <f t="shared" si="247"/>
        <v>2666.6666666666665</v>
      </c>
      <c r="R523" s="54"/>
      <c r="S523" s="49"/>
      <c r="T523" s="49"/>
      <c r="U523" s="49"/>
      <c r="V523" s="49"/>
      <c r="W523" s="49" t="s">
        <v>517</v>
      </c>
      <c r="X523" s="49"/>
      <c r="Y523" s="49"/>
      <c r="Z523" s="66">
        <v>3000</v>
      </c>
      <c r="AA523" s="140"/>
      <c r="AB523" s="66">
        <v>2000</v>
      </c>
      <c r="AC523" s="66">
        <v>2000</v>
      </c>
      <c r="AD523" s="66">
        <v>2000</v>
      </c>
      <c r="AE523" s="66">
        <v>0</v>
      </c>
      <c r="AF523" s="66">
        <v>0</v>
      </c>
      <c r="AG523" s="66">
        <v>3000</v>
      </c>
      <c r="AH523" s="66">
        <v>3000</v>
      </c>
      <c r="AI523" s="206" t="s">
        <v>1000</v>
      </c>
      <c r="AK523"/>
      <c r="AL523"/>
      <c r="AM523"/>
      <c r="AN523"/>
      <c r="AO523"/>
    </row>
    <row r="524" spans="1:41" x14ac:dyDescent="0.35">
      <c r="A524" s="66"/>
      <c r="B524" s="66"/>
      <c r="C524" s="49"/>
      <c r="D524" s="49"/>
      <c r="E524" s="49" t="s">
        <v>518</v>
      </c>
      <c r="F524" s="49"/>
      <c r="G524" s="49"/>
      <c r="H524" s="63">
        <v>898.07</v>
      </c>
      <c r="I524" s="63">
        <v>2000</v>
      </c>
      <c r="J524" s="64">
        <v>386.15</v>
      </c>
      <c r="K524" s="64">
        <v>1000</v>
      </c>
      <c r="L524" s="65">
        <v>324.02999999999997</v>
      </c>
      <c r="M524" s="65">
        <v>1000</v>
      </c>
      <c r="N524" s="66">
        <f t="shared" si="248"/>
        <v>1608.25</v>
      </c>
      <c r="O524" s="66">
        <f t="shared" si="248"/>
        <v>4000</v>
      </c>
      <c r="P524" s="69">
        <f t="shared" si="247"/>
        <v>536.08333333333337</v>
      </c>
      <c r="Q524" s="69">
        <f t="shared" si="247"/>
        <v>1333.3333333333333</v>
      </c>
      <c r="R524" s="54"/>
      <c r="S524" s="49"/>
      <c r="T524" s="49"/>
      <c r="U524" s="49"/>
      <c r="V524" s="49"/>
      <c r="W524" s="49" t="s">
        <v>518</v>
      </c>
      <c r="X524" s="49"/>
      <c r="Y524" s="49"/>
      <c r="Z524" s="66">
        <v>1000</v>
      </c>
      <c r="AA524" s="140"/>
      <c r="AB524" s="66">
        <v>1000</v>
      </c>
      <c r="AC524" s="66">
        <v>1000</v>
      </c>
      <c r="AD524" s="66">
        <v>1000</v>
      </c>
      <c r="AE524" s="66">
        <v>1000</v>
      </c>
      <c r="AF524" s="66">
        <v>1000</v>
      </c>
      <c r="AG524" s="66">
        <v>1000</v>
      </c>
      <c r="AH524" s="66">
        <v>1000</v>
      </c>
      <c r="AK524"/>
      <c r="AL524"/>
      <c r="AM524"/>
      <c r="AN524"/>
      <c r="AO524"/>
    </row>
    <row r="525" spans="1:41" x14ac:dyDescent="0.35">
      <c r="A525" s="66"/>
      <c r="B525" s="66"/>
      <c r="C525" s="49"/>
      <c r="D525" s="49"/>
      <c r="E525" s="49" t="s">
        <v>519</v>
      </c>
      <c r="F525" s="49"/>
      <c r="G525" s="49"/>
      <c r="H525" s="63">
        <v>0</v>
      </c>
      <c r="I525" s="63"/>
      <c r="J525" s="64">
        <v>0</v>
      </c>
      <c r="K525" s="64"/>
      <c r="L525" s="65">
        <v>86.03</v>
      </c>
      <c r="M525" s="65"/>
      <c r="N525" s="66">
        <f t="shared" si="248"/>
        <v>86.03</v>
      </c>
      <c r="O525" s="66"/>
      <c r="P525" s="69">
        <f t="shared" si="247"/>
        <v>28.676666666666666</v>
      </c>
      <c r="Q525" s="69">
        <f t="shared" si="247"/>
        <v>0</v>
      </c>
      <c r="R525" s="54"/>
      <c r="S525" s="49"/>
      <c r="T525" s="49"/>
      <c r="U525" s="49"/>
      <c r="V525" s="49"/>
      <c r="W525" s="49" t="s">
        <v>519</v>
      </c>
      <c r="X525" s="49"/>
      <c r="Y525" s="49"/>
      <c r="Z525" s="66">
        <v>0</v>
      </c>
      <c r="AA525" s="140"/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H525" s="66">
        <v>0</v>
      </c>
      <c r="AK525"/>
      <c r="AL525"/>
      <c r="AM525"/>
      <c r="AN525"/>
      <c r="AO525"/>
    </row>
    <row r="526" spans="1:41" x14ac:dyDescent="0.35">
      <c r="A526" s="66"/>
      <c r="B526" s="66"/>
      <c r="C526" s="49"/>
      <c r="D526" s="49"/>
      <c r="E526" s="49" t="s">
        <v>520</v>
      </c>
      <c r="F526" s="49"/>
      <c r="G526" s="49"/>
      <c r="H526" s="63">
        <v>22781.57</v>
      </c>
      <c r="I526" s="63">
        <v>20000</v>
      </c>
      <c r="J526" s="64">
        <v>23123.1</v>
      </c>
      <c r="K526" s="64">
        <v>15000</v>
      </c>
      <c r="L526" s="65">
        <v>27051.87</v>
      </c>
      <c r="M526" s="65">
        <v>15000</v>
      </c>
      <c r="N526" s="66">
        <f t="shared" si="248"/>
        <v>72956.539999999994</v>
      </c>
      <c r="O526" s="66">
        <f t="shared" si="248"/>
        <v>50000</v>
      </c>
      <c r="P526" s="69">
        <f t="shared" si="247"/>
        <v>24318.846666666665</v>
      </c>
      <c r="Q526" s="69">
        <f t="shared" si="247"/>
        <v>16666.666666666668</v>
      </c>
      <c r="R526" s="54"/>
      <c r="S526" s="49"/>
      <c r="T526" s="49"/>
      <c r="U526" s="49"/>
      <c r="V526" s="49"/>
      <c r="W526" s="49" t="s">
        <v>520</v>
      </c>
      <c r="X526" s="49"/>
      <c r="Y526" s="49"/>
      <c r="Z526" s="66">
        <v>17000</v>
      </c>
      <c r="AA526" s="140"/>
      <c r="AB526" s="66">
        <v>22000</v>
      </c>
      <c r="AC526" s="66">
        <v>22000</v>
      </c>
      <c r="AD526" s="66">
        <v>22000</v>
      </c>
      <c r="AE526" s="66">
        <v>22000</v>
      </c>
      <c r="AF526" s="66">
        <v>22000</v>
      </c>
      <c r="AG526" s="66">
        <v>22000</v>
      </c>
      <c r="AH526" s="66">
        <v>22000</v>
      </c>
      <c r="AK526"/>
      <c r="AL526"/>
      <c r="AM526"/>
      <c r="AN526"/>
      <c r="AO526"/>
    </row>
    <row r="527" spans="1:41" x14ac:dyDescent="0.35">
      <c r="A527" s="66"/>
      <c r="B527" s="66"/>
      <c r="C527" s="49"/>
      <c r="D527" s="49"/>
      <c r="E527" s="49" t="s">
        <v>521</v>
      </c>
      <c r="F527" s="49"/>
      <c r="G527" s="49"/>
      <c r="H527" s="63">
        <v>207.16</v>
      </c>
      <c r="I527" s="63">
        <v>1700</v>
      </c>
      <c r="J527" s="64">
        <v>485.58</v>
      </c>
      <c r="K527" s="64">
        <v>1100</v>
      </c>
      <c r="L527" s="65">
        <v>90.48</v>
      </c>
      <c r="M527" s="65">
        <v>1000</v>
      </c>
      <c r="N527" s="66">
        <f t="shared" si="248"/>
        <v>783.22</v>
      </c>
      <c r="O527" s="66">
        <f t="shared" si="248"/>
        <v>3800</v>
      </c>
      <c r="P527" s="69">
        <f t="shared" si="247"/>
        <v>261.07333333333332</v>
      </c>
      <c r="Q527" s="69">
        <f t="shared" si="247"/>
        <v>1266.6666666666667</v>
      </c>
      <c r="R527" s="54"/>
      <c r="S527" s="49"/>
      <c r="T527" s="49"/>
      <c r="U527" s="49"/>
      <c r="V527" s="49"/>
      <c r="W527" s="49" t="s">
        <v>521</v>
      </c>
      <c r="X527" s="49"/>
      <c r="Y527" s="49"/>
      <c r="Z527" s="66">
        <v>1000</v>
      </c>
      <c r="AA527" s="140"/>
      <c r="AB527" s="66">
        <v>1000</v>
      </c>
      <c r="AC527" s="66">
        <v>1000</v>
      </c>
      <c r="AD527" s="66">
        <v>1000</v>
      </c>
      <c r="AE527" s="66">
        <v>1000</v>
      </c>
      <c r="AF527" s="66">
        <v>1000</v>
      </c>
      <c r="AG527" s="66">
        <v>1000</v>
      </c>
      <c r="AH527" s="66">
        <v>1000</v>
      </c>
      <c r="AK527"/>
      <c r="AL527"/>
      <c r="AM527"/>
      <c r="AN527"/>
      <c r="AO527"/>
    </row>
    <row r="528" spans="1:41" x14ac:dyDescent="0.35">
      <c r="A528" s="66"/>
      <c r="B528" s="66"/>
      <c r="C528" s="49"/>
      <c r="D528" s="49"/>
      <c r="E528" s="49" t="s">
        <v>522</v>
      </c>
      <c r="F528" s="49"/>
      <c r="G528" s="49"/>
      <c r="H528" s="63">
        <v>39999.96</v>
      </c>
      <c r="I528" s="63">
        <v>40000</v>
      </c>
      <c r="J528" s="64">
        <v>39999.96</v>
      </c>
      <c r="K528" s="64">
        <v>37800</v>
      </c>
      <c r="L528" s="65">
        <v>39999.96</v>
      </c>
      <c r="M528" s="65">
        <v>41000</v>
      </c>
      <c r="N528" s="66">
        <f t="shared" si="248"/>
        <v>119999.88</v>
      </c>
      <c r="O528" s="66">
        <f t="shared" si="248"/>
        <v>118800</v>
      </c>
      <c r="P528" s="69">
        <f t="shared" si="247"/>
        <v>39999.96</v>
      </c>
      <c r="Q528" s="69">
        <f t="shared" si="247"/>
        <v>39600</v>
      </c>
      <c r="R528" s="54"/>
      <c r="S528" s="49"/>
      <c r="T528" s="49"/>
      <c r="U528" s="49"/>
      <c r="V528" s="49"/>
      <c r="W528" s="49" t="s">
        <v>522</v>
      </c>
      <c r="X528" s="49"/>
      <c r="Y528" s="49"/>
      <c r="Z528" s="66">
        <v>42000</v>
      </c>
      <c r="AA528" s="140"/>
      <c r="AB528" s="66">
        <v>42000</v>
      </c>
      <c r="AC528" s="66">
        <v>42000</v>
      </c>
      <c r="AD528" s="66">
        <v>42000</v>
      </c>
      <c r="AE528" s="66">
        <v>42000</v>
      </c>
      <c r="AF528" s="66">
        <v>42000</v>
      </c>
      <c r="AG528" s="66">
        <v>42000</v>
      </c>
      <c r="AH528" s="66">
        <v>42000</v>
      </c>
      <c r="AK528"/>
      <c r="AL528"/>
      <c r="AM528"/>
      <c r="AN528"/>
      <c r="AO528"/>
    </row>
    <row r="529" spans="1:41" x14ac:dyDescent="0.35">
      <c r="A529" s="66"/>
      <c r="B529" s="66"/>
      <c r="C529" s="49"/>
      <c r="D529" s="49"/>
      <c r="E529" s="49" t="s">
        <v>523</v>
      </c>
      <c r="F529" s="49"/>
      <c r="G529" s="49"/>
      <c r="H529" s="63">
        <v>2400</v>
      </c>
      <c r="I529" s="63">
        <v>2580</v>
      </c>
      <c r="J529" s="64">
        <v>3000</v>
      </c>
      <c r="K529" s="64">
        <v>2200</v>
      </c>
      <c r="L529" s="65">
        <v>2250</v>
      </c>
      <c r="M529" s="65">
        <v>3000</v>
      </c>
      <c r="N529" s="66">
        <f t="shared" si="248"/>
        <v>7650</v>
      </c>
      <c r="O529" s="66">
        <f t="shared" si="248"/>
        <v>7780</v>
      </c>
      <c r="P529" s="69">
        <f t="shared" si="247"/>
        <v>2550</v>
      </c>
      <c r="Q529" s="69">
        <f t="shared" si="247"/>
        <v>2593.3333333333335</v>
      </c>
      <c r="R529" s="54"/>
      <c r="S529" s="49"/>
      <c r="T529" s="49"/>
      <c r="U529" s="49"/>
      <c r="V529" s="49"/>
      <c r="W529" s="49" t="s">
        <v>523</v>
      </c>
      <c r="X529" s="49"/>
      <c r="Y529" s="49"/>
      <c r="Z529" s="66">
        <v>3000</v>
      </c>
      <c r="AA529" s="140"/>
      <c r="AB529" s="66">
        <v>2500</v>
      </c>
      <c r="AC529" s="66">
        <v>2500</v>
      </c>
      <c r="AD529" s="66">
        <v>2500</v>
      </c>
      <c r="AE529" s="66">
        <v>2500</v>
      </c>
      <c r="AF529" s="66">
        <v>2500</v>
      </c>
      <c r="AG529" s="66">
        <v>2500</v>
      </c>
      <c r="AH529" s="66">
        <v>2500</v>
      </c>
      <c r="AK529"/>
      <c r="AL529"/>
      <c r="AM529"/>
      <c r="AN529"/>
      <c r="AO529"/>
    </row>
    <row r="530" spans="1:41" x14ac:dyDescent="0.35">
      <c r="A530" s="66"/>
      <c r="B530" s="66"/>
      <c r="C530" s="49"/>
      <c r="D530" s="49"/>
      <c r="E530" s="49" t="s">
        <v>524</v>
      </c>
      <c r="F530" s="49"/>
      <c r="G530" s="49"/>
      <c r="H530" s="63">
        <v>1650</v>
      </c>
      <c r="I530" s="63">
        <v>10000</v>
      </c>
      <c r="J530" s="64">
        <v>3475.37</v>
      </c>
      <c r="K530" s="64">
        <v>5000</v>
      </c>
      <c r="L530" s="65">
        <v>2086.8000000000002</v>
      </c>
      <c r="M530" s="65">
        <v>3000</v>
      </c>
      <c r="N530" s="66">
        <f t="shared" si="248"/>
        <v>7212.17</v>
      </c>
      <c r="O530" s="66">
        <f t="shared" si="248"/>
        <v>18000</v>
      </c>
      <c r="P530" s="69">
        <f t="shared" si="247"/>
        <v>2404.0566666666668</v>
      </c>
      <c r="Q530" s="69">
        <f t="shared" si="247"/>
        <v>6000</v>
      </c>
      <c r="R530" s="54"/>
      <c r="S530" s="49"/>
      <c r="T530" s="49"/>
      <c r="U530" s="49"/>
      <c r="V530" s="49"/>
      <c r="W530" s="49" t="s">
        <v>524</v>
      </c>
      <c r="X530" s="49"/>
      <c r="Y530" s="49"/>
      <c r="Z530" s="66">
        <v>3000</v>
      </c>
      <c r="AA530" s="140"/>
      <c r="AB530" s="66">
        <v>3000</v>
      </c>
      <c r="AC530" s="66">
        <v>3000</v>
      </c>
      <c r="AD530" s="66">
        <v>3000</v>
      </c>
      <c r="AE530" s="66">
        <v>3000</v>
      </c>
      <c r="AF530" s="66">
        <v>3000</v>
      </c>
      <c r="AG530" s="66">
        <v>3000</v>
      </c>
      <c r="AH530" s="66">
        <v>3000</v>
      </c>
      <c r="AJ530" s="110" t="s">
        <v>851</v>
      </c>
      <c r="AK530"/>
      <c r="AL530"/>
      <c r="AM530"/>
      <c r="AN530"/>
      <c r="AO530"/>
    </row>
    <row r="531" spans="1:41" x14ac:dyDescent="0.35">
      <c r="A531" s="66"/>
      <c r="B531" s="66"/>
      <c r="C531" s="49"/>
      <c r="D531" s="49"/>
      <c r="E531" s="49" t="s">
        <v>525</v>
      </c>
      <c r="F531" s="49"/>
      <c r="G531" s="49"/>
      <c r="H531" s="63">
        <v>5295.35</v>
      </c>
      <c r="I531" s="63">
        <v>17000</v>
      </c>
      <c r="J531" s="64">
        <v>0</v>
      </c>
      <c r="K531" s="64">
        <v>0</v>
      </c>
      <c r="L531" s="65">
        <v>0</v>
      </c>
      <c r="M531" s="65"/>
      <c r="N531" s="66">
        <f t="shared" si="248"/>
        <v>5295.35</v>
      </c>
      <c r="O531" s="66">
        <f t="shared" si="248"/>
        <v>17000</v>
      </c>
      <c r="P531" s="69">
        <f t="shared" si="247"/>
        <v>1765.1166666666668</v>
      </c>
      <c r="Q531" s="69">
        <f t="shared" si="247"/>
        <v>5666.666666666667</v>
      </c>
      <c r="R531" s="54"/>
      <c r="S531" s="49"/>
      <c r="T531" s="49"/>
      <c r="U531" s="49"/>
      <c r="V531" s="49"/>
      <c r="W531" s="49" t="s">
        <v>525</v>
      </c>
      <c r="X531" s="49"/>
      <c r="Y531" s="49"/>
      <c r="Z531" s="66">
        <v>0</v>
      </c>
      <c r="AA531" s="140"/>
      <c r="AB531" s="66">
        <v>0</v>
      </c>
      <c r="AC531" s="66">
        <v>0</v>
      </c>
      <c r="AD531" s="66">
        <v>0</v>
      </c>
      <c r="AE531" s="66">
        <v>0</v>
      </c>
      <c r="AF531" s="66">
        <v>0</v>
      </c>
      <c r="AG531" s="66">
        <v>0</v>
      </c>
      <c r="AH531" s="66">
        <v>0</v>
      </c>
      <c r="AK531"/>
      <c r="AL531"/>
      <c r="AM531"/>
      <c r="AN531"/>
      <c r="AO531"/>
    </row>
    <row r="532" spans="1:41" x14ac:dyDescent="0.35">
      <c r="A532" s="66"/>
      <c r="B532" s="66"/>
      <c r="C532" s="49"/>
      <c r="D532" s="49"/>
      <c r="E532" s="49" t="s">
        <v>526</v>
      </c>
      <c r="F532" s="49"/>
      <c r="G532" s="49"/>
      <c r="H532" s="63">
        <v>65498.5</v>
      </c>
      <c r="I532" s="63">
        <v>38325</v>
      </c>
      <c r="J532" s="64">
        <v>65504.98</v>
      </c>
      <c r="K532" s="64">
        <v>55000</v>
      </c>
      <c r="L532" s="65">
        <v>112725.58</v>
      </c>
      <c r="M532" s="65">
        <v>69540</v>
      </c>
      <c r="N532" s="66">
        <f t="shared" si="248"/>
        <v>243729.06</v>
      </c>
      <c r="O532" s="66">
        <f t="shared" si="248"/>
        <v>162865</v>
      </c>
      <c r="P532" s="69">
        <f t="shared" si="247"/>
        <v>81243.02</v>
      </c>
      <c r="Q532" s="69">
        <f t="shared" si="247"/>
        <v>54288.333333333336</v>
      </c>
      <c r="R532" s="54"/>
      <c r="S532" s="49"/>
      <c r="T532" s="49"/>
      <c r="U532" s="49"/>
      <c r="V532" s="49"/>
      <c r="W532" s="49" t="s">
        <v>906</v>
      </c>
      <c r="X532" s="49"/>
      <c r="Y532" s="49"/>
      <c r="Z532" s="66">
        <v>45000</v>
      </c>
      <c r="AA532" s="140"/>
      <c r="AB532" s="66">
        <f t="shared" ref="AB532:AH532" si="251">ROUND(42665.15, 0)</f>
        <v>42665</v>
      </c>
      <c r="AC532" s="66">
        <f t="shared" si="251"/>
        <v>42665</v>
      </c>
      <c r="AD532" s="66">
        <f t="shared" si="251"/>
        <v>42665</v>
      </c>
      <c r="AE532" s="66">
        <f t="shared" si="251"/>
        <v>42665</v>
      </c>
      <c r="AF532" s="66">
        <f t="shared" si="251"/>
        <v>42665</v>
      </c>
      <c r="AG532" s="66">
        <f t="shared" si="251"/>
        <v>42665</v>
      </c>
      <c r="AH532" s="66">
        <f t="shared" si="251"/>
        <v>42665</v>
      </c>
      <c r="AK532"/>
      <c r="AL532"/>
      <c r="AM532"/>
      <c r="AN532"/>
      <c r="AO532"/>
    </row>
    <row r="533" spans="1:41" x14ac:dyDescent="0.35">
      <c r="A533" s="66"/>
      <c r="B533" s="66"/>
      <c r="C533" s="49"/>
      <c r="D533" s="49"/>
      <c r="E533" s="49" t="s">
        <v>527</v>
      </c>
      <c r="F533" s="49"/>
      <c r="G533" s="49"/>
      <c r="H533" s="63">
        <v>4664.29</v>
      </c>
      <c r="I533" s="63">
        <v>2716.8</v>
      </c>
      <c r="J533" s="64">
        <v>3018.33</v>
      </c>
      <c r="K533" s="64">
        <v>4360</v>
      </c>
      <c r="L533" s="65">
        <v>4947.66</v>
      </c>
      <c r="M533" s="65">
        <v>5328</v>
      </c>
      <c r="N533" s="66">
        <f t="shared" ref="N533:O544" si="252">ROUND(H533+J533+L533,5)</f>
        <v>12630.28</v>
      </c>
      <c r="O533" s="66">
        <f t="shared" si="252"/>
        <v>12404.8</v>
      </c>
      <c r="P533" s="69">
        <f t="shared" si="247"/>
        <v>4210.0933333333332</v>
      </c>
      <c r="Q533" s="69">
        <f t="shared" si="247"/>
        <v>4134.9333333333334</v>
      </c>
      <c r="R533" s="54"/>
      <c r="S533" s="49"/>
      <c r="T533" s="49"/>
      <c r="U533" s="49"/>
      <c r="V533" s="49"/>
      <c r="W533" s="49" t="s">
        <v>527</v>
      </c>
      <c r="X533" s="49"/>
      <c r="Y533" s="49"/>
      <c r="Z533" s="66">
        <v>5027</v>
      </c>
      <c r="AA533" s="140"/>
      <c r="AB533" s="66">
        <v>6033.32</v>
      </c>
      <c r="AC533" s="66">
        <v>6033.32</v>
      </c>
      <c r="AD533" s="66">
        <v>6033.32</v>
      </c>
      <c r="AE533" s="66">
        <v>6033.32</v>
      </c>
      <c r="AF533" s="66">
        <v>6033.32</v>
      </c>
      <c r="AG533" s="66">
        <f>ROUND(6033.32, 0)</f>
        <v>6033</v>
      </c>
      <c r="AH533" s="66">
        <f>ROUND(6033.32, 0)</f>
        <v>6033</v>
      </c>
      <c r="AK533"/>
      <c r="AL533"/>
      <c r="AM533"/>
      <c r="AN533"/>
      <c r="AO533"/>
    </row>
    <row r="534" spans="1:41" ht="29" x14ac:dyDescent="0.35">
      <c r="A534" s="66"/>
      <c r="B534" s="66"/>
      <c r="C534" s="49"/>
      <c r="D534" s="49"/>
      <c r="E534" s="49" t="s">
        <v>528</v>
      </c>
      <c r="F534" s="49"/>
      <c r="G534" s="49"/>
      <c r="H534" s="63">
        <v>4727</v>
      </c>
      <c r="I534" s="63">
        <v>4572</v>
      </c>
      <c r="J534" s="64">
        <v>5187</v>
      </c>
      <c r="K534" s="64">
        <v>4900</v>
      </c>
      <c r="L534" s="65">
        <v>3671</v>
      </c>
      <c r="M534" s="65">
        <v>5431</v>
      </c>
      <c r="N534" s="66">
        <f t="shared" si="252"/>
        <v>13585</v>
      </c>
      <c r="O534" s="66">
        <f t="shared" si="252"/>
        <v>14903</v>
      </c>
      <c r="P534" s="69">
        <f t="shared" si="247"/>
        <v>4528.333333333333</v>
      </c>
      <c r="Q534" s="69">
        <f t="shared" si="247"/>
        <v>4967.666666666667</v>
      </c>
      <c r="R534" s="54"/>
      <c r="S534" s="49"/>
      <c r="T534" s="49"/>
      <c r="U534" s="49"/>
      <c r="V534" s="49"/>
      <c r="W534" s="49" t="s">
        <v>528</v>
      </c>
      <c r="X534" s="49"/>
      <c r="Y534" s="49"/>
      <c r="Z534" s="66">
        <v>3132</v>
      </c>
      <c r="AA534" s="140"/>
      <c r="AB534" s="66">
        <f t="shared" ref="AB534:AF534" si="253">ROUND(3414.6, 0)</f>
        <v>3415</v>
      </c>
      <c r="AC534" s="66">
        <f t="shared" si="253"/>
        <v>3415</v>
      </c>
      <c r="AD534" s="66">
        <f t="shared" si="253"/>
        <v>3415</v>
      </c>
      <c r="AE534" s="66">
        <f t="shared" si="253"/>
        <v>3415</v>
      </c>
      <c r="AF534" s="66">
        <f t="shared" si="253"/>
        <v>3415</v>
      </c>
      <c r="AG534" s="66">
        <v>3415</v>
      </c>
      <c r="AH534" s="66">
        <v>3415</v>
      </c>
      <c r="AI534" s="110" t="s">
        <v>993</v>
      </c>
      <c r="AK534"/>
      <c r="AL534"/>
      <c r="AM534"/>
      <c r="AN534"/>
      <c r="AO534"/>
    </row>
    <row r="535" spans="1:41" x14ac:dyDescent="0.35">
      <c r="A535" s="66"/>
      <c r="B535" s="66"/>
      <c r="C535" s="49"/>
      <c r="D535" s="49"/>
      <c r="E535" s="49" t="s">
        <v>529</v>
      </c>
      <c r="F535" s="49"/>
      <c r="G535" s="49"/>
      <c r="H535" s="63">
        <v>89.42</v>
      </c>
      <c r="I535" s="63">
        <v>5000</v>
      </c>
      <c r="J535" s="64">
        <v>12728.53</v>
      </c>
      <c r="K535" s="64">
        <v>0</v>
      </c>
      <c r="L535" s="65">
        <v>0</v>
      </c>
      <c r="M535" s="65">
        <v>0</v>
      </c>
      <c r="N535" s="66">
        <f t="shared" si="252"/>
        <v>12817.95</v>
      </c>
      <c r="O535" s="66">
        <f t="shared" si="252"/>
        <v>5000</v>
      </c>
      <c r="P535" s="69">
        <f t="shared" si="247"/>
        <v>4272.6500000000005</v>
      </c>
      <c r="Q535" s="69">
        <f t="shared" si="247"/>
        <v>1666.6666666666667</v>
      </c>
      <c r="R535" s="54"/>
      <c r="S535" s="49"/>
      <c r="T535" s="49"/>
      <c r="U535" s="49"/>
      <c r="V535" s="49"/>
      <c r="W535" s="49" t="s">
        <v>529</v>
      </c>
      <c r="X535" s="49"/>
      <c r="Y535" s="49"/>
      <c r="Z535" s="66">
        <v>5000</v>
      </c>
      <c r="AA535" s="140"/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0</v>
      </c>
      <c r="AI535" s="110" t="s">
        <v>983</v>
      </c>
      <c r="AK535"/>
      <c r="AL535"/>
      <c r="AM535"/>
      <c r="AN535"/>
      <c r="AO535"/>
    </row>
    <row r="536" spans="1:41" x14ac:dyDescent="0.35">
      <c r="A536" s="66"/>
      <c r="B536" s="66"/>
      <c r="C536" s="49"/>
      <c r="D536" s="49"/>
      <c r="E536" s="49" t="s">
        <v>530</v>
      </c>
      <c r="F536" s="49"/>
      <c r="G536" s="49"/>
      <c r="H536" s="63">
        <v>3574.34</v>
      </c>
      <c r="I536" s="63">
        <v>4992</v>
      </c>
      <c r="J536" s="64">
        <v>3364.92</v>
      </c>
      <c r="K536" s="64">
        <v>5562</v>
      </c>
      <c r="L536" s="65">
        <v>2926.66</v>
      </c>
      <c r="M536" s="65">
        <v>5000</v>
      </c>
      <c r="N536" s="66">
        <f t="shared" si="252"/>
        <v>9865.92</v>
      </c>
      <c r="O536" s="66">
        <f t="shared" si="252"/>
        <v>15554</v>
      </c>
      <c r="P536" s="69">
        <f t="shared" si="247"/>
        <v>3288.64</v>
      </c>
      <c r="Q536" s="69">
        <f t="shared" si="247"/>
        <v>5184.666666666667</v>
      </c>
      <c r="R536" s="54"/>
      <c r="S536" s="49"/>
      <c r="T536" s="49"/>
      <c r="U536" s="49"/>
      <c r="V536" s="49"/>
      <c r="W536" s="49" t="s">
        <v>530</v>
      </c>
      <c r="X536" s="49"/>
      <c r="Y536" s="49"/>
      <c r="Z536" s="66">
        <v>5000</v>
      </c>
      <c r="AA536" s="140"/>
      <c r="AB536" s="66">
        <v>4000</v>
      </c>
      <c r="AC536" s="66">
        <v>4000</v>
      </c>
      <c r="AD536" s="66">
        <v>4000</v>
      </c>
      <c r="AE536" s="66">
        <v>4000</v>
      </c>
      <c r="AF536" s="66">
        <v>4000</v>
      </c>
      <c r="AG536" s="66">
        <v>4000</v>
      </c>
      <c r="AH536" s="66">
        <v>4000</v>
      </c>
      <c r="AK536"/>
      <c r="AL536"/>
      <c r="AM536"/>
      <c r="AN536"/>
      <c r="AO536"/>
    </row>
    <row r="537" spans="1:41" x14ac:dyDescent="0.35">
      <c r="A537" s="66"/>
      <c r="B537" s="66"/>
      <c r="C537" s="49"/>
      <c r="D537" s="49"/>
      <c r="E537" s="49" t="s">
        <v>531</v>
      </c>
      <c r="F537" s="49"/>
      <c r="G537" s="49"/>
      <c r="H537" s="63">
        <v>10575.38</v>
      </c>
      <c r="I537" s="63">
        <v>11000</v>
      </c>
      <c r="J537" s="64">
        <v>7582.88</v>
      </c>
      <c r="K537" s="64">
        <v>11700</v>
      </c>
      <c r="L537" s="65">
        <v>8602.8799999999992</v>
      </c>
      <c r="M537" s="65">
        <v>10000</v>
      </c>
      <c r="N537" s="66">
        <f t="shared" si="252"/>
        <v>26761.14</v>
      </c>
      <c r="O537" s="66">
        <f t="shared" si="252"/>
        <v>32700</v>
      </c>
      <c r="P537" s="69">
        <f t="shared" si="247"/>
        <v>8920.3799999999992</v>
      </c>
      <c r="Q537" s="69">
        <f t="shared" si="247"/>
        <v>10900</v>
      </c>
      <c r="R537" s="54"/>
      <c r="S537" s="49"/>
      <c r="T537" s="49"/>
      <c r="U537" s="49"/>
      <c r="V537" s="49"/>
      <c r="W537" s="49" t="s">
        <v>531</v>
      </c>
      <c r="X537" s="49"/>
      <c r="Y537" s="49"/>
      <c r="Z537" s="66">
        <v>10000</v>
      </c>
      <c r="AA537" s="140"/>
      <c r="AB537" s="66">
        <v>9000</v>
      </c>
      <c r="AC537" s="66">
        <v>9000</v>
      </c>
      <c r="AD537" s="66">
        <v>9000</v>
      </c>
      <c r="AE537" s="66">
        <v>9000</v>
      </c>
      <c r="AF537" s="66">
        <v>9000</v>
      </c>
      <c r="AG537" s="66">
        <v>9000</v>
      </c>
      <c r="AH537" s="66">
        <v>9000</v>
      </c>
      <c r="AK537"/>
      <c r="AL537"/>
      <c r="AM537"/>
      <c r="AN537"/>
      <c r="AO537"/>
    </row>
    <row r="538" spans="1:41" x14ac:dyDescent="0.35">
      <c r="A538" s="66"/>
      <c r="B538" s="66"/>
      <c r="C538" s="49"/>
      <c r="D538" s="49"/>
      <c r="E538" s="49" t="s">
        <v>532</v>
      </c>
      <c r="F538" s="49"/>
      <c r="G538" s="49"/>
      <c r="H538" s="63">
        <v>3539.31</v>
      </c>
      <c r="I538" s="63">
        <v>3645</v>
      </c>
      <c r="J538" s="64">
        <v>3316.13</v>
      </c>
      <c r="K538" s="64">
        <v>3200</v>
      </c>
      <c r="L538" s="65">
        <v>3381.09</v>
      </c>
      <c r="M538" s="65">
        <v>3250</v>
      </c>
      <c r="N538" s="66">
        <f t="shared" si="252"/>
        <v>10236.530000000001</v>
      </c>
      <c r="O538" s="66">
        <f t="shared" si="252"/>
        <v>10095</v>
      </c>
      <c r="P538" s="69">
        <f t="shared" si="247"/>
        <v>3412.1766666666667</v>
      </c>
      <c r="Q538" s="69">
        <f t="shared" si="247"/>
        <v>3365</v>
      </c>
      <c r="R538" s="54"/>
      <c r="S538" s="49"/>
      <c r="T538" s="49"/>
      <c r="U538" s="49"/>
      <c r="V538" s="49"/>
      <c r="W538" s="49" t="s">
        <v>532</v>
      </c>
      <c r="X538" s="49"/>
      <c r="Y538" s="49"/>
      <c r="Z538" s="66">
        <v>3405</v>
      </c>
      <c r="AA538" s="140"/>
      <c r="AB538" s="66">
        <v>3050</v>
      </c>
      <c r="AC538" s="66">
        <v>3050</v>
      </c>
      <c r="AD538" s="66">
        <v>3050</v>
      </c>
      <c r="AE538" s="66">
        <v>3050</v>
      </c>
      <c r="AF538" s="66">
        <v>3050</v>
      </c>
      <c r="AG538" s="66">
        <v>3050</v>
      </c>
      <c r="AH538" s="66">
        <v>3050</v>
      </c>
      <c r="AK538"/>
      <c r="AL538"/>
      <c r="AM538"/>
      <c r="AN538"/>
      <c r="AO538"/>
    </row>
    <row r="539" spans="1:41" x14ac:dyDescent="0.35">
      <c r="A539" s="66"/>
      <c r="B539" s="66"/>
      <c r="C539" s="49"/>
      <c r="D539" s="49"/>
      <c r="E539" s="49" t="s">
        <v>533</v>
      </c>
      <c r="F539" s="49"/>
      <c r="G539" s="49"/>
      <c r="H539" s="63">
        <v>8875.7999999999993</v>
      </c>
      <c r="I539" s="63">
        <v>9376</v>
      </c>
      <c r="J539" s="64">
        <v>6026.59</v>
      </c>
      <c r="K539" s="64">
        <v>8800</v>
      </c>
      <c r="L539" s="65">
        <v>0</v>
      </c>
      <c r="M539" s="65">
        <v>0</v>
      </c>
      <c r="N539" s="66">
        <f t="shared" si="252"/>
        <v>14902.39</v>
      </c>
      <c r="O539" s="66">
        <f t="shared" si="252"/>
        <v>18176</v>
      </c>
      <c r="P539" s="69">
        <f t="shared" si="247"/>
        <v>4967.4633333333331</v>
      </c>
      <c r="Q539" s="69">
        <f t="shared" si="247"/>
        <v>6058.666666666667</v>
      </c>
      <c r="R539" s="54"/>
      <c r="S539" s="49"/>
      <c r="T539" s="49"/>
      <c r="U539" s="49"/>
      <c r="V539" s="49"/>
      <c r="W539" s="49" t="s">
        <v>533</v>
      </c>
      <c r="X539" s="49"/>
      <c r="Y539" s="49"/>
      <c r="Z539" s="66">
        <v>0</v>
      </c>
      <c r="AA539" s="140"/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0</v>
      </c>
      <c r="AK539"/>
      <c r="AL539"/>
      <c r="AM539"/>
      <c r="AN539"/>
      <c r="AO539"/>
    </row>
    <row r="540" spans="1:41" x14ac:dyDescent="0.35">
      <c r="A540" s="66"/>
      <c r="B540" s="66"/>
      <c r="C540" s="49"/>
      <c r="D540" s="49"/>
      <c r="E540" s="49" t="s">
        <v>534</v>
      </c>
      <c r="F540" s="49"/>
      <c r="G540" s="49"/>
      <c r="H540" s="63">
        <v>27953.49</v>
      </c>
      <c r="I540" s="63">
        <v>28074</v>
      </c>
      <c r="J540" s="64">
        <v>19873.310000000001</v>
      </c>
      <c r="K540" s="64">
        <v>17150</v>
      </c>
      <c r="L540" s="65">
        <v>19701.16</v>
      </c>
      <c r="M540" s="65">
        <v>19345</v>
      </c>
      <c r="N540" s="66">
        <f t="shared" si="252"/>
        <v>67527.960000000006</v>
      </c>
      <c r="O540" s="66">
        <f t="shared" si="252"/>
        <v>64569</v>
      </c>
      <c r="P540" s="69">
        <f t="shared" si="247"/>
        <v>22509.320000000003</v>
      </c>
      <c r="Q540" s="69">
        <f t="shared" si="247"/>
        <v>21523</v>
      </c>
      <c r="R540" s="54"/>
      <c r="S540" s="49"/>
      <c r="T540" s="49"/>
      <c r="U540" s="49"/>
      <c r="V540" s="49"/>
      <c r="W540" s="49" t="s">
        <v>534</v>
      </c>
      <c r="X540" s="49"/>
      <c r="Y540" s="49"/>
      <c r="Z540" s="66">
        <v>19503</v>
      </c>
      <c r="AA540" s="140"/>
      <c r="AB540" s="66">
        <v>20400</v>
      </c>
      <c r="AC540" s="66">
        <v>20400</v>
      </c>
      <c r="AD540" s="66">
        <v>20400</v>
      </c>
      <c r="AE540" s="66">
        <v>22860</v>
      </c>
      <c r="AF540" s="66">
        <v>22860</v>
      </c>
      <c r="AG540" s="66">
        <v>22860</v>
      </c>
      <c r="AH540" s="66">
        <v>22860</v>
      </c>
      <c r="AK540"/>
      <c r="AL540"/>
      <c r="AM540"/>
      <c r="AN540"/>
      <c r="AO540"/>
    </row>
    <row r="541" spans="1:41" x14ac:dyDescent="0.35">
      <c r="A541" s="66"/>
      <c r="B541" s="66"/>
      <c r="C541" s="49"/>
      <c r="D541" s="49"/>
      <c r="E541" s="49" t="s">
        <v>535</v>
      </c>
      <c r="F541" s="49"/>
      <c r="G541" s="49"/>
      <c r="H541" s="63">
        <v>0</v>
      </c>
      <c r="I541" s="63">
        <v>6000</v>
      </c>
      <c r="J541" s="64">
        <v>21228.95</v>
      </c>
      <c r="K541" s="64">
        <v>0</v>
      </c>
      <c r="L541" s="65">
        <v>47757.3</v>
      </c>
      <c r="M541" s="65">
        <v>3000</v>
      </c>
      <c r="N541" s="66">
        <f t="shared" si="252"/>
        <v>68986.25</v>
      </c>
      <c r="O541" s="66">
        <f t="shared" si="252"/>
        <v>9000</v>
      </c>
      <c r="P541" s="69">
        <f t="shared" si="247"/>
        <v>22995.416666666668</v>
      </c>
      <c r="Q541" s="69">
        <f t="shared" si="247"/>
        <v>3000</v>
      </c>
      <c r="R541" s="54"/>
      <c r="S541" s="49"/>
      <c r="T541" s="49"/>
      <c r="U541" s="49"/>
      <c r="V541" s="49"/>
      <c r="W541" s="49" t="s">
        <v>535</v>
      </c>
      <c r="X541" s="49"/>
      <c r="Y541" s="49"/>
      <c r="Z541" s="66">
        <v>3000</v>
      </c>
      <c r="AA541" s="140"/>
      <c r="AB541" s="66">
        <v>3000</v>
      </c>
      <c r="AC541" s="66">
        <v>3000</v>
      </c>
      <c r="AD541" s="66">
        <v>3000</v>
      </c>
      <c r="AE541" s="66">
        <v>3000</v>
      </c>
      <c r="AF541" s="66">
        <v>3000</v>
      </c>
      <c r="AG541" s="66">
        <v>3000</v>
      </c>
      <c r="AH541" s="66">
        <v>3000</v>
      </c>
      <c r="AK541"/>
      <c r="AL541"/>
      <c r="AM541"/>
      <c r="AN541"/>
      <c r="AO541"/>
    </row>
    <row r="542" spans="1:41" x14ac:dyDescent="0.35">
      <c r="A542" s="66"/>
      <c r="B542" s="66"/>
      <c r="C542" s="49"/>
      <c r="D542" s="49"/>
      <c r="E542" s="49" t="s">
        <v>536</v>
      </c>
      <c r="F542" s="49"/>
      <c r="G542" s="49"/>
      <c r="H542" s="63">
        <v>19982.650000000001</v>
      </c>
      <c r="I542" s="63">
        <v>32500</v>
      </c>
      <c r="J542" s="64">
        <v>16665.71</v>
      </c>
      <c r="K542" s="64">
        <v>34050</v>
      </c>
      <c r="L542" s="65">
        <v>22645.33</v>
      </c>
      <c r="M542" s="65">
        <v>35000</v>
      </c>
      <c r="N542" s="66">
        <f t="shared" si="252"/>
        <v>59293.69</v>
      </c>
      <c r="O542" s="66">
        <f t="shared" si="252"/>
        <v>101550</v>
      </c>
      <c r="P542" s="69">
        <f t="shared" si="247"/>
        <v>19764.563333333335</v>
      </c>
      <c r="Q542" s="69">
        <f t="shared" si="247"/>
        <v>33850</v>
      </c>
      <c r="R542" s="54"/>
      <c r="S542" s="49"/>
      <c r="T542" s="49"/>
      <c r="U542" s="49"/>
      <c r="V542" s="49"/>
      <c r="W542" s="49" t="s">
        <v>536</v>
      </c>
      <c r="X542" s="49"/>
      <c r="Y542" s="49"/>
      <c r="Z542" s="66">
        <v>35000</v>
      </c>
      <c r="AA542" s="140"/>
      <c r="AB542" s="66">
        <v>35000</v>
      </c>
      <c r="AC542" s="66">
        <v>30000</v>
      </c>
      <c r="AD542" s="66">
        <v>30000</v>
      </c>
      <c r="AE542" s="66">
        <v>30000</v>
      </c>
      <c r="AF542" s="66">
        <v>35000</v>
      </c>
      <c r="AG542" s="66">
        <v>35000</v>
      </c>
      <c r="AH542" s="66">
        <v>35000</v>
      </c>
      <c r="AK542"/>
      <c r="AL542"/>
      <c r="AM542"/>
      <c r="AN542"/>
      <c r="AO542"/>
    </row>
    <row r="543" spans="1:41" x14ac:dyDescent="0.35">
      <c r="A543" s="66"/>
      <c r="B543" s="66"/>
      <c r="C543" s="49"/>
      <c r="D543" s="49"/>
      <c r="E543" s="49" t="s">
        <v>537</v>
      </c>
      <c r="F543" s="49"/>
      <c r="G543" s="49"/>
      <c r="H543" s="63">
        <v>0</v>
      </c>
      <c r="I543" s="63"/>
      <c r="J543" s="64">
        <v>0</v>
      </c>
      <c r="K543" s="64"/>
      <c r="L543" s="65">
        <v>0</v>
      </c>
      <c r="M543" s="65"/>
      <c r="N543" s="66">
        <f t="shared" si="252"/>
        <v>0</v>
      </c>
      <c r="O543" s="66"/>
      <c r="P543" s="69">
        <f t="shared" si="247"/>
        <v>0</v>
      </c>
      <c r="Q543" s="69">
        <f t="shared" si="247"/>
        <v>0</v>
      </c>
      <c r="R543" s="54"/>
      <c r="S543" s="49"/>
      <c r="T543" s="49"/>
      <c r="U543" s="49"/>
      <c r="V543" s="49"/>
      <c r="W543" s="49" t="s">
        <v>537</v>
      </c>
      <c r="X543" s="49"/>
      <c r="Y543" s="49"/>
      <c r="Z543" s="66">
        <v>0</v>
      </c>
      <c r="AA543" s="140"/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H543" s="66">
        <v>0</v>
      </c>
      <c r="AK543"/>
      <c r="AL543"/>
      <c r="AM543"/>
      <c r="AN543"/>
      <c r="AO543"/>
    </row>
    <row r="544" spans="1:41" x14ac:dyDescent="0.35">
      <c r="A544" s="66"/>
      <c r="B544" s="66"/>
      <c r="C544" s="49"/>
      <c r="D544" s="49"/>
      <c r="E544" s="49" t="s">
        <v>538</v>
      </c>
      <c r="F544" s="49"/>
      <c r="G544" s="49"/>
      <c r="H544" s="63">
        <v>14880.27</v>
      </c>
      <c r="I544" s="63">
        <v>15000</v>
      </c>
      <c r="J544" s="64">
        <v>16092.2</v>
      </c>
      <c r="K544" s="64">
        <v>10000</v>
      </c>
      <c r="L544" s="65">
        <v>-1635.48</v>
      </c>
      <c r="M544" s="65">
        <v>10000</v>
      </c>
      <c r="N544" s="66">
        <f t="shared" si="252"/>
        <v>29336.99</v>
      </c>
      <c r="O544" s="66">
        <f>ROUND(I544+K544+M544,5)</f>
        <v>35000</v>
      </c>
      <c r="P544" s="69">
        <f t="shared" si="247"/>
        <v>9778.9966666666678</v>
      </c>
      <c r="Q544" s="69">
        <f t="shared" si="247"/>
        <v>11666.666666666666</v>
      </c>
      <c r="R544" s="54"/>
      <c r="S544" s="49"/>
      <c r="T544" s="49"/>
      <c r="U544" s="49"/>
      <c r="V544" s="49"/>
      <c r="W544" s="49" t="s">
        <v>538</v>
      </c>
      <c r="X544" s="49"/>
      <c r="Y544" s="49"/>
      <c r="Z544" s="66">
        <v>10000</v>
      </c>
      <c r="AA544" s="140"/>
      <c r="AB544" s="66">
        <v>10000</v>
      </c>
      <c r="AC544" s="66">
        <v>10000</v>
      </c>
      <c r="AD544" s="66">
        <v>10000</v>
      </c>
      <c r="AE544" s="66">
        <v>10000</v>
      </c>
      <c r="AF544" s="66">
        <v>10000</v>
      </c>
      <c r="AG544" s="66">
        <v>10000</v>
      </c>
      <c r="AH544" s="66">
        <v>10000</v>
      </c>
      <c r="AK544"/>
      <c r="AL544"/>
      <c r="AM544"/>
      <c r="AN544"/>
      <c r="AO544"/>
    </row>
    <row r="545" spans="1:41" x14ac:dyDescent="0.35">
      <c r="A545" s="66"/>
      <c r="B545" s="66"/>
      <c r="C545" s="49"/>
      <c r="D545" s="49"/>
      <c r="E545" s="49" t="s">
        <v>539</v>
      </c>
      <c r="F545" s="49"/>
      <c r="G545" s="49"/>
      <c r="H545" s="63"/>
      <c r="I545" s="63"/>
      <c r="J545" s="64"/>
      <c r="K545" s="64"/>
      <c r="L545" s="65"/>
      <c r="M545" s="65"/>
      <c r="N545" s="66"/>
      <c r="O545" s="66"/>
      <c r="P545" s="69"/>
      <c r="Q545" s="69"/>
      <c r="R545" s="54"/>
      <c r="S545" s="49"/>
      <c r="T545" s="49"/>
      <c r="U545" s="49"/>
      <c r="V545" s="49"/>
      <c r="W545" s="49" t="s">
        <v>539</v>
      </c>
      <c r="X545" s="49"/>
      <c r="Y545" s="49"/>
      <c r="Z545" s="66"/>
      <c r="AA545" s="140"/>
      <c r="AB545" s="66"/>
      <c r="AC545" s="66"/>
      <c r="AD545" s="66"/>
      <c r="AE545" s="66"/>
      <c r="AF545" s="66"/>
      <c r="AG545" s="66"/>
      <c r="AH545" s="66"/>
      <c r="AK545"/>
      <c r="AL545"/>
      <c r="AM545"/>
      <c r="AN545"/>
      <c r="AO545"/>
    </row>
    <row r="546" spans="1:41" x14ac:dyDescent="0.35">
      <c r="A546" s="66"/>
      <c r="B546" s="66"/>
      <c r="C546" s="49"/>
      <c r="D546" s="49"/>
      <c r="E546" s="49"/>
      <c r="F546" s="49" t="s">
        <v>540</v>
      </c>
      <c r="G546" s="49"/>
      <c r="H546" s="63">
        <v>11400</v>
      </c>
      <c r="I546" s="63">
        <v>11970</v>
      </c>
      <c r="J546" s="64">
        <v>11400</v>
      </c>
      <c r="K546" s="64">
        <v>11400</v>
      </c>
      <c r="L546" s="65">
        <v>11400</v>
      </c>
      <c r="M546" s="65">
        <v>11970</v>
      </c>
      <c r="N546" s="66">
        <f t="shared" ref="N546:O550" si="254">ROUND(H546+J546+L546,5)</f>
        <v>34200</v>
      </c>
      <c r="O546" s="66">
        <f t="shared" si="254"/>
        <v>35340</v>
      </c>
      <c r="P546" s="69">
        <f t="shared" si="247"/>
        <v>11400</v>
      </c>
      <c r="Q546" s="69">
        <f t="shared" si="247"/>
        <v>11780</v>
      </c>
      <c r="R546" s="54"/>
      <c r="S546" s="49"/>
      <c r="T546" s="49"/>
      <c r="U546" s="49"/>
      <c r="V546" s="49"/>
      <c r="W546" s="49"/>
      <c r="X546" s="49" t="s">
        <v>540</v>
      </c>
      <c r="Y546" s="49"/>
      <c r="Z546" s="66">
        <v>11970</v>
      </c>
      <c r="AA546" s="140"/>
      <c r="AB546" s="66">
        <v>11970</v>
      </c>
      <c r="AC546" s="66">
        <v>11970</v>
      </c>
      <c r="AD546" s="66">
        <v>11970</v>
      </c>
      <c r="AE546" s="66">
        <v>11970</v>
      </c>
      <c r="AF546" s="66">
        <v>11970</v>
      </c>
      <c r="AG546" s="66">
        <v>11970</v>
      </c>
      <c r="AH546" s="66">
        <v>11970</v>
      </c>
      <c r="AK546"/>
      <c r="AL546"/>
      <c r="AM546"/>
      <c r="AN546"/>
      <c r="AO546"/>
    </row>
    <row r="547" spans="1:41" x14ac:dyDescent="0.35">
      <c r="A547" s="66"/>
      <c r="B547" s="66"/>
      <c r="C547" s="49"/>
      <c r="D547" s="49"/>
      <c r="E547" s="49"/>
      <c r="F547" s="49" t="s">
        <v>541</v>
      </c>
      <c r="G547" s="49"/>
      <c r="H547" s="63">
        <v>20000</v>
      </c>
      <c r="I547" s="63">
        <v>20000</v>
      </c>
      <c r="J547" s="64">
        <v>20000.04</v>
      </c>
      <c r="K547" s="64">
        <v>20000</v>
      </c>
      <c r="L547" s="65">
        <v>20000.04</v>
      </c>
      <c r="M547" s="65">
        <v>20000</v>
      </c>
      <c r="N547" s="66">
        <f t="shared" si="254"/>
        <v>60000.08</v>
      </c>
      <c r="O547" s="66">
        <f t="shared" si="254"/>
        <v>60000</v>
      </c>
      <c r="P547" s="69">
        <f t="shared" si="247"/>
        <v>20000.026666666668</v>
      </c>
      <c r="Q547" s="69">
        <f t="shared" si="247"/>
        <v>20000</v>
      </c>
      <c r="R547" s="54"/>
      <c r="S547" s="49"/>
      <c r="T547" s="49"/>
      <c r="U547" s="49"/>
      <c r="V547" s="49"/>
      <c r="W547" s="49"/>
      <c r="X547" s="49" t="s">
        <v>541</v>
      </c>
      <c r="Y547" s="49"/>
      <c r="Z547" s="66">
        <v>21000</v>
      </c>
      <c r="AA547" s="140"/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H547" s="66">
        <v>0</v>
      </c>
      <c r="AJ547" s="110" t="s">
        <v>946</v>
      </c>
      <c r="AK547"/>
      <c r="AL547"/>
      <c r="AM547"/>
      <c r="AN547"/>
      <c r="AO547"/>
    </row>
    <row r="548" spans="1:41" ht="16" thickBot="1" x14ac:dyDescent="0.4">
      <c r="A548" s="66"/>
      <c r="B548" s="66"/>
      <c r="C548" s="49"/>
      <c r="D548" s="49"/>
      <c r="E548" s="49"/>
      <c r="F548" s="49" t="s">
        <v>542</v>
      </c>
      <c r="G548" s="49"/>
      <c r="H548" s="70">
        <v>34792.800000000003</v>
      </c>
      <c r="I548" s="70">
        <v>34464</v>
      </c>
      <c r="J548" s="71">
        <v>36880.32</v>
      </c>
      <c r="K548" s="71">
        <v>32823.360000000001</v>
      </c>
      <c r="L548" s="72">
        <v>39093.120000000003</v>
      </c>
      <c r="M548" s="72">
        <v>38724.339999999997</v>
      </c>
      <c r="N548" s="73">
        <f t="shared" si="254"/>
        <v>110766.24</v>
      </c>
      <c r="O548" s="73">
        <f t="shared" si="254"/>
        <v>106011.7</v>
      </c>
      <c r="P548" s="74">
        <f t="shared" si="247"/>
        <v>36922.080000000002</v>
      </c>
      <c r="Q548" s="74">
        <f t="shared" si="247"/>
        <v>35337.23333333333</v>
      </c>
      <c r="R548" s="54"/>
      <c r="S548" s="49"/>
      <c r="T548" s="49"/>
      <c r="U548" s="49"/>
      <c r="V548" s="49"/>
      <c r="W548" s="49"/>
      <c r="X548" s="49" t="s">
        <v>542</v>
      </c>
      <c r="Y548" s="49"/>
      <c r="Z548" s="73">
        <v>41048</v>
      </c>
      <c r="AA548" s="140"/>
      <c r="AB548" s="73">
        <v>75353.289999999994</v>
      </c>
      <c r="AC548" s="73">
        <v>75353.289999999994</v>
      </c>
      <c r="AD548" s="73">
        <v>75353.289999999994</v>
      </c>
      <c r="AE548" s="73">
        <v>75353.289999999994</v>
      </c>
      <c r="AF548" s="73">
        <v>75353.289999999994</v>
      </c>
      <c r="AG548" s="73">
        <v>43000</v>
      </c>
      <c r="AH548" s="73">
        <v>43000</v>
      </c>
      <c r="AK548"/>
      <c r="AL548"/>
      <c r="AM548"/>
      <c r="AN548"/>
      <c r="AO548"/>
    </row>
    <row r="549" spans="1:41" ht="16" thickBot="1" x14ac:dyDescent="0.4">
      <c r="A549" s="66"/>
      <c r="B549" s="66"/>
      <c r="C549" s="49"/>
      <c r="D549" s="49"/>
      <c r="E549" s="49" t="s">
        <v>543</v>
      </c>
      <c r="F549" s="49"/>
      <c r="G549" s="49"/>
      <c r="H549" s="63">
        <f t="shared" ref="H549:M549" si="255">ROUND(SUM(H545:H548),5)</f>
        <v>66192.800000000003</v>
      </c>
      <c r="I549" s="63">
        <f t="shared" si="255"/>
        <v>66434</v>
      </c>
      <c r="J549" s="64">
        <f t="shared" si="255"/>
        <v>68280.36</v>
      </c>
      <c r="K549" s="64">
        <f t="shared" si="255"/>
        <v>64223.360000000001</v>
      </c>
      <c r="L549" s="65">
        <f t="shared" si="255"/>
        <v>70493.16</v>
      </c>
      <c r="M549" s="65">
        <f t="shared" si="255"/>
        <v>70694.34</v>
      </c>
      <c r="N549" s="66">
        <f t="shared" si="254"/>
        <v>204966.32</v>
      </c>
      <c r="O549" s="66">
        <f t="shared" si="254"/>
        <v>201351.7</v>
      </c>
      <c r="P549" s="69">
        <f t="shared" si="247"/>
        <v>68322.106666666674</v>
      </c>
      <c r="Q549" s="69">
        <f t="shared" si="247"/>
        <v>67117.233333333337</v>
      </c>
      <c r="R549" s="54"/>
      <c r="S549" s="49"/>
      <c r="T549" s="49"/>
      <c r="U549" s="49"/>
      <c r="V549" s="49"/>
      <c r="W549" s="49" t="s">
        <v>543</v>
      </c>
      <c r="X549" s="49"/>
      <c r="Y549" s="49"/>
      <c r="Z549" s="66">
        <f>ROUND(SUM(Z545:Z548),5)</f>
        <v>74018</v>
      </c>
      <c r="AA549" s="140"/>
      <c r="AB549" s="66">
        <f t="shared" ref="AB549:AG549" si="256">ROUND(SUM(AB545:AB548),5)</f>
        <v>87323.29</v>
      </c>
      <c r="AC549" s="66">
        <f t="shared" si="256"/>
        <v>87323.29</v>
      </c>
      <c r="AD549" s="66">
        <f t="shared" si="256"/>
        <v>87323.29</v>
      </c>
      <c r="AE549" s="66">
        <f t="shared" si="256"/>
        <v>87323.29</v>
      </c>
      <c r="AF549" s="66">
        <f t="shared" si="256"/>
        <v>87323.29</v>
      </c>
      <c r="AG549" s="66">
        <f t="shared" si="256"/>
        <v>54970</v>
      </c>
      <c r="AH549" s="66">
        <f t="shared" ref="AH549" si="257">ROUND(SUM(AH545:AH548),5)</f>
        <v>54970</v>
      </c>
      <c r="AK549"/>
      <c r="AL549"/>
      <c r="AM549"/>
      <c r="AN549"/>
      <c r="AO549"/>
    </row>
    <row r="550" spans="1:41" x14ac:dyDescent="0.35">
      <c r="A550" s="66"/>
      <c r="B550" s="66"/>
      <c r="C550" s="49"/>
      <c r="D550" s="49" t="s">
        <v>544</v>
      </c>
      <c r="E550" s="49"/>
      <c r="F550" s="49"/>
      <c r="G550" s="49"/>
      <c r="H550" s="63">
        <f t="shared" ref="H550:M550" si="258">ROUND(SUM(H490:H514)+SUM(H520:H544)+SUM(H549:H549),5)</f>
        <v>820827.03</v>
      </c>
      <c r="I550" s="63">
        <f t="shared" si="258"/>
        <v>933251.5</v>
      </c>
      <c r="J550" s="64">
        <f t="shared" si="258"/>
        <v>885822.56</v>
      </c>
      <c r="K550" s="64">
        <f t="shared" si="258"/>
        <v>789393.59</v>
      </c>
      <c r="L550" s="65">
        <f t="shared" si="258"/>
        <v>1006470.26</v>
      </c>
      <c r="M550" s="65">
        <f t="shared" si="258"/>
        <v>900551.6</v>
      </c>
      <c r="N550" s="66">
        <f t="shared" si="254"/>
        <v>2713119.85</v>
      </c>
      <c r="O550" s="66">
        <f t="shared" si="254"/>
        <v>2623196.69</v>
      </c>
      <c r="P550" s="69">
        <f t="shared" si="247"/>
        <v>904373.28333333333</v>
      </c>
      <c r="Q550" s="69">
        <f t="shared" si="247"/>
        <v>874398.89666666661</v>
      </c>
      <c r="R550" s="54"/>
      <c r="S550" s="49"/>
      <c r="T550" s="49"/>
      <c r="U550" s="49"/>
      <c r="V550" s="49" t="s">
        <v>544</v>
      </c>
      <c r="W550" s="49"/>
      <c r="X550" s="49"/>
      <c r="Y550" s="49"/>
      <c r="Z550" s="78">
        <f>ROUND(SUM(Z490:Z514)+SUM(Z520:Z544)+SUM(Z549:Z549),5)</f>
        <v>979664.82</v>
      </c>
      <c r="AA550" s="140"/>
      <c r="AB550" s="91">
        <f t="shared" ref="AB550:AG550" si="259">ROUND(SUM(AB490:AB514)+SUM(AB520:AB544)+SUM(AB549:AB549),5)</f>
        <v>1013580.17</v>
      </c>
      <c r="AC550" s="91">
        <f t="shared" si="259"/>
        <v>983580.17</v>
      </c>
      <c r="AD550" s="91">
        <f t="shared" si="259"/>
        <v>986099.17</v>
      </c>
      <c r="AE550" s="91">
        <f t="shared" si="259"/>
        <v>985787.17</v>
      </c>
      <c r="AF550" s="91">
        <f t="shared" si="259"/>
        <v>1047700.03</v>
      </c>
      <c r="AG550" s="91">
        <f t="shared" si="259"/>
        <v>1086582</v>
      </c>
      <c r="AH550" s="91">
        <f t="shared" ref="AH550" si="260">ROUND(SUM(AH490:AH514)+SUM(AH520:AH544)+SUM(AH549:AH549),5)</f>
        <v>1068876.6299999999</v>
      </c>
      <c r="AK550"/>
      <c r="AL550"/>
      <c r="AM550"/>
      <c r="AN550"/>
      <c r="AO550"/>
    </row>
    <row r="551" spans="1:41" x14ac:dyDescent="0.35">
      <c r="A551" s="66"/>
      <c r="B551" s="66"/>
      <c r="C551" s="49"/>
      <c r="D551" s="49" t="s">
        <v>545</v>
      </c>
      <c r="E551" s="49"/>
      <c r="F551" s="49"/>
      <c r="G551" s="49"/>
      <c r="H551" s="63"/>
      <c r="I551" s="63"/>
      <c r="J551" s="64"/>
      <c r="K551" s="64"/>
      <c r="L551" s="65"/>
      <c r="M551" s="65"/>
      <c r="N551" s="66"/>
      <c r="O551" s="66"/>
      <c r="P551" s="69"/>
      <c r="Q551" s="69"/>
      <c r="R551" s="54"/>
      <c r="S551" s="49"/>
      <c r="T551" s="49"/>
      <c r="U551" s="49"/>
      <c r="V551" s="49" t="s">
        <v>545</v>
      </c>
      <c r="W551" s="49"/>
      <c r="X551" s="49"/>
      <c r="Y551" s="49"/>
      <c r="Z551" s="66"/>
      <c r="AA551" s="140"/>
      <c r="AB551" s="66"/>
      <c r="AC551" s="66"/>
      <c r="AD551" s="66"/>
      <c r="AE551" s="66"/>
      <c r="AF551" s="66"/>
      <c r="AG551" s="66"/>
      <c r="AH551" s="66"/>
    </row>
    <row r="552" spans="1:41" ht="16" thickBot="1" x14ac:dyDescent="0.4">
      <c r="A552" s="66"/>
      <c r="B552" s="66"/>
      <c r="C552" s="49"/>
      <c r="D552" s="49"/>
      <c r="E552" s="49" t="s">
        <v>546</v>
      </c>
      <c r="F552" s="49"/>
      <c r="G552" s="49"/>
      <c r="H552" s="63">
        <v>4568.2</v>
      </c>
      <c r="I552" s="63">
        <v>20000</v>
      </c>
      <c r="J552" s="64">
        <v>4000.49</v>
      </c>
      <c r="K552" s="64">
        <v>30000</v>
      </c>
      <c r="L552" s="65">
        <v>22812.77</v>
      </c>
      <c r="M552" s="65">
        <v>10000</v>
      </c>
      <c r="N552" s="66">
        <f t="shared" ref="N552:O555" si="261">ROUND(H552+J552+L552,5)</f>
        <v>31381.46</v>
      </c>
      <c r="O552" s="66">
        <f t="shared" si="261"/>
        <v>60000</v>
      </c>
      <c r="P552" s="69">
        <f t="shared" si="247"/>
        <v>10460.486666666666</v>
      </c>
      <c r="Q552" s="69">
        <f t="shared" si="247"/>
        <v>20000</v>
      </c>
      <c r="R552" s="54"/>
      <c r="S552" s="49"/>
      <c r="T552" s="49"/>
      <c r="U552" s="49"/>
      <c r="V552" s="49"/>
      <c r="W552" s="49" t="s">
        <v>546</v>
      </c>
      <c r="X552" s="49"/>
      <c r="Y552" s="49"/>
      <c r="Z552" s="66">
        <v>15000</v>
      </c>
      <c r="AA552" s="140"/>
      <c r="AB552" s="66">
        <v>10000</v>
      </c>
      <c r="AC552" s="66">
        <v>10000</v>
      </c>
      <c r="AD552" s="66">
        <v>10000</v>
      </c>
      <c r="AE552" s="66">
        <v>10000</v>
      </c>
      <c r="AF552" s="66">
        <v>10000</v>
      </c>
      <c r="AG552" s="66">
        <v>10000</v>
      </c>
      <c r="AH552" s="66">
        <v>10000</v>
      </c>
    </row>
    <row r="553" spans="1:41" ht="16" thickBot="1" x14ac:dyDescent="0.4">
      <c r="A553" s="66"/>
      <c r="B553" s="66"/>
      <c r="C553" s="49"/>
      <c r="D553" s="49" t="s">
        <v>547</v>
      </c>
      <c r="E553" s="49"/>
      <c r="F553" s="49"/>
      <c r="G553" s="49"/>
      <c r="H553" s="75">
        <f t="shared" ref="H553:M553" si="262">ROUND(SUM(H551:H552),5)</f>
        <v>4568.2</v>
      </c>
      <c r="I553" s="75">
        <f t="shared" si="262"/>
        <v>20000</v>
      </c>
      <c r="J553" s="76">
        <f t="shared" si="262"/>
        <v>4000.49</v>
      </c>
      <c r="K553" s="76">
        <f t="shared" si="262"/>
        <v>30000</v>
      </c>
      <c r="L553" s="77">
        <f t="shared" si="262"/>
        <v>22812.77</v>
      </c>
      <c r="M553" s="77">
        <f t="shared" si="262"/>
        <v>10000</v>
      </c>
      <c r="N553" s="78">
        <f t="shared" si="261"/>
        <v>31381.46</v>
      </c>
      <c r="O553" s="78">
        <f t="shared" si="261"/>
        <v>60000</v>
      </c>
      <c r="P553" s="79">
        <f t="shared" si="247"/>
        <v>10460.486666666666</v>
      </c>
      <c r="Q553" s="79">
        <f t="shared" si="247"/>
        <v>20000</v>
      </c>
      <c r="R553" s="54"/>
      <c r="S553" s="49"/>
      <c r="T553" s="49"/>
      <c r="U553" s="49"/>
      <c r="V553" s="49" t="s">
        <v>547</v>
      </c>
      <c r="W553" s="49"/>
      <c r="X553" s="49"/>
      <c r="Y553" s="49"/>
      <c r="Z553" s="78">
        <f>ROUND(SUM(Z551:Z552),5)</f>
        <v>15000</v>
      </c>
      <c r="AA553" s="140"/>
      <c r="AB553" s="91">
        <f t="shared" ref="AB553:AG553" si="263">ROUND(SUM(AB551:AB552),5)</f>
        <v>10000</v>
      </c>
      <c r="AC553" s="91">
        <f t="shared" si="263"/>
        <v>10000</v>
      </c>
      <c r="AD553" s="91">
        <f t="shared" si="263"/>
        <v>10000</v>
      </c>
      <c r="AE553" s="91">
        <f t="shared" si="263"/>
        <v>10000</v>
      </c>
      <c r="AF553" s="91">
        <f t="shared" si="263"/>
        <v>10000</v>
      </c>
      <c r="AG553" s="91">
        <f t="shared" si="263"/>
        <v>10000</v>
      </c>
      <c r="AH553" s="91">
        <f t="shared" ref="AH553" si="264">ROUND(SUM(AH551:AH552),5)</f>
        <v>10000</v>
      </c>
    </row>
    <row r="554" spans="1:41" ht="16" thickBot="1" x14ac:dyDescent="0.4">
      <c r="A554" s="66"/>
      <c r="B554" s="66"/>
      <c r="C554" s="49" t="s">
        <v>548</v>
      </c>
      <c r="D554" s="49"/>
      <c r="E554" s="49"/>
      <c r="F554" s="49"/>
      <c r="G554" s="49"/>
      <c r="H554" s="83">
        <f t="shared" ref="H554:M554" si="265">ROUND(H221+H225+H364+H371+H376+H428+H489+H550+H553,5)</f>
        <v>4602596.84</v>
      </c>
      <c r="I554" s="83">
        <f t="shared" si="265"/>
        <v>4826439.17</v>
      </c>
      <c r="J554" s="84">
        <f t="shared" si="265"/>
        <v>5124859.8899999997</v>
      </c>
      <c r="K554" s="84">
        <f t="shared" si="265"/>
        <v>4876753.51</v>
      </c>
      <c r="L554" s="85">
        <f t="shared" si="265"/>
        <v>5236566.88</v>
      </c>
      <c r="M554" s="85">
        <f t="shared" si="265"/>
        <v>5167354.4800000004</v>
      </c>
      <c r="N554" s="86">
        <f t="shared" si="261"/>
        <v>14964023.609999999</v>
      </c>
      <c r="O554" s="86">
        <f t="shared" si="261"/>
        <v>14870547.16</v>
      </c>
      <c r="P554" s="87">
        <f t="shared" si="247"/>
        <v>4988007.87</v>
      </c>
      <c r="Q554" s="87">
        <f t="shared" si="247"/>
        <v>4956849.0533333337</v>
      </c>
      <c r="R554" s="54"/>
      <c r="S554" s="49"/>
      <c r="T554" s="49"/>
      <c r="U554" s="49" t="s">
        <v>548</v>
      </c>
      <c r="V554" s="49"/>
      <c r="W554" s="49"/>
      <c r="X554" s="49"/>
      <c r="Y554" s="49"/>
      <c r="Z554" s="86">
        <f>ROUND(Z221+Z225+Z364+Z371+Z376+Z428+Z489+Z550+Z553,5)</f>
        <v>5275555.82</v>
      </c>
      <c r="AA554" s="140"/>
      <c r="AB554" s="86">
        <f t="shared" ref="AB554:AG554" si="266">ROUND(AB221+AB225+AB364+AB371+AB376+AB428+AB489+AB550+AB553,5)</f>
        <v>5504831.5764199998</v>
      </c>
      <c r="AC554" s="86">
        <f t="shared" si="266"/>
        <v>5320349.5814199997</v>
      </c>
      <c r="AD554" s="86">
        <f t="shared" si="266"/>
        <v>5361614.52202</v>
      </c>
      <c r="AE554" s="86">
        <f t="shared" si="266"/>
        <v>5353153.41</v>
      </c>
      <c r="AF554" s="86">
        <f t="shared" si="266"/>
        <v>5487840.165</v>
      </c>
      <c r="AG554" s="86">
        <f t="shared" si="266"/>
        <v>5590455.9950000001</v>
      </c>
      <c r="AH554" s="86">
        <f t="shared" ref="AH554" si="267">ROUND(AH221+AH225+AH364+AH371+AH376+AH428+AH489+AH550+AH553,5)</f>
        <v>5697750.625</v>
      </c>
    </row>
    <row r="555" spans="1:41" x14ac:dyDescent="0.35">
      <c r="A555" s="66"/>
      <c r="B555" s="66" t="s">
        <v>549</v>
      </c>
      <c r="C555" s="49"/>
      <c r="D555" s="49"/>
      <c r="E555" s="49"/>
      <c r="F555" s="49"/>
      <c r="G555" s="49"/>
      <c r="H555" s="63">
        <f t="shared" ref="H555:M555" si="268">ROUND(H5+H220-H554,5)</f>
        <v>-92592.2</v>
      </c>
      <c r="I555" s="63">
        <f t="shared" si="268"/>
        <v>8714.58</v>
      </c>
      <c r="J555" s="64">
        <f t="shared" si="268"/>
        <v>-187378.98</v>
      </c>
      <c r="K555" s="64">
        <f t="shared" si="268"/>
        <v>826.41</v>
      </c>
      <c r="L555" s="65">
        <f t="shared" si="268"/>
        <v>-21575.47</v>
      </c>
      <c r="M555" s="65">
        <f t="shared" si="268"/>
        <v>354.02</v>
      </c>
      <c r="N555" s="66">
        <f t="shared" si="261"/>
        <v>-301546.65000000002</v>
      </c>
      <c r="O555" s="66">
        <f t="shared" si="261"/>
        <v>9895.01</v>
      </c>
      <c r="P555" s="69">
        <f t="shared" si="247"/>
        <v>-100515.55</v>
      </c>
      <c r="Q555" s="69">
        <f t="shared" si="247"/>
        <v>3298.3366666666666</v>
      </c>
      <c r="R555" s="54"/>
      <c r="S555" s="49"/>
      <c r="T555" s="49" t="s">
        <v>549</v>
      </c>
      <c r="U555" s="49"/>
      <c r="V555" s="49"/>
      <c r="W555" s="49"/>
      <c r="X555" s="49"/>
      <c r="Y555" s="49"/>
      <c r="Z555" s="66">
        <f>ROUND(Z5+Z220-Z554,5)</f>
        <v>811.37</v>
      </c>
      <c r="AA555" s="140"/>
      <c r="AB555" s="66">
        <f t="shared" ref="AB555:AF555" si="269">ROUND(AB5+AB220-AB554,5)</f>
        <v>-193160.46642000001</v>
      </c>
      <c r="AC555" s="66">
        <f t="shared" si="269"/>
        <v>-8678.4714199999999</v>
      </c>
      <c r="AD555" s="66">
        <f t="shared" si="269"/>
        <v>15325.98798</v>
      </c>
      <c r="AE555" s="66">
        <f t="shared" si="269"/>
        <v>3787.1</v>
      </c>
      <c r="AF555" s="66">
        <f t="shared" si="269"/>
        <v>22292.035</v>
      </c>
      <c r="AG555" s="66">
        <f>ROUND(AG5+AG220-AG554,0)</f>
        <v>8513</v>
      </c>
      <c r="AH555" s="66">
        <f>ROUND(AH5+AH220-AH554,0)</f>
        <v>46218</v>
      </c>
    </row>
    <row r="556" spans="1:41" x14ac:dyDescent="0.35">
      <c r="A556" s="66"/>
      <c r="B556" s="66" t="s">
        <v>550</v>
      </c>
      <c r="C556" s="49"/>
      <c r="D556" s="49"/>
      <c r="E556" s="49"/>
      <c r="F556" s="49"/>
      <c r="G556" s="49"/>
      <c r="H556" s="63"/>
      <c r="I556" s="63"/>
      <c r="J556" s="64"/>
      <c r="K556" s="64"/>
      <c r="L556" s="65"/>
      <c r="M556" s="65"/>
      <c r="N556" s="66"/>
      <c r="O556" s="66"/>
      <c r="P556" s="69"/>
      <c r="Q556" s="69"/>
      <c r="R556" s="54"/>
      <c r="S556" s="49"/>
      <c r="T556" s="49" t="s">
        <v>550</v>
      </c>
      <c r="U556" s="49"/>
      <c r="V556" s="49"/>
      <c r="W556" s="49"/>
      <c r="X556" s="49"/>
      <c r="Y556" s="49"/>
      <c r="Z556" s="66"/>
      <c r="AA556" s="140"/>
      <c r="AB556" s="66"/>
      <c r="AC556" s="66"/>
      <c r="AD556" s="66"/>
      <c r="AE556" s="66"/>
      <c r="AF556" s="66"/>
      <c r="AG556" s="66"/>
      <c r="AH556" s="66"/>
    </row>
    <row r="557" spans="1:41" x14ac:dyDescent="0.35">
      <c r="A557" s="66"/>
      <c r="B557" s="66"/>
      <c r="C557" s="49" t="s">
        <v>551</v>
      </c>
      <c r="D557" s="49"/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 t="s">
        <v>551</v>
      </c>
      <c r="V557" s="49"/>
      <c r="W557" s="49"/>
      <c r="X557" s="49"/>
      <c r="Y557" s="49"/>
      <c r="Z557" s="66"/>
      <c r="AA557" s="140"/>
      <c r="AB557" s="66"/>
      <c r="AC557" s="66"/>
      <c r="AD557" s="66"/>
      <c r="AE557" s="66"/>
      <c r="AF557" s="66"/>
      <c r="AG557" s="66"/>
      <c r="AH557" s="66"/>
    </row>
    <row r="558" spans="1:41" x14ac:dyDescent="0.35">
      <c r="A558" s="66"/>
      <c r="B558" s="66"/>
      <c r="C558" s="49"/>
      <c r="D558" s="49" t="s">
        <v>552</v>
      </c>
      <c r="E558" s="49"/>
      <c r="F558" s="49"/>
      <c r="G558" s="49"/>
      <c r="H558" s="63">
        <v>288386.05</v>
      </c>
      <c r="I558" s="63">
        <v>0</v>
      </c>
      <c r="J558" s="64">
        <v>313714.26</v>
      </c>
      <c r="K558" s="64">
        <v>0</v>
      </c>
      <c r="L558" s="65">
        <v>363433.03</v>
      </c>
      <c r="M558" s="65">
        <v>0</v>
      </c>
      <c r="N558" s="66">
        <f>ROUND(H558+J558+L558,5)</f>
        <v>965533.34</v>
      </c>
      <c r="O558" s="66">
        <f>ROUND(I558+K558+M558,5)</f>
        <v>0</v>
      </c>
      <c r="P558" s="69">
        <f t="shared" si="247"/>
        <v>321844.44666666666</v>
      </c>
      <c r="Q558" s="69">
        <f t="shared" si="247"/>
        <v>0</v>
      </c>
      <c r="R558" s="54"/>
      <c r="S558" s="49"/>
      <c r="T558" s="49"/>
      <c r="U558" s="49"/>
      <c r="V558" s="49" t="s">
        <v>552</v>
      </c>
      <c r="W558" s="49"/>
      <c r="X558" s="49"/>
      <c r="Y558" s="49"/>
      <c r="Z558" s="66"/>
      <c r="AA558" s="140"/>
      <c r="AB558" s="66"/>
      <c r="AC558" s="66"/>
      <c r="AD558" s="66"/>
      <c r="AE558" s="66"/>
      <c r="AF558" s="66"/>
      <c r="AG558" s="66"/>
      <c r="AH558" s="66"/>
    </row>
    <row r="559" spans="1:41" x14ac:dyDescent="0.35">
      <c r="A559" s="66"/>
      <c r="B559" s="66"/>
      <c r="C559" s="49"/>
      <c r="D559" s="49" t="s">
        <v>553</v>
      </c>
      <c r="E559" s="49"/>
      <c r="F559" s="49"/>
      <c r="G559" s="49"/>
      <c r="H559" s="63"/>
      <c r="I559" s="63"/>
      <c r="J559" s="64"/>
      <c r="K559" s="64"/>
      <c r="L559" s="65"/>
      <c r="M559" s="65"/>
      <c r="N559" s="66"/>
      <c r="O559" s="66"/>
      <c r="P559" s="69"/>
      <c r="Q559" s="69"/>
      <c r="R559" s="54"/>
      <c r="S559" s="49"/>
      <c r="T559" s="49"/>
      <c r="U559" s="49"/>
      <c r="V559" s="49" t="s">
        <v>553</v>
      </c>
      <c r="W559" s="49"/>
      <c r="X559" s="49"/>
      <c r="Y559" s="49"/>
      <c r="Z559" s="66"/>
      <c r="AA559" s="140"/>
      <c r="AB559" s="66"/>
      <c r="AC559" s="66"/>
      <c r="AD559" s="66"/>
      <c r="AE559" s="66"/>
      <c r="AF559" s="66"/>
      <c r="AG559" s="66"/>
      <c r="AH559" s="66"/>
    </row>
    <row r="560" spans="1:41" x14ac:dyDescent="0.35">
      <c r="A560" s="66"/>
      <c r="B560" s="66"/>
      <c r="C560" s="49"/>
      <c r="D560" s="49"/>
      <c r="E560" s="49" t="s">
        <v>554</v>
      </c>
      <c r="F560" s="49"/>
      <c r="G560" s="49"/>
      <c r="H560" s="63">
        <v>0</v>
      </c>
      <c r="I560" s="63">
        <v>0</v>
      </c>
      <c r="J560" s="64">
        <v>0</v>
      </c>
      <c r="K560" s="64">
        <v>0</v>
      </c>
      <c r="L560" s="65">
        <v>0</v>
      </c>
      <c r="M560" s="65">
        <v>0</v>
      </c>
      <c r="N560" s="66">
        <f t="shared" ref="N560:O565" si="270">ROUND(H560+J560+L560,5)</f>
        <v>0</v>
      </c>
      <c r="O560" s="66">
        <f t="shared" si="270"/>
        <v>0</v>
      </c>
      <c r="P560" s="69">
        <f t="shared" si="247"/>
        <v>0</v>
      </c>
      <c r="Q560" s="69">
        <f t="shared" si="247"/>
        <v>0</v>
      </c>
      <c r="R560" s="54"/>
      <c r="S560" s="49"/>
      <c r="T560" s="49"/>
      <c r="U560" s="49"/>
      <c r="V560" s="49"/>
      <c r="W560" s="49" t="s">
        <v>554</v>
      </c>
      <c r="X560" s="49"/>
      <c r="Y560" s="49"/>
      <c r="Z560" s="66"/>
      <c r="AA560" s="140"/>
      <c r="AB560" s="66"/>
      <c r="AC560" s="66"/>
      <c r="AD560" s="66"/>
      <c r="AE560" s="66"/>
      <c r="AF560" s="66"/>
      <c r="AG560" s="66"/>
      <c r="AH560" s="66"/>
    </row>
    <row r="561" spans="1:34" x14ac:dyDescent="0.35">
      <c r="A561" s="66"/>
      <c r="B561" s="66"/>
      <c r="C561" s="49"/>
      <c r="D561" s="49"/>
      <c r="E561" s="49" t="s">
        <v>555</v>
      </c>
      <c r="F561" s="49"/>
      <c r="G561" s="49"/>
      <c r="H561" s="63">
        <v>0</v>
      </c>
      <c r="I561" s="63">
        <v>0</v>
      </c>
      <c r="J561" s="64">
        <v>0</v>
      </c>
      <c r="K561" s="64">
        <v>0</v>
      </c>
      <c r="L561" s="65">
        <v>0</v>
      </c>
      <c r="M561" s="65">
        <v>0</v>
      </c>
      <c r="N561" s="66">
        <f t="shared" si="270"/>
        <v>0</v>
      </c>
      <c r="O561" s="66">
        <f t="shared" si="270"/>
        <v>0</v>
      </c>
      <c r="P561" s="69">
        <f t="shared" si="247"/>
        <v>0</v>
      </c>
      <c r="Q561" s="69">
        <f t="shared" si="247"/>
        <v>0</v>
      </c>
      <c r="R561" s="54"/>
      <c r="S561" s="49"/>
      <c r="T561" s="49"/>
      <c r="U561" s="49"/>
      <c r="V561" s="49"/>
      <c r="W561" s="49" t="s">
        <v>555</v>
      </c>
      <c r="X561" s="49"/>
      <c r="Y561" s="49"/>
      <c r="Z561" s="66"/>
      <c r="AA561" s="140"/>
      <c r="AB561" s="66"/>
      <c r="AC561" s="66"/>
      <c r="AD561" s="66"/>
      <c r="AE561" s="66"/>
      <c r="AF561" s="66"/>
      <c r="AG561" s="66"/>
      <c r="AH561" s="66"/>
    </row>
    <row r="562" spans="1:34" x14ac:dyDescent="0.35">
      <c r="A562" s="66"/>
      <c r="B562" s="66"/>
      <c r="C562" s="49"/>
      <c r="D562" s="49"/>
      <c r="E562" s="49" t="s">
        <v>556</v>
      </c>
      <c r="F562" s="49"/>
      <c r="G562" s="49"/>
      <c r="H562" s="63">
        <v>10930.61</v>
      </c>
      <c r="I562" s="63">
        <v>0</v>
      </c>
      <c r="J562" s="64">
        <v>16392.32</v>
      </c>
      <c r="K562" s="64">
        <v>0</v>
      </c>
      <c r="L562" s="65">
        <v>17337.490000000002</v>
      </c>
      <c r="M562" s="65">
        <v>0</v>
      </c>
      <c r="N562" s="66">
        <f t="shared" si="270"/>
        <v>44660.42</v>
      </c>
      <c r="O562" s="66">
        <f t="shared" si="270"/>
        <v>0</v>
      </c>
      <c r="P562" s="69">
        <f t="shared" si="247"/>
        <v>14886.806666666665</v>
      </c>
      <c r="Q562" s="69">
        <f t="shared" si="247"/>
        <v>0</v>
      </c>
      <c r="R562" s="54"/>
      <c r="S562" s="49"/>
      <c r="T562" s="49"/>
      <c r="U562" s="49"/>
      <c r="V562" s="49"/>
      <c r="W562" s="49" t="s">
        <v>556</v>
      </c>
      <c r="X562" s="49"/>
      <c r="Y562" s="49"/>
      <c r="Z562" s="66"/>
      <c r="AA562" s="140"/>
      <c r="AB562" s="66"/>
      <c r="AC562" s="66"/>
      <c r="AD562" s="66"/>
      <c r="AE562" s="66"/>
      <c r="AF562" s="66"/>
      <c r="AG562" s="66"/>
      <c r="AH562" s="66"/>
    </row>
    <row r="563" spans="1:34" x14ac:dyDescent="0.35">
      <c r="A563" s="66"/>
      <c r="B563" s="66"/>
      <c r="C563" s="49"/>
      <c r="D563" s="49"/>
      <c r="E563" s="49" t="s">
        <v>557</v>
      </c>
      <c r="F563" s="49"/>
      <c r="G563" s="49"/>
      <c r="H563" s="63">
        <v>12442.84</v>
      </c>
      <c r="I563" s="63">
        <v>0</v>
      </c>
      <c r="J563" s="64">
        <v>10602.84</v>
      </c>
      <c r="K563" s="64">
        <v>0</v>
      </c>
      <c r="L563" s="65">
        <v>10395.5</v>
      </c>
      <c r="M563" s="65">
        <v>0</v>
      </c>
      <c r="N563" s="66">
        <f t="shared" si="270"/>
        <v>33441.18</v>
      </c>
      <c r="O563" s="66">
        <f t="shared" si="270"/>
        <v>0</v>
      </c>
      <c r="P563" s="69">
        <f t="shared" si="247"/>
        <v>11147.06</v>
      </c>
      <c r="Q563" s="69">
        <f t="shared" si="247"/>
        <v>0</v>
      </c>
      <c r="R563" s="54"/>
      <c r="S563" s="49"/>
      <c r="T563" s="49"/>
      <c r="U563" s="49"/>
      <c r="V563" s="49"/>
      <c r="W563" s="49" t="s">
        <v>557</v>
      </c>
      <c r="X563" s="49"/>
      <c r="Y563" s="49"/>
      <c r="Z563" s="66"/>
      <c r="AA563" s="140"/>
      <c r="AB563" s="66"/>
      <c r="AC563" s="66"/>
      <c r="AD563" s="66"/>
      <c r="AE563" s="66"/>
      <c r="AF563" s="66"/>
      <c r="AG563" s="66"/>
      <c r="AH563" s="66"/>
    </row>
    <row r="564" spans="1:34" ht="16" thickBot="1" x14ac:dyDescent="0.4">
      <c r="A564" s="66"/>
      <c r="B564" s="66"/>
      <c r="C564" s="49"/>
      <c r="D564" s="49"/>
      <c r="E564" s="49" t="s">
        <v>558</v>
      </c>
      <c r="F564" s="49"/>
      <c r="G564" s="49"/>
      <c r="H564" s="70">
        <v>1000</v>
      </c>
      <c r="I564" s="70">
        <v>0</v>
      </c>
      <c r="J564" s="71">
        <v>1000</v>
      </c>
      <c r="K564" s="64">
        <v>0</v>
      </c>
      <c r="L564" s="72">
        <v>1000</v>
      </c>
      <c r="M564" s="65">
        <v>0</v>
      </c>
      <c r="N564" s="73">
        <f t="shared" si="270"/>
        <v>3000</v>
      </c>
      <c r="O564" s="73">
        <f t="shared" si="270"/>
        <v>0</v>
      </c>
      <c r="P564" s="74">
        <f t="shared" si="247"/>
        <v>1000</v>
      </c>
      <c r="Q564" s="74">
        <f t="shared" si="247"/>
        <v>0</v>
      </c>
      <c r="R564" s="54"/>
      <c r="S564" s="49"/>
      <c r="T564" s="49"/>
      <c r="U564" s="49"/>
      <c r="V564" s="49"/>
      <c r="W564" s="49" t="s">
        <v>558</v>
      </c>
      <c r="X564" s="49"/>
      <c r="Y564" s="49"/>
      <c r="Z564" s="66"/>
      <c r="AA564" s="140"/>
      <c r="AB564" s="66"/>
      <c r="AC564" s="66"/>
      <c r="AD564" s="66"/>
      <c r="AE564" s="66"/>
      <c r="AF564" s="66"/>
      <c r="AG564" s="66"/>
      <c r="AH564" s="66"/>
    </row>
    <row r="565" spans="1:34" x14ac:dyDescent="0.35">
      <c r="A565" s="66"/>
      <c r="B565" s="66"/>
      <c r="C565" s="49"/>
      <c r="D565" s="49" t="s">
        <v>559</v>
      </c>
      <c r="E565" s="49"/>
      <c r="F565" s="49"/>
      <c r="G565" s="49"/>
      <c r="H565" s="63">
        <f t="shared" ref="H565:M565" si="271">ROUND(SUM(H559:H564),5)</f>
        <v>24373.45</v>
      </c>
      <c r="I565" s="63">
        <f t="shared" si="271"/>
        <v>0</v>
      </c>
      <c r="J565" s="64">
        <f t="shared" si="271"/>
        <v>27995.16</v>
      </c>
      <c r="K565" s="76">
        <f t="shared" si="271"/>
        <v>0</v>
      </c>
      <c r="L565" s="65">
        <f t="shared" si="271"/>
        <v>28732.99</v>
      </c>
      <c r="M565" s="77">
        <f t="shared" si="271"/>
        <v>0</v>
      </c>
      <c r="N565" s="66">
        <f t="shared" si="270"/>
        <v>81101.600000000006</v>
      </c>
      <c r="O565" s="66">
        <f t="shared" si="270"/>
        <v>0</v>
      </c>
      <c r="P565" s="69">
        <f t="shared" si="247"/>
        <v>27033.866666666669</v>
      </c>
      <c r="Q565" s="69">
        <f t="shared" si="247"/>
        <v>0</v>
      </c>
      <c r="R565" s="54"/>
      <c r="S565" s="49"/>
      <c r="T565" s="49"/>
      <c r="U565" s="49"/>
      <c r="V565" s="49" t="s">
        <v>559</v>
      </c>
      <c r="W565" s="49"/>
      <c r="X565" s="49"/>
      <c r="Y565" s="49"/>
      <c r="Z565" s="66"/>
      <c r="AA565" s="140"/>
      <c r="AB565" s="66"/>
      <c r="AC565" s="66"/>
      <c r="AD565" s="66"/>
      <c r="AE565" s="66"/>
      <c r="AF565" s="66"/>
      <c r="AG565" s="66"/>
      <c r="AH565" s="66"/>
    </row>
    <row r="566" spans="1:34" x14ac:dyDescent="0.35">
      <c r="A566" s="66"/>
      <c r="B566" s="66"/>
      <c r="C566" s="49"/>
      <c r="D566" s="49" t="s">
        <v>560</v>
      </c>
      <c r="E566" s="49"/>
      <c r="F566" s="49"/>
      <c r="G566" s="49"/>
      <c r="H566" s="63"/>
      <c r="I566" s="63"/>
      <c r="J566" s="64"/>
      <c r="K566" s="64"/>
      <c r="L566" s="65"/>
      <c r="M566" s="65"/>
      <c r="N566" s="66"/>
      <c r="O566" s="66"/>
      <c r="P566" s="69"/>
      <c r="Q566" s="69"/>
      <c r="R566" s="54"/>
      <c r="S566" s="49"/>
      <c r="T566" s="49"/>
      <c r="U566" s="49"/>
      <c r="V566" s="49" t="s">
        <v>560</v>
      </c>
      <c r="W566" s="49"/>
      <c r="X566" s="49"/>
      <c r="Y566" s="49"/>
      <c r="Z566" s="66"/>
      <c r="AA566" s="140"/>
      <c r="AB566" s="66"/>
      <c r="AC566" s="66"/>
      <c r="AD566" s="66"/>
      <c r="AE566" s="66"/>
      <c r="AF566" s="66"/>
      <c r="AG566" s="66"/>
      <c r="AH566" s="66"/>
    </row>
    <row r="567" spans="1:34" x14ac:dyDescent="0.35">
      <c r="A567" s="66"/>
      <c r="B567" s="66"/>
      <c r="C567" s="49"/>
      <c r="D567" s="49"/>
      <c r="E567" s="49" t="s">
        <v>561</v>
      </c>
      <c r="F567" s="49"/>
      <c r="G567" s="49"/>
      <c r="H567" s="63">
        <v>558.27</v>
      </c>
      <c r="I567" s="63">
        <v>0</v>
      </c>
      <c r="J567" s="64">
        <v>-985.85</v>
      </c>
      <c r="K567" s="64">
        <v>0</v>
      </c>
      <c r="L567" s="65">
        <v>6774.89</v>
      </c>
      <c r="M567" s="65">
        <v>0</v>
      </c>
      <c r="N567" s="66">
        <f t="shared" ref="N567:O571" si="272">ROUND(H567+J567+L567,5)</f>
        <v>6347.31</v>
      </c>
      <c r="O567" s="66">
        <f t="shared" si="272"/>
        <v>0</v>
      </c>
      <c r="P567" s="69">
        <f t="shared" si="247"/>
        <v>2115.77</v>
      </c>
      <c r="Q567" s="69">
        <f t="shared" si="247"/>
        <v>0</v>
      </c>
      <c r="R567" s="54"/>
      <c r="S567" s="49"/>
      <c r="T567" s="49"/>
      <c r="U567" s="49"/>
      <c r="V567" s="49"/>
      <c r="W567" s="49" t="s">
        <v>561</v>
      </c>
      <c r="X567" s="49"/>
      <c r="Y567" s="49"/>
      <c r="Z567" s="66"/>
      <c r="AA567" s="140"/>
      <c r="AB567" s="66"/>
      <c r="AC567" s="66"/>
      <c r="AD567" s="66"/>
      <c r="AE567" s="66"/>
      <c r="AF567" s="66"/>
      <c r="AG567" s="66"/>
      <c r="AH567" s="66"/>
    </row>
    <row r="568" spans="1:34" x14ac:dyDescent="0.35">
      <c r="A568" s="66"/>
      <c r="B568" s="66"/>
      <c r="C568" s="49"/>
      <c r="D568" s="49"/>
      <c r="E568" s="49" t="s">
        <v>562</v>
      </c>
      <c r="F568" s="49"/>
      <c r="G568" s="49"/>
      <c r="H568" s="63">
        <v>0</v>
      </c>
      <c r="I568" s="63">
        <v>0</v>
      </c>
      <c r="J568" s="64">
        <v>0</v>
      </c>
      <c r="K568" s="64">
        <v>0</v>
      </c>
      <c r="L568" s="65">
        <v>-58.71</v>
      </c>
      <c r="M568" s="65">
        <v>0</v>
      </c>
      <c r="N568" s="66">
        <f t="shared" si="272"/>
        <v>-58.71</v>
      </c>
      <c r="O568" s="66">
        <f t="shared" si="272"/>
        <v>0</v>
      </c>
      <c r="P568" s="69">
        <f t="shared" si="247"/>
        <v>-19.57</v>
      </c>
      <c r="Q568" s="69">
        <f t="shared" si="247"/>
        <v>0</v>
      </c>
      <c r="R568" s="54"/>
      <c r="S568" s="49"/>
      <c r="T568" s="49"/>
      <c r="U568" s="49"/>
      <c r="V568" s="49"/>
      <c r="W568" s="49" t="s">
        <v>562</v>
      </c>
      <c r="X568" s="49"/>
      <c r="Y568" s="49"/>
      <c r="Z568" s="66"/>
      <c r="AA568" s="140"/>
      <c r="AB568" s="66"/>
      <c r="AC568" s="66"/>
      <c r="AD568" s="66"/>
      <c r="AE568" s="66"/>
      <c r="AF568" s="66"/>
      <c r="AG568" s="66"/>
      <c r="AH568" s="66"/>
    </row>
    <row r="569" spans="1:34" ht="16" thickBot="1" x14ac:dyDescent="0.4">
      <c r="A569" s="66"/>
      <c r="B569" s="66"/>
      <c r="C569" s="49"/>
      <c r="D569" s="49"/>
      <c r="E569" s="49" t="s">
        <v>563</v>
      </c>
      <c r="F569" s="49"/>
      <c r="G569" s="49"/>
      <c r="H569" s="63">
        <v>136732.6</v>
      </c>
      <c r="I569" s="63">
        <v>0</v>
      </c>
      <c r="J569" s="64">
        <v>235676.86</v>
      </c>
      <c r="K569" s="64">
        <v>0</v>
      </c>
      <c r="L569" s="65">
        <v>195303.78</v>
      </c>
      <c r="M569" s="65">
        <v>0</v>
      </c>
      <c r="N569" s="66">
        <f t="shared" si="272"/>
        <v>567713.24</v>
      </c>
      <c r="O569" s="66">
        <f t="shared" si="272"/>
        <v>0</v>
      </c>
      <c r="P569" s="69">
        <f t="shared" si="247"/>
        <v>189237.74666666667</v>
      </c>
      <c r="Q569" s="69">
        <f t="shared" si="247"/>
        <v>0</v>
      </c>
      <c r="R569" s="54"/>
      <c r="S569" s="49"/>
      <c r="T569" s="49"/>
      <c r="U569" s="49"/>
      <c r="V569" s="49"/>
      <c r="W569" s="49" t="s">
        <v>563</v>
      </c>
      <c r="X569" s="49"/>
      <c r="Y569" s="49"/>
      <c r="Z569" s="66"/>
      <c r="AA569" s="140"/>
      <c r="AB569" s="66"/>
      <c r="AC569" s="66"/>
      <c r="AD569" s="66"/>
      <c r="AE569" s="66"/>
      <c r="AF569" s="66"/>
      <c r="AG569" s="66"/>
      <c r="AH569" s="66"/>
    </row>
    <row r="570" spans="1:34" ht="16" thickBot="1" x14ac:dyDescent="0.4">
      <c r="A570" s="66"/>
      <c r="B570" s="66"/>
      <c r="C570" s="49"/>
      <c r="D570" s="49" t="s">
        <v>564</v>
      </c>
      <c r="E570" s="49"/>
      <c r="F570" s="49"/>
      <c r="G570" s="49"/>
      <c r="H570" s="83">
        <f t="shared" ref="H570:M570" si="273">ROUND(SUM(H566:H569),5)</f>
        <v>137290.87</v>
      </c>
      <c r="I570" s="83">
        <f t="shared" si="273"/>
        <v>0</v>
      </c>
      <c r="J570" s="84">
        <f t="shared" si="273"/>
        <v>234691.01</v>
      </c>
      <c r="K570" s="84">
        <f t="shared" si="273"/>
        <v>0</v>
      </c>
      <c r="L570" s="85">
        <f t="shared" si="273"/>
        <v>202019.96</v>
      </c>
      <c r="M570" s="85">
        <f t="shared" si="273"/>
        <v>0</v>
      </c>
      <c r="N570" s="86">
        <f t="shared" si="272"/>
        <v>574001.84</v>
      </c>
      <c r="O570" s="86">
        <f t="shared" si="272"/>
        <v>0</v>
      </c>
      <c r="P570" s="87">
        <f t="shared" si="247"/>
        <v>191333.94666666666</v>
      </c>
      <c r="Q570" s="87">
        <f t="shared" si="247"/>
        <v>0</v>
      </c>
      <c r="R570" s="54"/>
      <c r="S570" s="49"/>
      <c r="T570" s="49"/>
      <c r="U570" s="49"/>
      <c r="V570" s="49" t="s">
        <v>564</v>
      </c>
      <c r="W570" s="49"/>
      <c r="X570" s="49"/>
      <c r="Y570" s="49"/>
      <c r="Z570" s="66"/>
      <c r="AA570" s="140"/>
      <c r="AB570" s="66"/>
      <c r="AC570" s="66"/>
      <c r="AD570" s="66"/>
      <c r="AE570" s="66"/>
      <c r="AF570" s="66"/>
      <c r="AG570" s="66"/>
      <c r="AH570" s="66"/>
    </row>
    <row r="571" spans="1:34" x14ac:dyDescent="0.35">
      <c r="A571" s="66"/>
      <c r="B571" s="66"/>
      <c r="C571" s="49" t="s">
        <v>565</v>
      </c>
      <c r="D571" s="49"/>
      <c r="E571" s="49"/>
      <c r="F571" s="49"/>
      <c r="G571" s="49"/>
      <c r="H571" s="63">
        <f t="shared" ref="H571:M571" si="274">ROUND(SUM(H557:H558)+H565+H570,5)</f>
        <v>450050.37</v>
      </c>
      <c r="I571" s="63">
        <f t="shared" si="274"/>
        <v>0</v>
      </c>
      <c r="J571" s="64">
        <f t="shared" si="274"/>
        <v>576400.43000000005</v>
      </c>
      <c r="K571" s="64">
        <f t="shared" si="274"/>
        <v>0</v>
      </c>
      <c r="L571" s="65">
        <f t="shared" si="274"/>
        <v>594185.98</v>
      </c>
      <c r="M571" s="65">
        <f t="shared" si="274"/>
        <v>0</v>
      </c>
      <c r="N571" s="66">
        <f t="shared" si="272"/>
        <v>1620636.78</v>
      </c>
      <c r="O571" s="66">
        <f t="shared" si="272"/>
        <v>0</v>
      </c>
      <c r="P571" s="69">
        <f t="shared" si="247"/>
        <v>540212.26</v>
      </c>
      <c r="Q571" s="69">
        <f t="shared" si="247"/>
        <v>0</v>
      </c>
      <c r="R571" s="54"/>
      <c r="S571" s="49"/>
      <c r="T571" s="49"/>
      <c r="U571" s="49" t="s">
        <v>565</v>
      </c>
      <c r="V571" s="49"/>
      <c r="W571" s="49"/>
      <c r="X571" s="49"/>
      <c r="Y571" s="49"/>
      <c r="Z571" s="66"/>
      <c r="AA571" s="140"/>
      <c r="AB571" s="66"/>
      <c r="AC571" s="66"/>
      <c r="AD571" s="66"/>
      <c r="AE571" s="66"/>
      <c r="AF571" s="66"/>
      <c r="AG571" s="66"/>
      <c r="AH571" s="66"/>
    </row>
    <row r="572" spans="1:34" x14ac:dyDescent="0.35">
      <c r="A572" s="66"/>
      <c r="B572" s="66"/>
      <c r="C572" s="49" t="s">
        <v>566</v>
      </c>
      <c r="D572" s="49"/>
      <c r="E572" s="49"/>
      <c r="F572" s="49"/>
      <c r="G572" s="49"/>
      <c r="H572" s="63"/>
      <c r="I572" s="63"/>
      <c r="J572" s="64"/>
      <c r="K572" s="64"/>
      <c r="L572" s="65"/>
      <c r="M572" s="65"/>
      <c r="N572" s="66"/>
      <c r="O572" s="66"/>
      <c r="P572" s="69"/>
      <c r="Q572" s="69"/>
      <c r="R572" s="54"/>
      <c r="S572" s="49"/>
      <c r="T572" s="49"/>
      <c r="U572" s="49" t="s">
        <v>566</v>
      </c>
      <c r="V572" s="49"/>
      <c r="W572" s="49"/>
      <c r="X572" s="49"/>
      <c r="Y572" s="49"/>
      <c r="Z572" s="66"/>
      <c r="AA572" s="140"/>
      <c r="AB572" s="66"/>
      <c r="AC572" s="66"/>
      <c r="AD572" s="66"/>
      <c r="AE572" s="66"/>
      <c r="AF572" s="66"/>
      <c r="AG572" s="66"/>
      <c r="AH572" s="66"/>
    </row>
    <row r="573" spans="1:34" x14ac:dyDescent="0.35">
      <c r="A573" s="66"/>
      <c r="B573" s="66"/>
      <c r="C573" s="49"/>
      <c r="D573" s="49" t="s">
        <v>567</v>
      </c>
      <c r="E573" s="49"/>
      <c r="F573" s="49"/>
      <c r="G573" s="49"/>
      <c r="H573" s="63"/>
      <c r="I573" s="63"/>
      <c r="J573" s="64"/>
      <c r="K573" s="64"/>
      <c r="L573" s="65"/>
      <c r="M573" s="65"/>
      <c r="N573" s="66"/>
      <c r="O573" s="66"/>
      <c r="P573" s="69"/>
      <c r="Q573" s="69"/>
      <c r="R573" s="54"/>
      <c r="S573" s="49"/>
      <c r="T573" s="49"/>
      <c r="U573" s="49"/>
      <c r="V573" s="49" t="s">
        <v>567</v>
      </c>
      <c r="W573" s="49"/>
      <c r="X573" s="49"/>
      <c r="Y573" s="49"/>
      <c r="Z573" s="66"/>
      <c r="AA573" s="140"/>
      <c r="AB573" s="66"/>
      <c r="AC573" s="66"/>
      <c r="AD573" s="66"/>
      <c r="AE573" s="66"/>
      <c r="AF573" s="66"/>
      <c r="AG573" s="66"/>
      <c r="AH573" s="66"/>
    </row>
    <row r="574" spans="1:34" x14ac:dyDescent="0.35">
      <c r="A574" s="66"/>
      <c r="B574" s="66"/>
      <c r="C574" s="49"/>
      <c r="D574" s="49"/>
      <c r="E574" s="49" t="s">
        <v>568</v>
      </c>
      <c r="F574" s="49"/>
      <c r="G574" s="49"/>
      <c r="H574" s="63">
        <v>541.88</v>
      </c>
      <c r="I574" s="63">
        <v>0</v>
      </c>
      <c r="J574" s="64">
        <v>554.29999999999995</v>
      </c>
      <c r="K574" s="64">
        <v>0</v>
      </c>
      <c r="L574" s="65">
        <v>645.24</v>
      </c>
      <c r="M574" s="65">
        <v>0</v>
      </c>
      <c r="N574" s="66">
        <f t="shared" ref="N574:O582" si="275">ROUND(H574+J574+L574,5)</f>
        <v>1741.42</v>
      </c>
      <c r="O574" s="66">
        <f t="shared" si="275"/>
        <v>0</v>
      </c>
      <c r="P574" s="69">
        <f t="shared" ref="P574:Q582" si="276">N574/3</f>
        <v>580.47333333333336</v>
      </c>
      <c r="Q574" s="69">
        <f t="shared" si="276"/>
        <v>0</v>
      </c>
      <c r="R574" s="54"/>
      <c r="S574" s="49"/>
      <c r="T574" s="49"/>
      <c r="U574" s="49"/>
      <c r="V574" s="49"/>
      <c r="W574" s="49" t="s">
        <v>568</v>
      </c>
      <c r="X574" s="49"/>
      <c r="Y574" s="49"/>
      <c r="Z574" s="66"/>
      <c r="AA574" s="140"/>
      <c r="AB574" s="66"/>
      <c r="AC574" s="66"/>
      <c r="AD574" s="66"/>
      <c r="AE574" s="66"/>
      <c r="AF574" s="66"/>
      <c r="AG574" s="66"/>
      <c r="AH574" s="66"/>
    </row>
    <row r="575" spans="1:34" x14ac:dyDescent="0.35">
      <c r="A575" s="66"/>
      <c r="B575" s="66"/>
      <c r="C575" s="49"/>
      <c r="D575" s="49"/>
      <c r="E575" s="49" t="s">
        <v>569</v>
      </c>
      <c r="F575" s="49"/>
      <c r="G575" s="49"/>
      <c r="H575" s="63">
        <v>0</v>
      </c>
      <c r="I575" s="63">
        <v>0</v>
      </c>
      <c r="J575" s="64">
        <v>0</v>
      </c>
      <c r="K575" s="64">
        <v>0</v>
      </c>
      <c r="L575" s="65">
        <v>0</v>
      </c>
      <c r="M575" s="65">
        <v>0</v>
      </c>
      <c r="N575" s="66">
        <f t="shared" si="275"/>
        <v>0</v>
      </c>
      <c r="O575" s="66">
        <f t="shared" si="275"/>
        <v>0</v>
      </c>
      <c r="P575" s="69">
        <f t="shared" si="276"/>
        <v>0</v>
      </c>
      <c r="Q575" s="69">
        <f t="shared" si="276"/>
        <v>0</v>
      </c>
      <c r="R575" s="54"/>
      <c r="S575" s="49"/>
      <c r="T575" s="49"/>
      <c r="U575" s="49"/>
      <c r="V575" s="49"/>
      <c r="W575" s="49" t="s">
        <v>569</v>
      </c>
      <c r="X575" s="49"/>
      <c r="Y575" s="49"/>
      <c r="Z575" s="66"/>
      <c r="AA575" s="143"/>
      <c r="AB575" s="66"/>
      <c r="AC575" s="66"/>
      <c r="AD575" s="66"/>
      <c r="AE575" s="66"/>
      <c r="AF575" s="66"/>
      <c r="AG575" s="66"/>
      <c r="AH575" s="66"/>
    </row>
    <row r="576" spans="1:34" x14ac:dyDescent="0.35">
      <c r="A576" s="66"/>
      <c r="B576" s="66"/>
      <c r="C576" s="49"/>
      <c r="D576" s="49"/>
      <c r="E576" s="49" t="s">
        <v>570</v>
      </c>
      <c r="F576" s="49"/>
      <c r="G576" s="49"/>
      <c r="H576" s="63">
        <v>2500</v>
      </c>
      <c r="I576" s="63">
        <v>0</v>
      </c>
      <c r="J576" s="64">
        <v>4000</v>
      </c>
      <c r="K576" s="64">
        <v>0</v>
      </c>
      <c r="L576" s="65">
        <v>4500</v>
      </c>
      <c r="M576" s="65">
        <v>0</v>
      </c>
      <c r="N576" s="66">
        <f t="shared" si="275"/>
        <v>11000</v>
      </c>
      <c r="O576" s="66">
        <f t="shared" si="275"/>
        <v>0</v>
      </c>
      <c r="P576" s="69">
        <f t="shared" si="276"/>
        <v>3666.6666666666665</v>
      </c>
      <c r="Q576" s="69">
        <f t="shared" si="276"/>
        <v>0</v>
      </c>
      <c r="R576" s="54"/>
      <c r="S576" s="49"/>
      <c r="T576" s="49"/>
      <c r="U576" s="49"/>
      <c r="V576" s="49"/>
      <c r="W576" s="49" t="s">
        <v>570</v>
      </c>
      <c r="X576" s="49"/>
      <c r="Y576" s="49"/>
      <c r="Z576" s="66"/>
      <c r="AA576" s="140"/>
      <c r="AB576" s="66"/>
      <c r="AC576" s="66"/>
      <c r="AD576" s="66"/>
      <c r="AE576" s="66"/>
      <c r="AF576" s="66"/>
      <c r="AG576" s="66"/>
      <c r="AH576" s="66"/>
    </row>
    <row r="577" spans="1:36" ht="16" thickBot="1" x14ac:dyDescent="0.4">
      <c r="A577" s="66"/>
      <c r="B577" s="66"/>
      <c r="C577" s="49"/>
      <c r="D577" s="49"/>
      <c r="E577" s="49" t="s">
        <v>571</v>
      </c>
      <c r="F577" s="49"/>
      <c r="G577" s="49"/>
      <c r="H577" s="70">
        <v>21487.599999999999</v>
      </c>
      <c r="I577" s="70">
        <v>0</v>
      </c>
      <c r="J577" s="71">
        <v>19409.990000000002</v>
      </c>
      <c r="K577" s="64">
        <v>0</v>
      </c>
      <c r="L577" s="72">
        <v>19578.830000000002</v>
      </c>
      <c r="M577" s="65">
        <v>0</v>
      </c>
      <c r="N577" s="73">
        <f t="shared" si="275"/>
        <v>60476.42</v>
      </c>
      <c r="O577" s="73">
        <f t="shared" si="275"/>
        <v>0</v>
      </c>
      <c r="P577" s="74">
        <f t="shared" si="276"/>
        <v>20158.806666666667</v>
      </c>
      <c r="Q577" s="74">
        <f t="shared" si="276"/>
        <v>0</v>
      </c>
      <c r="R577" s="54"/>
      <c r="S577" s="49"/>
      <c r="T577" s="49"/>
      <c r="U577" s="49"/>
      <c r="V577" s="49"/>
      <c r="W577" s="49" t="s">
        <v>571</v>
      </c>
      <c r="X577" s="49"/>
      <c r="Y577" s="49"/>
      <c r="Z577" s="66"/>
      <c r="AA577" s="140"/>
      <c r="AB577" s="66"/>
      <c r="AC577" s="66"/>
      <c r="AD577" s="66"/>
      <c r="AE577" s="66"/>
      <c r="AF577" s="66"/>
      <c r="AG577" s="66"/>
      <c r="AH577" s="66"/>
    </row>
    <row r="578" spans="1:36" x14ac:dyDescent="0.35">
      <c r="A578" s="66"/>
      <c r="B578" s="66"/>
      <c r="C578" s="49"/>
      <c r="D578" s="49" t="s">
        <v>572</v>
      </c>
      <c r="E578" s="49"/>
      <c r="F578" s="49"/>
      <c r="G578" s="49"/>
      <c r="H578" s="63">
        <f t="shared" ref="H578:M578" si="277">ROUND(SUM(H573:H577),5)</f>
        <v>24529.48</v>
      </c>
      <c r="I578" s="63">
        <f t="shared" si="277"/>
        <v>0</v>
      </c>
      <c r="J578" s="64">
        <f t="shared" si="277"/>
        <v>23964.29</v>
      </c>
      <c r="K578" s="76">
        <f t="shared" si="277"/>
        <v>0</v>
      </c>
      <c r="L578" s="65">
        <f t="shared" si="277"/>
        <v>24724.07</v>
      </c>
      <c r="M578" s="77">
        <f t="shared" si="277"/>
        <v>0</v>
      </c>
      <c r="N578" s="66">
        <f t="shared" si="275"/>
        <v>73217.84</v>
      </c>
      <c r="O578" s="66">
        <f t="shared" si="275"/>
        <v>0</v>
      </c>
      <c r="P578" s="69">
        <f t="shared" si="276"/>
        <v>24405.946666666667</v>
      </c>
      <c r="Q578" s="69">
        <f t="shared" si="276"/>
        <v>0</v>
      </c>
      <c r="R578" s="54"/>
      <c r="S578" s="49"/>
      <c r="T578" s="49"/>
      <c r="U578" s="49"/>
      <c r="V578" s="49" t="s">
        <v>572</v>
      </c>
      <c r="W578" s="49"/>
      <c r="X578" s="49"/>
      <c r="Y578" s="49"/>
      <c r="Z578" s="66"/>
      <c r="AA578" s="140"/>
      <c r="AB578" s="66"/>
      <c r="AC578" s="66"/>
      <c r="AD578" s="66"/>
      <c r="AE578" s="66"/>
      <c r="AF578" s="66"/>
      <c r="AG578" s="66"/>
      <c r="AH578" s="66"/>
    </row>
    <row r="579" spans="1:36" ht="16" thickBot="1" x14ac:dyDescent="0.4">
      <c r="A579" s="66"/>
      <c r="B579" s="66"/>
      <c r="C579" s="49"/>
      <c r="D579" s="49" t="s">
        <v>573</v>
      </c>
      <c r="E579" s="49"/>
      <c r="F579" s="49"/>
      <c r="G579" s="49"/>
      <c r="H579" s="63">
        <v>288386.05</v>
      </c>
      <c r="I579" s="63">
        <v>0</v>
      </c>
      <c r="J579" s="64">
        <v>313714.26</v>
      </c>
      <c r="K579" s="64">
        <v>0</v>
      </c>
      <c r="L579" s="65">
        <v>363433.03</v>
      </c>
      <c r="M579" s="65">
        <v>0</v>
      </c>
      <c r="N579" s="66">
        <f t="shared" si="275"/>
        <v>965533.34</v>
      </c>
      <c r="O579" s="66">
        <f t="shared" si="275"/>
        <v>0</v>
      </c>
      <c r="P579" s="69">
        <f t="shared" si="276"/>
        <v>321844.44666666666</v>
      </c>
      <c r="Q579" s="69">
        <f t="shared" si="276"/>
        <v>0</v>
      </c>
      <c r="R579" s="54"/>
      <c r="S579" s="49"/>
      <c r="T579" s="49"/>
      <c r="U579" s="49"/>
      <c r="V579" s="49" t="s">
        <v>573</v>
      </c>
      <c r="W579" s="49"/>
      <c r="X579" s="49"/>
      <c r="Y579" s="49"/>
      <c r="Z579" s="66"/>
      <c r="AA579" s="140"/>
      <c r="AB579" s="66"/>
      <c r="AC579" s="66"/>
      <c r="AD579" s="66"/>
      <c r="AE579" s="66"/>
      <c r="AF579" s="66"/>
      <c r="AG579" s="66"/>
      <c r="AH579" s="66"/>
    </row>
    <row r="580" spans="1:36" ht="16" thickBot="1" x14ac:dyDescent="0.4">
      <c r="A580" s="66"/>
      <c r="B580" s="66"/>
      <c r="C580" s="49" t="s">
        <v>574</v>
      </c>
      <c r="D580" s="49"/>
      <c r="E580" s="49"/>
      <c r="F580" s="49"/>
      <c r="G580" s="49"/>
      <c r="H580" s="75">
        <f t="shared" ref="H580:M580" si="278">ROUND(H572+SUM(H578:H579),5)</f>
        <v>312915.53000000003</v>
      </c>
      <c r="I580" s="75">
        <f t="shared" si="278"/>
        <v>0</v>
      </c>
      <c r="J580" s="76">
        <f t="shared" si="278"/>
        <v>337678.55</v>
      </c>
      <c r="K580" s="76">
        <f t="shared" si="278"/>
        <v>0</v>
      </c>
      <c r="L580" s="77">
        <f t="shared" si="278"/>
        <v>388157.1</v>
      </c>
      <c r="M580" s="77">
        <f t="shared" si="278"/>
        <v>0</v>
      </c>
      <c r="N580" s="78">
        <f t="shared" si="275"/>
        <v>1038751.18</v>
      </c>
      <c r="O580" s="78">
        <f t="shared" si="275"/>
        <v>0</v>
      </c>
      <c r="P580" s="79">
        <f t="shared" si="276"/>
        <v>346250.39333333337</v>
      </c>
      <c r="Q580" s="79">
        <f t="shared" si="276"/>
        <v>0</v>
      </c>
      <c r="R580" s="54"/>
      <c r="S580" s="49"/>
      <c r="T580" s="49"/>
      <c r="U580" s="49" t="s">
        <v>574</v>
      </c>
      <c r="V580" s="49"/>
      <c r="W580" s="49"/>
      <c r="X580" s="49"/>
      <c r="Y580" s="49"/>
      <c r="Z580" s="66"/>
      <c r="AA580" s="140"/>
      <c r="AB580" s="66"/>
      <c r="AC580" s="66"/>
      <c r="AD580" s="66"/>
      <c r="AE580" s="66"/>
      <c r="AF580" s="66"/>
      <c r="AG580" s="66"/>
      <c r="AH580" s="66"/>
      <c r="AJ580" s="194"/>
    </row>
    <row r="581" spans="1:36" ht="16" thickBot="1" x14ac:dyDescent="0.4">
      <c r="A581" s="66"/>
      <c r="B581" s="66" t="s">
        <v>575</v>
      </c>
      <c r="C581" s="49"/>
      <c r="D581" s="49"/>
      <c r="E581" s="49"/>
      <c r="F581" s="49"/>
      <c r="G581" s="49"/>
      <c r="H581" s="75">
        <f t="shared" ref="H581:M581" si="279">ROUND(H556+H571-H580,5)</f>
        <v>137134.84</v>
      </c>
      <c r="I581" s="75">
        <f t="shared" si="279"/>
        <v>0</v>
      </c>
      <c r="J581" s="76">
        <f t="shared" si="279"/>
        <v>238721.88</v>
      </c>
      <c r="K581" s="76">
        <f t="shared" si="279"/>
        <v>0</v>
      </c>
      <c r="L581" s="77">
        <f t="shared" si="279"/>
        <v>206028.88</v>
      </c>
      <c r="M581" s="77">
        <f t="shared" si="279"/>
        <v>0</v>
      </c>
      <c r="N581" s="78">
        <f t="shared" si="275"/>
        <v>581885.6</v>
      </c>
      <c r="O581" s="78">
        <f t="shared" si="275"/>
        <v>0</v>
      </c>
      <c r="P581" s="79">
        <f t="shared" si="276"/>
        <v>193961.86666666667</v>
      </c>
      <c r="Q581" s="79">
        <f t="shared" si="276"/>
        <v>0</v>
      </c>
      <c r="R581" s="54"/>
      <c r="S581" s="49"/>
      <c r="T581" s="49" t="s">
        <v>575</v>
      </c>
      <c r="U581" s="49"/>
      <c r="V581" s="49"/>
      <c r="W581" s="49"/>
      <c r="X581" s="49"/>
      <c r="Y581" s="49"/>
      <c r="Z581" s="66"/>
      <c r="AA581" s="140"/>
      <c r="AB581" s="66"/>
      <c r="AC581" s="66"/>
      <c r="AD581" s="66"/>
      <c r="AE581" s="66"/>
      <c r="AF581" s="66"/>
      <c r="AG581" s="66"/>
      <c r="AH581" s="66"/>
    </row>
    <row r="582" spans="1:36" s="45" customFormat="1" ht="16" thickBot="1" x14ac:dyDescent="0.4">
      <c r="A582" s="95" t="s">
        <v>576</v>
      </c>
      <c r="B582" s="95"/>
      <c r="C582" s="49"/>
      <c r="D582" s="49"/>
      <c r="E582" s="49"/>
      <c r="F582" s="49"/>
      <c r="G582" s="49"/>
      <c r="H582" s="96">
        <f t="shared" ref="H582:M582" si="280">ROUND(H555+H581,5)</f>
        <v>44542.64</v>
      </c>
      <c r="I582" s="96">
        <f t="shared" si="280"/>
        <v>8714.58</v>
      </c>
      <c r="J582" s="97">
        <f t="shared" si="280"/>
        <v>51342.9</v>
      </c>
      <c r="K582" s="97">
        <f t="shared" si="280"/>
        <v>826.41</v>
      </c>
      <c r="L582" s="98">
        <f t="shared" si="280"/>
        <v>184453.41</v>
      </c>
      <c r="M582" s="98">
        <f t="shared" si="280"/>
        <v>354.02</v>
      </c>
      <c r="N582" s="99">
        <f t="shared" si="275"/>
        <v>280338.95</v>
      </c>
      <c r="O582" s="99">
        <f t="shared" si="275"/>
        <v>9895.01</v>
      </c>
      <c r="P582" s="100">
        <f t="shared" si="276"/>
        <v>93446.316666666666</v>
      </c>
      <c r="Q582" s="100">
        <f t="shared" si="276"/>
        <v>3298.3366666666666</v>
      </c>
      <c r="R582" s="101"/>
      <c r="S582" s="49" t="s">
        <v>576</v>
      </c>
      <c r="T582" s="49"/>
      <c r="U582" s="49"/>
      <c r="V582" s="49"/>
      <c r="W582" s="49"/>
      <c r="X582" s="49"/>
      <c r="Y582" s="49"/>
      <c r="Z582" s="99">
        <f>ROUND(Z555+Z581,5)</f>
        <v>811.37</v>
      </c>
      <c r="AA582" s="140"/>
      <c r="AB582" s="99">
        <f t="shared" ref="AB582:AG582" si="281">ROUND(AB555+AB581,5)</f>
        <v>-193160.46642000001</v>
      </c>
      <c r="AC582" s="99">
        <f t="shared" si="281"/>
        <v>-8678.4714199999999</v>
      </c>
      <c r="AD582" s="99">
        <f t="shared" si="281"/>
        <v>15325.98798</v>
      </c>
      <c r="AE582" s="99">
        <f t="shared" si="281"/>
        <v>3787.1</v>
      </c>
      <c r="AF582" s="99">
        <f t="shared" si="281"/>
        <v>22292.035</v>
      </c>
      <c r="AG582" s="99">
        <f t="shared" si="281"/>
        <v>8513</v>
      </c>
      <c r="AH582" s="99">
        <f t="shared" ref="AH582" si="282">ROUND(AH555+AH581,5)</f>
        <v>46218</v>
      </c>
      <c r="AI582" s="110"/>
      <c r="AJ582" s="110"/>
    </row>
    <row r="583" spans="1:36" ht="16" thickTop="1" x14ac:dyDescent="0.35">
      <c r="AB583" s="47"/>
      <c r="AC583" s="47"/>
      <c r="AD583" s="47"/>
      <c r="AE583" s="47"/>
      <c r="AF583" s="47"/>
      <c r="AG583" s="47"/>
      <c r="AH583" s="47"/>
    </row>
  </sheetData>
  <mergeCells count="3">
    <mergeCell ref="P3:Q3"/>
    <mergeCell ref="AP170:AP171"/>
    <mergeCell ref="AM194:AO19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637A-962D-4CDB-98A1-F6A8B09AD8EB}">
  <sheetPr>
    <tabColor rgb="FFE2C5FF"/>
  </sheetPr>
  <dimension ref="A1:AQ583"/>
  <sheetViews>
    <sheetView topLeftCell="Q1" zoomScale="145" zoomScaleNormal="145" workbookViewId="0">
      <pane ySplit="4" topLeftCell="A449" activePane="bottomLeft" state="frozen"/>
      <selection pane="bottomLeft" activeCell="Q1" sqref="A1:XFD1048576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4.1796875" style="46" customWidth="1"/>
    <col min="10" max="10" width="16.81640625" style="46" customWidth="1"/>
    <col min="11" max="11" width="14.1796875" style="46" customWidth="1"/>
    <col min="12" max="12" width="16.81640625" style="46" customWidth="1"/>
    <col min="13" max="13" width="14.1796875" style="46" customWidth="1"/>
    <col min="14" max="14" width="16.81640625" style="46" customWidth="1"/>
    <col min="15" max="15" width="14.81640625" style="46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36328125" style="45" bestFit="1" customWidth="1"/>
    <col min="26" max="26" width="22.54296875" style="47" customWidth="1"/>
    <col min="27" max="27" width="0.6328125" style="46" customWidth="1"/>
    <col min="28" max="33" width="17.1796875" style="46" hidden="1" customWidth="1"/>
    <col min="34" max="34" width="17.1796875" style="46" bestFit="1" customWidth="1"/>
    <col min="35" max="35" width="17.1796875" style="46" customWidth="1"/>
    <col min="36" max="36" width="30.90625" style="110" bestFit="1" customWidth="1"/>
    <col min="37" max="37" width="47.81640625" style="110" customWidth="1"/>
    <col min="38" max="38" width="11.54296875" style="46" bestFit="1" customWidth="1"/>
    <col min="39" max="39" width="12.1796875" style="111" bestFit="1" customWidth="1"/>
    <col min="40" max="40" width="18.453125" style="46" bestFit="1" customWidth="1"/>
    <col min="41" max="41" width="14.453125" style="46" customWidth="1"/>
    <col min="42" max="42" width="11.81640625" style="46" bestFit="1" customWidth="1"/>
    <col min="43" max="43" width="11.81640625" style="46" customWidth="1"/>
    <col min="44" max="44" width="11.54296875" style="46" bestFit="1" customWidth="1"/>
    <col min="45" max="16384" width="8.81640625" style="46"/>
  </cols>
  <sheetData>
    <row r="1" spans="1:39" ht="25" customHeight="1" x14ac:dyDescent="0.35">
      <c r="H1" s="103">
        <f t="shared" ref="H1:Q1" si="0">H582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Z582</f>
        <v>811.37</v>
      </c>
      <c r="AA1" s="139"/>
      <c r="AB1" s="106">
        <f t="shared" ref="AB1:AH1" si="1">AB582</f>
        <v>-193160.46642000001</v>
      </c>
      <c r="AC1" s="129">
        <f t="shared" si="1"/>
        <v>-8678.4714199999999</v>
      </c>
      <c r="AD1" s="132">
        <f t="shared" si="1"/>
        <v>15325.98798</v>
      </c>
      <c r="AE1" s="153">
        <f t="shared" si="1"/>
        <v>3787.1</v>
      </c>
      <c r="AF1" s="161">
        <f t="shared" si="1"/>
        <v>5642.0349999999999</v>
      </c>
      <c r="AG1" s="106">
        <f t="shared" si="1"/>
        <v>-17387</v>
      </c>
      <c r="AH1" s="208">
        <f t="shared" si="1"/>
        <v>20318</v>
      </c>
      <c r="AI1" s="211">
        <f t="shared" ref="AI1" si="2">AI582</f>
        <v>-17235</v>
      </c>
      <c r="AK1" s="173"/>
    </row>
    <row r="2" spans="1:39" ht="16" x14ac:dyDescent="0.35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  <c r="AF2" s="162" t="s">
        <v>944</v>
      </c>
      <c r="AG2" s="169" t="s">
        <v>958</v>
      </c>
      <c r="AH2" s="209" t="s">
        <v>1004</v>
      </c>
      <c r="AI2" s="212" t="s">
        <v>1008</v>
      </c>
    </row>
    <row r="3" spans="1:39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1" t="s">
        <v>578</v>
      </c>
      <c r="AA3" s="140"/>
      <c r="AB3" s="1" t="s">
        <v>582</v>
      </c>
      <c r="AC3" s="1" t="s">
        <v>582</v>
      </c>
      <c r="AD3" s="1" t="s">
        <v>582</v>
      </c>
      <c r="AE3" s="1" t="s">
        <v>582</v>
      </c>
      <c r="AF3" s="1" t="s">
        <v>582</v>
      </c>
      <c r="AG3" s="1" t="s">
        <v>582</v>
      </c>
      <c r="AH3" s="1" t="s">
        <v>582</v>
      </c>
      <c r="AI3" s="1" t="s">
        <v>582</v>
      </c>
    </row>
    <row r="4" spans="1:39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59" t="s">
        <v>2</v>
      </c>
      <c r="AA4" s="141"/>
      <c r="AB4" s="59" t="s">
        <v>2</v>
      </c>
      <c r="AC4" s="59" t="s">
        <v>2</v>
      </c>
      <c r="AD4" s="59" t="s">
        <v>2</v>
      </c>
      <c r="AE4" s="59" t="s">
        <v>2</v>
      </c>
      <c r="AF4" s="59" t="s">
        <v>2</v>
      </c>
      <c r="AG4" s="59" t="s">
        <v>2</v>
      </c>
      <c r="AH4" s="59" t="s">
        <v>2</v>
      </c>
      <c r="AI4" s="59" t="s">
        <v>2</v>
      </c>
      <c r="AJ4" s="110"/>
      <c r="AK4" s="174"/>
      <c r="AM4" s="214"/>
    </row>
    <row r="5" spans="1:39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J5" s="110"/>
      <c r="AK5" s="175"/>
      <c r="AM5" s="215"/>
    </row>
    <row r="6" spans="1:39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39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39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39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  <c r="AG9" s="66">
        <v>1026054.2</v>
      </c>
      <c r="AH9" s="66">
        <v>1026054.2</v>
      </c>
      <c r="AI9" s="66">
        <v>1026054.2</v>
      </c>
    </row>
    <row r="10" spans="1:39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3">ROUND(H10+J10+L10,5)</f>
        <v>270788.24</v>
      </c>
      <c r="O10" s="66">
        <f t="shared" si="3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  <c r="AF10" s="66"/>
      <c r="AG10" s="66"/>
      <c r="AH10" s="66"/>
      <c r="AI10" s="66"/>
    </row>
    <row r="11" spans="1:39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3"/>
        <v>104161.84</v>
      </c>
      <c r="O11" s="66">
        <f t="shared" si="3"/>
        <v>47215</v>
      </c>
      <c r="P11" s="69">
        <f t="shared" ref="P11:Q74" si="4">N11/3</f>
        <v>34720.613333333335</v>
      </c>
      <c r="Q11" s="69">
        <f t="shared" si="4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  <c r="AF11" s="66"/>
      <c r="AG11" s="66"/>
      <c r="AH11" s="66"/>
      <c r="AI11" s="66"/>
    </row>
    <row r="12" spans="1:39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3"/>
        <v>0</v>
      </c>
      <c r="O12" s="66">
        <f t="shared" si="3"/>
        <v>8970</v>
      </c>
      <c r="P12" s="69">
        <f t="shared" si="4"/>
        <v>0</v>
      </c>
      <c r="Q12" s="69">
        <f t="shared" si="4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  <c r="AF12" s="66"/>
      <c r="AG12" s="66"/>
      <c r="AH12" s="66"/>
      <c r="AI12" s="66"/>
    </row>
    <row r="13" spans="1:39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3"/>
        <v>49113.85</v>
      </c>
      <c r="O13" s="66">
        <f t="shared" si="3"/>
        <v>22276</v>
      </c>
      <c r="P13" s="69">
        <f t="shared" si="4"/>
        <v>16371.283333333333</v>
      </c>
      <c r="Q13" s="69">
        <f t="shared" si="4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  <c r="AF13" s="66"/>
      <c r="AG13" s="66"/>
      <c r="AH13" s="66"/>
      <c r="AI13" s="66"/>
    </row>
    <row r="14" spans="1:39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3"/>
        <v>7790</v>
      </c>
      <c r="O14" s="73">
        <f t="shared" si="3"/>
        <v>1400</v>
      </c>
      <c r="P14" s="74">
        <f t="shared" si="4"/>
        <v>2596.6666666666665</v>
      </c>
      <c r="Q14" s="74">
        <f t="shared" si="4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  <c r="AF14" s="73"/>
      <c r="AG14" s="73"/>
      <c r="AH14" s="73"/>
      <c r="AI14" s="73"/>
    </row>
    <row r="15" spans="1:39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5">ROUND(SUM(H9:H14),5)</f>
        <v>171173.36</v>
      </c>
      <c r="I15" s="63">
        <f t="shared" si="5"/>
        <v>33072</v>
      </c>
      <c r="J15" s="64">
        <f t="shared" si="5"/>
        <v>129396.15</v>
      </c>
      <c r="K15" s="64">
        <f t="shared" si="5"/>
        <v>61776</v>
      </c>
      <c r="L15" s="65">
        <f t="shared" si="5"/>
        <v>131284.42000000001</v>
      </c>
      <c r="M15" s="65">
        <f t="shared" si="5"/>
        <v>159494</v>
      </c>
      <c r="N15" s="66">
        <f t="shared" si="3"/>
        <v>431853.93</v>
      </c>
      <c r="O15" s="66">
        <f t="shared" si="3"/>
        <v>254342</v>
      </c>
      <c r="P15" s="69">
        <f t="shared" si="4"/>
        <v>143951.31</v>
      </c>
      <c r="Q15" s="69">
        <f t="shared" si="4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 t="shared" ref="AB15:AH15" si="6">ROUND(SUM(AB9:AB14),5)</f>
        <v>960784.8</v>
      </c>
      <c r="AC15" s="66">
        <f t="shared" si="6"/>
        <v>960784.8</v>
      </c>
      <c r="AD15" s="66">
        <f t="shared" si="6"/>
        <v>1026054.2</v>
      </c>
      <c r="AE15" s="66">
        <f t="shared" si="6"/>
        <v>1026054.2</v>
      </c>
      <c r="AF15" s="66">
        <f t="shared" si="6"/>
        <v>1026054.2</v>
      </c>
      <c r="AG15" s="66">
        <f t="shared" si="6"/>
        <v>1026054.2</v>
      </c>
      <c r="AH15" s="66">
        <f t="shared" si="6"/>
        <v>1026054.2</v>
      </c>
      <c r="AI15" s="66">
        <f t="shared" ref="AI15" si="7">ROUND(SUM(AI9:AI14),5)</f>
        <v>1026054.2</v>
      </c>
    </row>
    <row r="16" spans="1:39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  <c r="AF16" s="66"/>
      <c r="AG16" s="66"/>
      <c r="AH16" s="66"/>
      <c r="AI16" s="66"/>
    </row>
    <row r="17" spans="1:35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8">ROUND(H17+J17+L17,5)</f>
        <v>101809.82</v>
      </c>
      <c r="O17" s="66">
        <f t="shared" si="8"/>
        <v>79973</v>
      </c>
      <c r="P17" s="69">
        <f t="shared" si="4"/>
        <v>33936.606666666667</v>
      </c>
      <c r="Q17" s="69">
        <f t="shared" si="4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  <c r="AF17" s="66"/>
      <c r="AG17" s="66"/>
      <c r="AH17" s="66"/>
      <c r="AI17" s="66"/>
    </row>
    <row r="18" spans="1:35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8"/>
        <v>26984.29</v>
      </c>
      <c r="O18" s="66">
        <f t="shared" si="8"/>
        <v>23625</v>
      </c>
      <c r="P18" s="69">
        <f t="shared" si="4"/>
        <v>8994.7633333333342</v>
      </c>
      <c r="Q18" s="69">
        <f t="shared" si="4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  <c r="AF18" s="66"/>
      <c r="AG18" s="66"/>
      <c r="AH18" s="66"/>
      <c r="AI18" s="66"/>
    </row>
    <row r="19" spans="1:35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8"/>
        <v>17270</v>
      </c>
      <c r="O19" s="66">
        <f t="shared" si="8"/>
        <v>35512</v>
      </c>
      <c r="P19" s="69">
        <f t="shared" si="4"/>
        <v>5756.666666666667</v>
      </c>
      <c r="Q19" s="69">
        <f t="shared" si="4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  <c r="AF19" s="66"/>
      <c r="AG19" s="66"/>
      <c r="AH19" s="66"/>
      <c r="AI19" s="66"/>
    </row>
    <row r="20" spans="1:35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8"/>
        <v>22714.81</v>
      </c>
      <c r="O20" s="66">
        <f t="shared" si="8"/>
        <v>35292</v>
      </c>
      <c r="P20" s="69">
        <f t="shared" si="4"/>
        <v>7571.6033333333335</v>
      </c>
      <c r="Q20" s="69">
        <f t="shared" si="4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  <c r="AF20" s="66"/>
      <c r="AG20" s="66"/>
      <c r="AH20" s="66"/>
      <c r="AI20" s="66"/>
    </row>
    <row r="21" spans="1:35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8"/>
        <v>3255.05</v>
      </c>
      <c r="O21" s="66">
        <f t="shared" si="8"/>
        <v>0</v>
      </c>
      <c r="P21" s="69">
        <f t="shared" si="4"/>
        <v>1085.0166666666667</v>
      </c>
      <c r="Q21" s="69">
        <f t="shared" si="4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  <c r="AF21" s="66"/>
      <c r="AG21" s="66"/>
      <c r="AH21" s="66"/>
      <c r="AI21" s="66"/>
    </row>
    <row r="22" spans="1:35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8"/>
        <v>24336.65</v>
      </c>
      <c r="O22" s="66">
        <f t="shared" si="8"/>
        <v>58135</v>
      </c>
      <c r="P22" s="69">
        <f t="shared" si="4"/>
        <v>8112.2166666666672</v>
      </c>
      <c r="Q22" s="69">
        <f t="shared" si="4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  <c r="AF22" s="66"/>
      <c r="AG22" s="66"/>
      <c r="AH22" s="66"/>
      <c r="AI22" s="66"/>
    </row>
    <row r="23" spans="1:35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8"/>
        <v>3560.05</v>
      </c>
      <c r="O23" s="66">
        <f t="shared" si="8"/>
        <v>0</v>
      </c>
      <c r="P23" s="69">
        <f t="shared" si="4"/>
        <v>1186.6833333333334</v>
      </c>
      <c r="Q23" s="69">
        <f t="shared" si="4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  <c r="AF23" s="66"/>
      <c r="AG23" s="66"/>
      <c r="AH23" s="66"/>
      <c r="AI23" s="66"/>
    </row>
    <row r="24" spans="1:35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8"/>
        <v>20454.099999999999</v>
      </c>
      <c r="O24" s="66">
        <f t="shared" si="8"/>
        <v>42287</v>
      </c>
      <c r="P24" s="69">
        <f t="shared" si="4"/>
        <v>6818.0333333333328</v>
      </c>
      <c r="Q24" s="69">
        <f t="shared" si="4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  <c r="AF24" s="66"/>
      <c r="AG24" s="66"/>
      <c r="AH24" s="66"/>
      <c r="AI24" s="66"/>
    </row>
    <row r="25" spans="1:35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8"/>
        <v>13358.41</v>
      </c>
      <c r="O25" s="66">
        <f t="shared" si="8"/>
        <v>17758</v>
      </c>
      <c r="P25" s="69">
        <f t="shared" si="4"/>
        <v>4452.8033333333333</v>
      </c>
      <c r="Q25" s="69">
        <f t="shared" si="4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  <c r="AF25" s="66"/>
      <c r="AG25" s="66"/>
      <c r="AH25" s="66"/>
      <c r="AI25" s="66"/>
    </row>
    <row r="26" spans="1:35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8"/>
        <v>5642.08</v>
      </c>
      <c r="O26" s="66">
        <f t="shared" si="8"/>
        <v>0</v>
      </c>
      <c r="P26" s="69">
        <f t="shared" si="4"/>
        <v>1880.6933333333334</v>
      </c>
      <c r="Q26" s="69">
        <f t="shared" si="4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  <c r="AF26" s="66"/>
      <c r="AG26" s="66"/>
      <c r="AH26" s="66"/>
      <c r="AI26" s="66"/>
    </row>
    <row r="27" spans="1:35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8"/>
        <v>28947.17</v>
      </c>
      <c r="O27" s="66">
        <f t="shared" si="8"/>
        <v>23569</v>
      </c>
      <c r="P27" s="69">
        <f t="shared" si="4"/>
        <v>9649.0566666666655</v>
      </c>
      <c r="Q27" s="69">
        <f t="shared" si="4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  <c r="AF27" s="66"/>
      <c r="AG27" s="66"/>
      <c r="AH27" s="66"/>
      <c r="AI27" s="66"/>
    </row>
    <row r="28" spans="1:35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8"/>
        <v>6391.99</v>
      </c>
      <c r="O28" s="66">
        <f t="shared" si="8"/>
        <v>5858</v>
      </c>
      <c r="P28" s="69">
        <f t="shared" si="4"/>
        <v>2130.6633333333334</v>
      </c>
      <c r="Q28" s="69">
        <f t="shared" si="4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  <c r="AF28" s="66"/>
      <c r="AG28" s="66"/>
      <c r="AH28" s="66"/>
      <c r="AI28" s="66"/>
    </row>
    <row r="29" spans="1:35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8"/>
        <v>33957.879999999997</v>
      </c>
      <c r="O29" s="66">
        <f t="shared" si="8"/>
        <v>66808</v>
      </c>
      <c r="P29" s="69">
        <f t="shared" si="4"/>
        <v>11319.293333333333</v>
      </c>
      <c r="Q29" s="69">
        <f t="shared" si="4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  <c r="AF29" s="66"/>
      <c r="AG29" s="66"/>
      <c r="AH29" s="66"/>
      <c r="AI29" s="66"/>
    </row>
    <row r="30" spans="1:35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8"/>
        <v>44017.48</v>
      </c>
      <c r="O30" s="66">
        <f t="shared" si="8"/>
        <v>49854</v>
      </c>
      <c r="P30" s="69">
        <f t="shared" si="4"/>
        <v>14672.493333333334</v>
      </c>
      <c r="Q30" s="69">
        <f t="shared" si="4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  <c r="AF30" s="66"/>
      <c r="AG30" s="66"/>
      <c r="AH30" s="66"/>
      <c r="AI30" s="66"/>
    </row>
    <row r="31" spans="1:35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8"/>
        <v>64578.81</v>
      </c>
      <c r="O31" s="66">
        <f t="shared" si="8"/>
        <v>27090</v>
      </c>
      <c r="P31" s="69">
        <f t="shared" si="4"/>
        <v>21526.27</v>
      </c>
      <c r="Q31" s="69">
        <f t="shared" si="4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  <c r="AF31" s="66"/>
      <c r="AG31" s="66"/>
      <c r="AH31" s="66"/>
      <c r="AI31" s="66"/>
    </row>
    <row r="32" spans="1:35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8"/>
        <v>14800.16</v>
      </c>
      <c r="O32" s="66">
        <f t="shared" si="8"/>
        <v>0</v>
      </c>
      <c r="P32" s="69">
        <f t="shared" si="4"/>
        <v>4933.3866666666663</v>
      </c>
      <c r="Q32" s="69">
        <f t="shared" si="4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  <c r="AF32" s="66"/>
      <c r="AG32" s="66"/>
      <c r="AH32" s="66"/>
      <c r="AI32" s="66"/>
    </row>
    <row r="33" spans="1:35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8"/>
        <v>1604.11</v>
      </c>
      <c r="O33" s="66">
        <f t="shared" si="8"/>
        <v>22561</v>
      </c>
      <c r="P33" s="69">
        <f t="shared" si="4"/>
        <v>534.70333333333326</v>
      </c>
      <c r="Q33" s="69">
        <f t="shared" si="4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  <c r="AF33" s="66"/>
      <c r="AG33" s="66"/>
      <c r="AH33" s="66"/>
      <c r="AI33" s="66"/>
    </row>
    <row r="34" spans="1:35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8"/>
        <v>1104</v>
      </c>
      <c r="O34" s="66">
        <f t="shared" si="8"/>
        <v>7038</v>
      </c>
      <c r="P34" s="69">
        <f t="shared" si="4"/>
        <v>368</v>
      </c>
      <c r="Q34" s="69">
        <f t="shared" si="4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  <c r="AF34" s="66"/>
      <c r="AG34" s="66"/>
      <c r="AH34" s="66"/>
      <c r="AI34" s="66"/>
    </row>
    <row r="35" spans="1:35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8"/>
        <v>0</v>
      </c>
      <c r="O35" s="66">
        <f t="shared" si="8"/>
        <v>15254</v>
      </c>
      <c r="P35" s="69">
        <f t="shared" si="4"/>
        <v>0</v>
      </c>
      <c r="Q35" s="69">
        <f t="shared" si="4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  <c r="AF35" s="66"/>
      <c r="AG35" s="66"/>
      <c r="AH35" s="66"/>
      <c r="AI35" s="66"/>
    </row>
    <row r="36" spans="1:35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4"/>
        <v>1854.64</v>
      </c>
      <c r="Q36" s="69">
        <f t="shared" si="4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  <c r="AF36" s="66"/>
      <c r="AG36" s="66"/>
      <c r="AH36" s="66"/>
      <c r="AI36" s="66"/>
    </row>
    <row r="37" spans="1:35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4"/>
        <v>0</v>
      </c>
      <c r="Q37" s="69">
        <f t="shared" si="4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  <c r="AF37" s="66"/>
      <c r="AG37" s="66"/>
      <c r="AH37" s="66"/>
      <c r="AI37" s="66"/>
    </row>
    <row r="38" spans="1:35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4"/>
        <v>0</v>
      </c>
      <c r="Q38" s="74">
        <f t="shared" si="4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  <c r="AF38" s="73"/>
      <c r="AG38" s="73"/>
      <c r="AH38" s="73"/>
      <c r="AI38" s="73"/>
    </row>
    <row r="39" spans="1:35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9">ROUND(SUM(H16:H38),5)</f>
        <v>125929.22</v>
      </c>
      <c r="I39" s="63">
        <f t="shared" si="9"/>
        <v>120263</v>
      </c>
      <c r="J39" s="64">
        <f t="shared" si="9"/>
        <v>136830.26</v>
      </c>
      <c r="K39" s="64">
        <f t="shared" si="9"/>
        <v>203448</v>
      </c>
      <c r="L39" s="65">
        <f t="shared" si="9"/>
        <v>177591.3</v>
      </c>
      <c r="M39" s="65">
        <f t="shared" si="9"/>
        <v>186903</v>
      </c>
      <c r="N39" s="66">
        <f>ROUND(H39+J39+L39,5)</f>
        <v>440350.78</v>
      </c>
      <c r="O39" s="66">
        <f>ROUND(I39+K39+M39,5)</f>
        <v>510614</v>
      </c>
      <c r="P39" s="69">
        <f t="shared" si="4"/>
        <v>146783.59333333335</v>
      </c>
      <c r="Q39" s="69">
        <f t="shared" si="4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 t="shared" ref="AB39:AH39" si="10">ROUND(SUM(AB16:AB38),5)</f>
        <v>0</v>
      </c>
      <c r="AC39" s="66">
        <f t="shared" si="10"/>
        <v>0</v>
      </c>
      <c r="AD39" s="66">
        <f t="shared" si="10"/>
        <v>0</v>
      </c>
      <c r="AE39" s="66">
        <f t="shared" si="10"/>
        <v>0</v>
      </c>
      <c r="AF39" s="66">
        <f t="shared" si="10"/>
        <v>0</v>
      </c>
      <c r="AG39" s="66">
        <f t="shared" si="10"/>
        <v>0</v>
      </c>
      <c r="AH39" s="66">
        <f t="shared" si="10"/>
        <v>0</v>
      </c>
      <c r="AI39" s="66">
        <f t="shared" ref="AI39" si="11">ROUND(SUM(AI16:AI38),5)</f>
        <v>0</v>
      </c>
    </row>
    <row r="40" spans="1:35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  <c r="AF40" s="66"/>
      <c r="AG40" s="66"/>
      <c r="AH40" s="66"/>
      <c r="AI40" s="66"/>
    </row>
    <row r="41" spans="1:35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12">ROUND(H41+J41+L41,5)</f>
        <v>17081.599999999999</v>
      </c>
      <c r="O41" s="66">
        <f t="shared" si="12"/>
        <v>44688</v>
      </c>
      <c r="P41" s="69">
        <f t="shared" si="4"/>
        <v>5693.8666666666659</v>
      </c>
      <c r="Q41" s="69">
        <f t="shared" si="4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  <c r="AF41" s="66"/>
      <c r="AG41" s="66"/>
      <c r="AH41" s="66"/>
      <c r="AI41" s="66"/>
    </row>
    <row r="42" spans="1:35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12"/>
        <v>1953.03</v>
      </c>
      <c r="O42" s="66">
        <f t="shared" si="12"/>
        <v>0</v>
      </c>
      <c r="P42" s="69">
        <f t="shared" si="4"/>
        <v>651.01</v>
      </c>
      <c r="Q42" s="69">
        <f t="shared" si="4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  <c r="AF42" s="66"/>
      <c r="AG42" s="66"/>
      <c r="AH42" s="66"/>
      <c r="AI42" s="66"/>
    </row>
    <row r="43" spans="1:35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12"/>
        <v>6637.98</v>
      </c>
      <c r="O43" s="66">
        <f t="shared" si="12"/>
        <v>16220</v>
      </c>
      <c r="P43" s="69">
        <f t="shared" si="4"/>
        <v>2212.66</v>
      </c>
      <c r="Q43" s="69">
        <f t="shared" si="4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  <c r="AF43" s="66"/>
      <c r="AG43" s="66"/>
      <c r="AH43" s="66"/>
      <c r="AI43" s="66"/>
    </row>
    <row r="44" spans="1:35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12"/>
        <v>0</v>
      </c>
      <c r="O44" s="73">
        <f t="shared" si="12"/>
        <v>0</v>
      </c>
      <c r="P44" s="74">
        <f t="shared" si="4"/>
        <v>0</v>
      </c>
      <c r="Q44" s="74">
        <f t="shared" si="4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  <c r="AF44" s="73"/>
      <c r="AG44" s="73"/>
      <c r="AH44" s="73"/>
      <c r="AI44" s="73"/>
    </row>
    <row r="45" spans="1:35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13">ROUND(SUM(H40:H44),5)</f>
        <v>5918.6</v>
      </c>
      <c r="I45" s="63">
        <f t="shared" si="13"/>
        <v>27950</v>
      </c>
      <c r="J45" s="64">
        <f t="shared" si="13"/>
        <v>10455</v>
      </c>
      <c r="K45" s="64">
        <f t="shared" si="13"/>
        <v>22248</v>
      </c>
      <c r="L45" s="65">
        <f t="shared" si="13"/>
        <v>9299.01</v>
      </c>
      <c r="M45" s="65">
        <f t="shared" si="13"/>
        <v>10710</v>
      </c>
      <c r="N45" s="66">
        <f t="shared" si="12"/>
        <v>25672.61</v>
      </c>
      <c r="O45" s="66">
        <f t="shared" si="12"/>
        <v>60908</v>
      </c>
      <c r="P45" s="69">
        <f t="shared" si="4"/>
        <v>8557.5366666666669</v>
      </c>
      <c r="Q45" s="69">
        <f t="shared" si="4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 t="shared" ref="AB45:AH45" si="14">ROUND(SUM(AB40:AB44),5)</f>
        <v>0</v>
      </c>
      <c r="AC45" s="66">
        <f t="shared" si="14"/>
        <v>0</v>
      </c>
      <c r="AD45" s="66">
        <f t="shared" si="14"/>
        <v>0</v>
      </c>
      <c r="AE45" s="66">
        <f t="shared" si="14"/>
        <v>0</v>
      </c>
      <c r="AF45" s="66">
        <f t="shared" si="14"/>
        <v>0</v>
      </c>
      <c r="AG45" s="66">
        <f t="shared" si="14"/>
        <v>0</v>
      </c>
      <c r="AH45" s="66">
        <f t="shared" si="14"/>
        <v>0</v>
      </c>
      <c r="AI45" s="66">
        <f t="shared" ref="AI45" si="15">ROUND(SUM(AI40:AI44),5)</f>
        <v>0</v>
      </c>
    </row>
    <row r="46" spans="1:35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  <c r="AF46" s="66"/>
      <c r="AG46" s="66"/>
      <c r="AH46" s="66"/>
      <c r="AI46" s="66"/>
    </row>
    <row r="47" spans="1:35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16">ROUND(H47+J47+L47,5)</f>
        <v>87354.12</v>
      </c>
      <c r="O47" s="66">
        <f t="shared" si="16"/>
        <v>72146</v>
      </c>
      <c r="P47" s="69">
        <f t="shared" si="4"/>
        <v>29118.039999999997</v>
      </c>
      <c r="Q47" s="69">
        <f t="shared" si="4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  <c r="AF47" s="66"/>
      <c r="AG47" s="66"/>
      <c r="AH47" s="66"/>
      <c r="AI47" s="66"/>
    </row>
    <row r="48" spans="1:35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6"/>
        <v>12866.68</v>
      </c>
      <c r="O48" s="66">
        <f t="shared" si="16"/>
        <v>23176</v>
      </c>
      <c r="P48" s="69">
        <f t="shared" si="4"/>
        <v>4288.8933333333334</v>
      </c>
      <c r="Q48" s="69">
        <f t="shared" si="4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  <c r="AF48" s="66"/>
      <c r="AG48" s="66"/>
      <c r="AH48" s="66"/>
      <c r="AI48" s="66"/>
    </row>
    <row r="49" spans="1:35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6"/>
        <v>1104</v>
      </c>
      <c r="O49" s="66">
        <f t="shared" si="16"/>
        <v>19670</v>
      </c>
      <c r="P49" s="69">
        <f t="shared" si="4"/>
        <v>368</v>
      </c>
      <c r="Q49" s="69">
        <f t="shared" si="4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  <c r="AF49" s="66"/>
      <c r="AG49" s="66"/>
      <c r="AH49" s="66"/>
      <c r="AI49" s="66"/>
    </row>
    <row r="50" spans="1:35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6"/>
        <v>35352.550000000003</v>
      </c>
      <c r="O50" s="66">
        <f t="shared" si="16"/>
        <v>25225</v>
      </c>
      <c r="P50" s="69">
        <f t="shared" si="4"/>
        <v>11784.183333333334</v>
      </c>
      <c r="Q50" s="69">
        <f t="shared" si="4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  <c r="AF50" s="66"/>
      <c r="AG50" s="66"/>
      <c r="AH50" s="66"/>
      <c r="AI50" s="66"/>
    </row>
    <row r="51" spans="1:35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6"/>
        <v>3884.55</v>
      </c>
      <c r="O51" s="66">
        <f t="shared" si="16"/>
        <v>1190</v>
      </c>
      <c r="P51" s="69">
        <f t="shared" si="4"/>
        <v>1294.8500000000001</v>
      </c>
      <c r="Q51" s="69">
        <f t="shared" si="4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  <c r="AF51" s="66"/>
      <c r="AG51" s="66"/>
      <c r="AH51" s="66"/>
      <c r="AI51" s="66"/>
    </row>
    <row r="52" spans="1:35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6"/>
        <v>3960</v>
      </c>
      <c r="O52" s="66">
        <f t="shared" si="16"/>
        <v>11560</v>
      </c>
      <c r="P52" s="69">
        <f t="shared" si="4"/>
        <v>1320</v>
      </c>
      <c r="Q52" s="69">
        <f t="shared" si="4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  <c r="AF52" s="66"/>
      <c r="AG52" s="66"/>
      <c r="AH52" s="66"/>
      <c r="AI52" s="66"/>
    </row>
    <row r="53" spans="1:35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6"/>
        <v>546</v>
      </c>
      <c r="O53" s="66">
        <f t="shared" si="16"/>
        <v>10387</v>
      </c>
      <c r="P53" s="69">
        <f t="shared" si="4"/>
        <v>182</v>
      </c>
      <c r="Q53" s="69">
        <f t="shared" si="4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  <c r="AF53" s="66"/>
      <c r="AG53" s="66"/>
      <c r="AH53" s="66"/>
      <c r="AI53" s="66"/>
    </row>
    <row r="54" spans="1:35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6"/>
        <v>8740.36</v>
      </c>
      <c r="O54" s="66">
        <f t="shared" si="16"/>
        <v>19808</v>
      </c>
      <c r="P54" s="69">
        <f t="shared" si="4"/>
        <v>2913.4533333333334</v>
      </c>
      <c r="Q54" s="69">
        <f t="shared" si="4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  <c r="AF54" s="66"/>
      <c r="AG54" s="66"/>
      <c r="AH54" s="66"/>
      <c r="AI54" s="66"/>
    </row>
    <row r="55" spans="1:35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6"/>
        <v>594</v>
      </c>
      <c r="O55" s="66">
        <f t="shared" si="16"/>
        <v>24884</v>
      </c>
      <c r="P55" s="69">
        <f t="shared" si="4"/>
        <v>198</v>
      </c>
      <c r="Q55" s="69">
        <f t="shared" si="4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  <c r="AF55" s="66"/>
      <c r="AG55" s="66"/>
      <c r="AH55" s="66"/>
      <c r="AI55" s="66"/>
    </row>
    <row r="56" spans="1:35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6"/>
        <v>690</v>
      </c>
      <c r="O56" s="66">
        <f t="shared" si="16"/>
        <v>5419</v>
      </c>
      <c r="P56" s="69">
        <f t="shared" si="4"/>
        <v>230</v>
      </c>
      <c r="Q56" s="69">
        <f t="shared" si="4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  <c r="AF56" s="66"/>
      <c r="AG56" s="66"/>
      <c r="AH56" s="66"/>
      <c r="AI56" s="66"/>
    </row>
    <row r="57" spans="1:35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6"/>
        <v>1413.6</v>
      </c>
      <c r="O57" s="66">
        <f t="shared" si="16"/>
        <v>27552</v>
      </c>
      <c r="P57" s="69">
        <f t="shared" si="4"/>
        <v>471.2</v>
      </c>
      <c r="Q57" s="69">
        <f t="shared" si="4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  <c r="AF57" s="66"/>
      <c r="AG57" s="66"/>
      <c r="AH57" s="66"/>
      <c r="AI57" s="66"/>
    </row>
    <row r="58" spans="1:35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6"/>
        <v>174920.21</v>
      </c>
      <c r="O58" s="66">
        <f t="shared" si="16"/>
        <v>143746</v>
      </c>
      <c r="P58" s="69">
        <f t="shared" si="4"/>
        <v>58306.736666666664</v>
      </c>
      <c r="Q58" s="69">
        <f t="shared" si="4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  <c r="AF58" s="66"/>
      <c r="AG58" s="66"/>
      <c r="AH58" s="66"/>
      <c r="AI58" s="66"/>
    </row>
    <row r="59" spans="1:35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6"/>
        <v>12307.07</v>
      </c>
      <c r="O59" s="66">
        <f t="shared" si="16"/>
        <v>24217</v>
      </c>
      <c r="P59" s="69">
        <f t="shared" si="4"/>
        <v>4102.3566666666666</v>
      </c>
      <c r="Q59" s="69">
        <f t="shared" si="4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  <c r="AF59" s="66"/>
      <c r="AG59" s="66"/>
      <c r="AH59" s="66"/>
      <c r="AI59" s="66"/>
    </row>
    <row r="60" spans="1:35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6"/>
        <v>23322.21</v>
      </c>
      <c r="O60" s="66">
        <f t="shared" si="16"/>
        <v>22992</v>
      </c>
      <c r="P60" s="69">
        <f t="shared" si="4"/>
        <v>7774.07</v>
      </c>
      <c r="Q60" s="69">
        <f t="shared" si="4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  <c r="AF60" s="66"/>
      <c r="AG60" s="66"/>
      <c r="AH60" s="66"/>
      <c r="AI60" s="66"/>
    </row>
    <row r="61" spans="1:35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6"/>
        <v>4553.9799999999996</v>
      </c>
      <c r="O61" s="73">
        <f t="shared" si="16"/>
        <v>0</v>
      </c>
      <c r="P61" s="74">
        <f t="shared" si="4"/>
        <v>1517.9933333333331</v>
      </c>
      <c r="Q61" s="74">
        <f t="shared" si="4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  <c r="AF61" s="73"/>
      <c r="AG61" s="73"/>
      <c r="AH61" s="73"/>
      <c r="AI61" s="73"/>
    </row>
    <row r="62" spans="1:35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7">ROUND(SUM(H46:H61),5)</f>
        <v>137372.26</v>
      </c>
      <c r="I62" s="63">
        <f t="shared" si="17"/>
        <v>73450</v>
      </c>
      <c r="J62" s="64">
        <f t="shared" si="17"/>
        <v>111914.03</v>
      </c>
      <c r="K62" s="64">
        <f t="shared" si="17"/>
        <v>203796</v>
      </c>
      <c r="L62" s="65">
        <f t="shared" si="17"/>
        <v>122323.04</v>
      </c>
      <c r="M62" s="65">
        <f t="shared" si="17"/>
        <v>154726</v>
      </c>
      <c r="N62" s="66">
        <f t="shared" si="16"/>
        <v>371609.33</v>
      </c>
      <c r="O62" s="66">
        <f t="shared" si="16"/>
        <v>431972</v>
      </c>
      <c r="P62" s="69">
        <f t="shared" si="4"/>
        <v>123869.77666666667</v>
      </c>
      <c r="Q62" s="69">
        <f t="shared" si="4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 t="shared" ref="AB62:AH62" si="18">ROUND(SUM(AB46:AB61),5)</f>
        <v>0</v>
      </c>
      <c r="AC62" s="66">
        <f t="shared" si="18"/>
        <v>0</v>
      </c>
      <c r="AD62" s="66">
        <f t="shared" si="18"/>
        <v>0</v>
      </c>
      <c r="AE62" s="66">
        <f t="shared" si="18"/>
        <v>0</v>
      </c>
      <c r="AF62" s="66">
        <f t="shared" si="18"/>
        <v>0</v>
      </c>
      <c r="AG62" s="66">
        <f t="shared" si="18"/>
        <v>0</v>
      </c>
      <c r="AH62" s="66">
        <f t="shared" si="18"/>
        <v>0</v>
      </c>
      <c r="AI62" s="66">
        <f t="shared" ref="AI62" si="19">ROUND(SUM(AI46:AI61),5)</f>
        <v>0</v>
      </c>
    </row>
    <row r="63" spans="1:35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6"/>
        <v>34181.74</v>
      </c>
      <c r="O63" s="66">
        <f t="shared" si="16"/>
        <v>66123.38</v>
      </c>
      <c r="P63" s="69">
        <f t="shared" si="4"/>
        <v>11393.913333333332</v>
      </c>
      <c r="Q63" s="69">
        <f t="shared" si="4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  <c r="AF63" s="66"/>
      <c r="AG63" s="66"/>
      <c r="AH63" s="66"/>
      <c r="AI63" s="66"/>
    </row>
    <row r="64" spans="1:35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  <c r="AF64" s="66"/>
      <c r="AG64" s="66"/>
      <c r="AH64" s="66"/>
      <c r="AI64" s="66"/>
    </row>
    <row r="65" spans="1:35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20">ROUND(H65+J65+L65,5)</f>
        <v>106817.3</v>
      </c>
      <c r="O65" s="66">
        <f t="shared" si="20"/>
        <v>56558</v>
      </c>
      <c r="P65" s="69">
        <f t="shared" si="4"/>
        <v>35605.76666666667</v>
      </c>
      <c r="Q65" s="69">
        <f t="shared" si="4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  <c r="AF65" s="66"/>
      <c r="AG65" s="66"/>
      <c r="AH65" s="66"/>
      <c r="AI65" s="66"/>
    </row>
    <row r="66" spans="1:35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20"/>
        <v>63970.64</v>
      </c>
      <c r="O66" s="66">
        <f t="shared" si="20"/>
        <v>68284</v>
      </c>
      <c r="P66" s="69">
        <f t="shared" si="4"/>
        <v>21323.546666666665</v>
      </c>
      <c r="Q66" s="69">
        <f t="shared" si="4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  <c r="AF66" s="66"/>
      <c r="AG66" s="66"/>
      <c r="AH66" s="66"/>
      <c r="AI66" s="66"/>
    </row>
    <row r="67" spans="1:35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20"/>
        <v>1794</v>
      </c>
      <c r="O67" s="66">
        <f t="shared" si="20"/>
        <v>15153</v>
      </c>
      <c r="P67" s="69">
        <f t="shared" si="4"/>
        <v>598</v>
      </c>
      <c r="Q67" s="69">
        <f t="shared" si="4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  <c r="AF67" s="66"/>
      <c r="AG67" s="66"/>
      <c r="AH67" s="66"/>
      <c r="AI67" s="66"/>
    </row>
    <row r="68" spans="1:35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20"/>
        <v>22842.29</v>
      </c>
      <c r="O68" s="66">
        <f t="shared" si="20"/>
        <v>61166</v>
      </c>
      <c r="P68" s="69">
        <f t="shared" si="4"/>
        <v>7614.0966666666673</v>
      </c>
      <c r="Q68" s="69">
        <f t="shared" si="4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  <c r="AF68" s="66"/>
      <c r="AG68" s="66"/>
      <c r="AH68" s="66"/>
      <c r="AI68" s="66"/>
    </row>
    <row r="69" spans="1:35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20"/>
        <v>9232</v>
      </c>
      <c r="O69" s="66">
        <f t="shared" si="20"/>
        <v>16972</v>
      </c>
      <c r="P69" s="69">
        <f t="shared" si="4"/>
        <v>3077.3333333333335</v>
      </c>
      <c r="Q69" s="69">
        <f t="shared" si="4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  <c r="AF69" s="66"/>
      <c r="AG69" s="66"/>
      <c r="AH69" s="66"/>
      <c r="AI69" s="66"/>
    </row>
    <row r="70" spans="1:35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20"/>
        <v>11879.44</v>
      </c>
      <c r="O70" s="73">
        <f t="shared" si="20"/>
        <v>43386</v>
      </c>
      <c r="P70" s="74">
        <f t="shared" si="4"/>
        <v>3959.8133333333335</v>
      </c>
      <c r="Q70" s="74">
        <f t="shared" si="4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  <c r="AF70" s="73"/>
      <c r="AG70" s="73"/>
      <c r="AH70" s="73"/>
      <c r="AI70" s="73"/>
    </row>
    <row r="71" spans="1:35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21">ROUND(SUM(H64:H70),5)</f>
        <v>53816.6</v>
      </c>
      <c r="I71" s="63">
        <f t="shared" si="21"/>
        <v>52052</v>
      </c>
      <c r="J71" s="64">
        <f t="shared" si="21"/>
        <v>74785.06</v>
      </c>
      <c r="K71" s="64">
        <f t="shared" si="21"/>
        <v>127356</v>
      </c>
      <c r="L71" s="65">
        <f t="shared" si="21"/>
        <v>87934.01</v>
      </c>
      <c r="M71" s="65">
        <f t="shared" si="21"/>
        <v>82111</v>
      </c>
      <c r="N71" s="66">
        <f t="shared" si="20"/>
        <v>216535.67</v>
      </c>
      <c r="O71" s="66">
        <f t="shared" si="20"/>
        <v>261519</v>
      </c>
      <c r="P71" s="69">
        <f t="shared" si="4"/>
        <v>72178.556666666671</v>
      </c>
      <c r="Q71" s="69">
        <f t="shared" si="4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 t="shared" ref="AB71:AH71" si="22">ROUND(SUM(AB64:AB70),5)</f>
        <v>0</v>
      </c>
      <c r="AC71" s="66">
        <f t="shared" si="22"/>
        <v>0</v>
      </c>
      <c r="AD71" s="66">
        <f t="shared" si="22"/>
        <v>0</v>
      </c>
      <c r="AE71" s="66">
        <f t="shared" si="22"/>
        <v>0</v>
      </c>
      <c r="AF71" s="66">
        <f t="shared" si="22"/>
        <v>0</v>
      </c>
      <c r="AG71" s="66">
        <f t="shared" si="22"/>
        <v>0</v>
      </c>
      <c r="AH71" s="66">
        <f t="shared" si="22"/>
        <v>0</v>
      </c>
      <c r="AI71" s="66">
        <f t="shared" ref="AI71" si="23">ROUND(SUM(AI64:AI70),5)</f>
        <v>0</v>
      </c>
    </row>
    <row r="72" spans="1:35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  <c r="AF72" s="66"/>
      <c r="AG72" s="66"/>
      <c r="AH72" s="66"/>
      <c r="AI72" s="66"/>
    </row>
    <row r="73" spans="1:35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24">ROUND(H73+J73+L73,5)</f>
        <v>5364.31</v>
      </c>
      <c r="O73" s="66">
        <f t="shared" si="24"/>
        <v>9909</v>
      </c>
      <c r="P73" s="69">
        <f t="shared" si="4"/>
        <v>1788.1033333333335</v>
      </c>
      <c r="Q73" s="69">
        <f t="shared" si="4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  <c r="AF73" s="66"/>
      <c r="AG73" s="66"/>
      <c r="AH73" s="66"/>
      <c r="AI73" s="66"/>
    </row>
    <row r="74" spans="1:35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24"/>
        <v>46000.91</v>
      </c>
      <c r="O74" s="66">
        <f t="shared" si="24"/>
        <v>29903</v>
      </c>
      <c r="P74" s="69">
        <f t="shared" si="4"/>
        <v>15333.636666666667</v>
      </c>
      <c r="Q74" s="69">
        <f t="shared" si="4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  <c r="AF74" s="66"/>
      <c r="AG74" s="66"/>
      <c r="AH74" s="66"/>
      <c r="AI74" s="66"/>
    </row>
    <row r="75" spans="1:35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24"/>
        <v>0</v>
      </c>
      <c r="O75" s="66">
        <f t="shared" si="24"/>
        <v>31248</v>
      </c>
      <c r="P75" s="69">
        <f t="shared" ref="P75:Q137" si="25">N75/3</f>
        <v>0</v>
      </c>
      <c r="Q75" s="69">
        <f t="shared" si="25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  <c r="AF75" s="66"/>
      <c r="AG75" s="66"/>
      <c r="AH75" s="66"/>
      <c r="AI75" s="66"/>
    </row>
    <row r="76" spans="1:35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24"/>
        <v>29409.79</v>
      </c>
      <c r="O76" s="66">
        <f t="shared" si="24"/>
        <v>27007</v>
      </c>
      <c r="P76" s="69">
        <f t="shared" si="25"/>
        <v>9803.2633333333342</v>
      </c>
      <c r="Q76" s="69">
        <f t="shared" si="25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  <c r="AF76" s="66"/>
      <c r="AG76" s="66"/>
      <c r="AH76" s="66"/>
      <c r="AI76" s="66"/>
    </row>
    <row r="77" spans="1:35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24"/>
        <v>3458.77</v>
      </c>
      <c r="O77" s="66">
        <f t="shared" si="24"/>
        <v>7965</v>
      </c>
      <c r="P77" s="69">
        <f t="shared" si="25"/>
        <v>1152.9233333333334</v>
      </c>
      <c r="Q77" s="69">
        <f t="shared" si="25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  <c r="AF77" s="66"/>
      <c r="AG77" s="66"/>
      <c r="AH77" s="66"/>
      <c r="AI77" s="66"/>
    </row>
    <row r="78" spans="1:35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24"/>
        <v>21632.07</v>
      </c>
      <c r="O78" s="66">
        <f t="shared" si="24"/>
        <v>25676</v>
      </c>
      <c r="P78" s="69">
        <f t="shared" si="25"/>
        <v>7210.69</v>
      </c>
      <c r="Q78" s="69">
        <f t="shared" si="25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  <c r="AF78" s="66"/>
      <c r="AG78" s="66"/>
      <c r="AH78" s="66"/>
      <c r="AI78" s="66"/>
    </row>
    <row r="79" spans="1:35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24"/>
        <v>966</v>
      </c>
      <c r="O79" s="66">
        <f t="shared" si="24"/>
        <v>3588</v>
      </c>
      <c r="P79" s="69">
        <f t="shared" si="25"/>
        <v>322</v>
      </c>
      <c r="Q79" s="69">
        <f t="shared" si="25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  <c r="AF79" s="66"/>
      <c r="AG79" s="66"/>
      <c r="AH79" s="66"/>
      <c r="AI79" s="66"/>
    </row>
    <row r="80" spans="1:35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24"/>
        <v>0</v>
      </c>
      <c r="O80" s="66">
        <f t="shared" si="24"/>
        <v>3901</v>
      </c>
      <c r="P80" s="69">
        <f t="shared" si="25"/>
        <v>0</v>
      </c>
      <c r="Q80" s="69">
        <f t="shared" si="25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  <c r="AF80" s="66"/>
      <c r="AG80" s="66"/>
      <c r="AH80" s="66"/>
      <c r="AI80" s="66"/>
    </row>
    <row r="81" spans="1:35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25"/>
        <v>0</v>
      </c>
      <c r="Q81" s="69">
        <f t="shared" si="25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  <c r="AF81" s="66"/>
      <c r="AG81" s="66"/>
      <c r="AH81" s="66"/>
      <c r="AI81" s="66"/>
    </row>
    <row r="82" spans="1:35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6">ROUND(H82+J82+L82,5)</f>
        <v>0</v>
      </c>
      <c r="O82" s="66">
        <f t="shared" si="26"/>
        <v>0</v>
      </c>
      <c r="P82" s="69">
        <f t="shared" si="25"/>
        <v>0</v>
      </c>
      <c r="Q82" s="69">
        <f t="shared" si="25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  <c r="AF82" s="66"/>
      <c r="AG82" s="66"/>
      <c r="AH82" s="66"/>
      <c r="AI82" s="66"/>
    </row>
    <row r="83" spans="1:35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6"/>
        <v>0</v>
      </c>
      <c r="O83" s="73">
        <f t="shared" si="26"/>
        <v>0</v>
      </c>
      <c r="P83" s="74">
        <f t="shared" si="25"/>
        <v>0</v>
      </c>
      <c r="Q83" s="74">
        <f t="shared" si="25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  <c r="AF83" s="73"/>
      <c r="AG83" s="73"/>
      <c r="AH83" s="73"/>
      <c r="AI83" s="73"/>
    </row>
    <row r="84" spans="1:35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7">ROUND(SUM(H72:H83),5)</f>
        <v>39159.980000000003</v>
      </c>
      <c r="I84" s="63">
        <f t="shared" si="27"/>
        <v>39468</v>
      </c>
      <c r="J84" s="64">
        <f t="shared" si="27"/>
        <v>32291.99</v>
      </c>
      <c r="K84" s="64">
        <f t="shared" si="27"/>
        <v>31248</v>
      </c>
      <c r="L84" s="65">
        <f t="shared" si="27"/>
        <v>35379.879999999997</v>
      </c>
      <c r="M84" s="65">
        <f t="shared" si="27"/>
        <v>68481</v>
      </c>
      <c r="N84" s="66">
        <f t="shared" si="26"/>
        <v>106831.85</v>
      </c>
      <c r="O84" s="66">
        <f t="shared" si="26"/>
        <v>139197</v>
      </c>
      <c r="P84" s="69">
        <f t="shared" si="25"/>
        <v>35610.616666666669</v>
      </c>
      <c r="Q84" s="69">
        <f t="shared" si="25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 t="shared" ref="AB84:AH84" si="28">ROUND(SUM(AB72:AB83),5)</f>
        <v>0</v>
      </c>
      <c r="AC84" s="66">
        <f t="shared" si="28"/>
        <v>0</v>
      </c>
      <c r="AD84" s="66">
        <f t="shared" si="28"/>
        <v>0</v>
      </c>
      <c r="AE84" s="66">
        <f t="shared" si="28"/>
        <v>0</v>
      </c>
      <c r="AF84" s="66">
        <f t="shared" si="28"/>
        <v>0</v>
      </c>
      <c r="AG84" s="66">
        <f t="shared" si="28"/>
        <v>0</v>
      </c>
      <c r="AH84" s="66">
        <f t="shared" si="28"/>
        <v>0</v>
      </c>
      <c r="AI84" s="66">
        <f t="shared" ref="AI84" si="29">ROUND(SUM(AI72:AI83),5)</f>
        <v>0</v>
      </c>
    </row>
    <row r="85" spans="1:35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  <c r="AF85" s="66"/>
      <c r="AG85" s="66"/>
      <c r="AH85" s="66"/>
      <c r="AI85" s="66"/>
    </row>
    <row r="86" spans="1:35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30">ROUND(H86+J86+L86,5)</f>
        <v>41055.360000000001</v>
      </c>
      <c r="O86" s="66">
        <f t="shared" si="30"/>
        <v>61593</v>
      </c>
      <c r="P86" s="69">
        <f t="shared" si="25"/>
        <v>13685.12</v>
      </c>
      <c r="Q86" s="69">
        <f t="shared" si="25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  <c r="AF86" s="66"/>
      <c r="AG86" s="66"/>
      <c r="AH86" s="66"/>
      <c r="AI86" s="66"/>
    </row>
    <row r="87" spans="1:35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30"/>
        <v>4557.07</v>
      </c>
      <c r="O87" s="66">
        <f t="shared" si="30"/>
        <v>5852</v>
      </c>
      <c r="P87" s="69">
        <f t="shared" si="25"/>
        <v>1519.0233333333333</v>
      </c>
      <c r="Q87" s="69">
        <f t="shared" si="25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  <c r="AF87" s="66"/>
      <c r="AG87" s="66"/>
      <c r="AH87" s="66"/>
      <c r="AI87" s="66"/>
    </row>
    <row r="88" spans="1:35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30"/>
        <v>9699</v>
      </c>
      <c r="O88" s="66">
        <f t="shared" si="30"/>
        <v>58996</v>
      </c>
      <c r="P88" s="69">
        <f t="shared" si="25"/>
        <v>3233</v>
      </c>
      <c r="Q88" s="69">
        <f t="shared" si="25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  <c r="AF88" s="66"/>
      <c r="AG88" s="66"/>
      <c r="AH88" s="66"/>
      <c r="AI88" s="66"/>
    </row>
    <row r="89" spans="1:35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30"/>
        <v>4967.9799999999996</v>
      </c>
      <c r="O89" s="73">
        <f t="shared" si="30"/>
        <v>15466</v>
      </c>
      <c r="P89" s="74">
        <f t="shared" si="25"/>
        <v>1655.9933333333331</v>
      </c>
      <c r="Q89" s="74">
        <f t="shared" si="25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  <c r="AF89" s="73"/>
      <c r="AG89" s="73"/>
      <c r="AH89" s="73"/>
      <c r="AI89" s="73"/>
    </row>
    <row r="90" spans="1:35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31">ROUND(SUM(H85:H89),5)</f>
        <v>20271.38</v>
      </c>
      <c r="I90" s="63">
        <f t="shared" si="31"/>
        <v>42055</v>
      </c>
      <c r="J90" s="64">
        <f t="shared" si="31"/>
        <v>14973.03</v>
      </c>
      <c r="K90" s="64">
        <f t="shared" si="31"/>
        <v>58944</v>
      </c>
      <c r="L90" s="65">
        <f t="shared" si="31"/>
        <v>25035</v>
      </c>
      <c r="M90" s="65">
        <f t="shared" si="31"/>
        <v>40908</v>
      </c>
      <c r="N90" s="66">
        <f t="shared" si="30"/>
        <v>60279.41</v>
      </c>
      <c r="O90" s="66">
        <f t="shared" si="30"/>
        <v>141907</v>
      </c>
      <c r="P90" s="69">
        <f t="shared" si="25"/>
        <v>20093.136666666669</v>
      </c>
      <c r="Q90" s="69">
        <f t="shared" si="25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 t="shared" ref="AB90:AH90" si="32">ROUND(SUM(AB85:AB89),5)</f>
        <v>0</v>
      </c>
      <c r="AC90" s="66">
        <f t="shared" si="32"/>
        <v>0</v>
      </c>
      <c r="AD90" s="66">
        <f t="shared" si="32"/>
        <v>0</v>
      </c>
      <c r="AE90" s="66">
        <f t="shared" si="32"/>
        <v>0</v>
      </c>
      <c r="AF90" s="66">
        <f t="shared" si="32"/>
        <v>0</v>
      </c>
      <c r="AG90" s="66">
        <f t="shared" si="32"/>
        <v>0</v>
      </c>
      <c r="AH90" s="66">
        <f t="shared" si="32"/>
        <v>0</v>
      </c>
      <c r="AI90" s="66">
        <f t="shared" ref="AI90" si="33">ROUND(SUM(AI85:AI89),5)</f>
        <v>0</v>
      </c>
    </row>
    <row r="91" spans="1:35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  <c r="AF91" s="66"/>
      <c r="AG91" s="66"/>
      <c r="AH91" s="66"/>
      <c r="AI91" s="66"/>
    </row>
    <row r="92" spans="1:35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34">ROUND(H92+J92+L92,5)</f>
        <v>108862.85</v>
      </c>
      <c r="O92" s="66">
        <f t="shared" si="34"/>
        <v>69579</v>
      </c>
      <c r="P92" s="69">
        <f t="shared" si="25"/>
        <v>36287.616666666669</v>
      </c>
      <c r="Q92" s="69">
        <f t="shared" si="25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  <c r="AF92" s="66"/>
      <c r="AG92" s="66"/>
      <c r="AH92" s="66"/>
      <c r="AI92" s="66"/>
    </row>
    <row r="93" spans="1:35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34"/>
        <v>14518.12</v>
      </c>
      <c r="O93" s="66">
        <f t="shared" si="34"/>
        <v>19733</v>
      </c>
      <c r="P93" s="69">
        <f t="shared" si="25"/>
        <v>4839.3733333333339</v>
      </c>
      <c r="Q93" s="69">
        <f t="shared" si="25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  <c r="AF93" s="66"/>
      <c r="AG93" s="66"/>
      <c r="AH93" s="66"/>
      <c r="AI93" s="66"/>
    </row>
    <row r="94" spans="1:35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34"/>
        <v>43484.49</v>
      </c>
      <c r="O94" s="66">
        <f t="shared" si="34"/>
        <v>62432</v>
      </c>
      <c r="P94" s="69">
        <f t="shared" si="25"/>
        <v>14494.83</v>
      </c>
      <c r="Q94" s="69">
        <f t="shared" si="25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  <c r="AF94" s="66"/>
      <c r="AG94" s="66"/>
      <c r="AH94" s="66"/>
      <c r="AI94" s="66"/>
    </row>
    <row r="95" spans="1:35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34"/>
        <v>4211.0600000000004</v>
      </c>
      <c r="O95" s="66">
        <f t="shared" si="34"/>
        <v>13454</v>
      </c>
      <c r="P95" s="69">
        <f t="shared" si="25"/>
        <v>1403.6866666666667</v>
      </c>
      <c r="Q95" s="69">
        <f t="shared" si="25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  <c r="AF95" s="66"/>
      <c r="AG95" s="66"/>
      <c r="AH95" s="66"/>
      <c r="AI95" s="66"/>
    </row>
    <row r="96" spans="1:35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34"/>
        <v>49443.53</v>
      </c>
      <c r="O96" s="66">
        <f t="shared" si="34"/>
        <v>34119</v>
      </c>
      <c r="P96" s="69">
        <f t="shared" si="25"/>
        <v>16481.176666666666</v>
      </c>
      <c r="Q96" s="69">
        <f t="shared" si="25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  <c r="AF96" s="66"/>
      <c r="AG96" s="66"/>
      <c r="AH96" s="66"/>
      <c r="AI96" s="66"/>
    </row>
    <row r="97" spans="1:35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34"/>
        <v>5328.03</v>
      </c>
      <c r="O97" s="66">
        <f t="shared" si="34"/>
        <v>7526</v>
      </c>
      <c r="P97" s="69">
        <f t="shared" si="25"/>
        <v>1776.01</v>
      </c>
      <c r="Q97" s="69">
        <f t="shared" si="25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  <c r="AF97" s="66"/>
      <c r="AG97" s="66"/>
      <c r="AH97" s="66"/>
      <c r="AI97" s="66"/>
    </row>
    <row r="98" spans="1:35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34"/>
        <v>63633.29</v>
      </c>
      <c r="O98" s="66">
        <f t="shared" si="34"/>
        <v>69145</v>
      </c>
      <c r="P98" s="69">
        <f t="shared" si="25"/>
        <v>21211.096666666668</v>
      </c>
      <c r="Q98" s="69">
        <f t="shared" si="25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  <c r="AF98" s="66"/>
      <c r="AG98" s="66"/>
      <c r="AH98" s="66"/>
      <c r="AI98" s="66"/>
    </row>
    <row r="99" spans="1:35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34"/>
        <v>7554.05</v>
      </c>
      <c r="O99" s="66">
        <f t="shared" si="34"/>
        <v>16058</v>
      </c>
      <c r="P99" s="69">
        <f t="shared" si="25"/>
        <v>2518.0166666666669</v>
      </c>
      <c r="Q99" s="69">
        <f t="shared" si="25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  <c r="AF99" s="66"/>
      <c r="AG99" s="66"/>
      <c r="AH99" s="66"/>
      <c r="AI99" s="66"/>
    </row>
    <row r="100" spans="1:35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34"/>
        <v>5514</v>
      </c>
      <c r="O100" s="66">
        <f t="shared" si="34"/>
        <v>12319</v>
      </c>
      <c r="P100" s="69">
        <f t="shared" si="25"/>
        <v>1838</v>
      </c>
      <c r="Q100" s="69">
        <f t="shared" si="25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  <c r="AF100" s="66"/>
      <c r="AG100" s="66"/>
      <c r="AH100" s="66"/>
      <c r="AI100" s="66"/>
    </row>
    <row r="101" spans="1:35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  <c r="AF101" s="73"/>
      <c r="AG101" s="73"/>
      <c r="AH101" s="73"/>
      <c r="AI101" s="73"/>
    </row>
    <row r="102" spans="1:35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35">ROUND(SUM(H91:H100),5)</f>
        <v>81944.17</v>
      </c>
      <c r="I102" s="63">
        <f t="shared" si="35"/>
        <v>70005</v>
      </c>
      <c r="J102" s="64">
        <f t="shared" si="35"/>
        <v>112983.21</v>
      </c>
      <c r="K102" s="64">
        <f t="shared" si="35"/>
        <v>122376</v>
      </c>
      <c r="L102" s="65">
        <f t="shared" si="35"/>
        <v>107622.04</v>
      </c>
      <c r="M102" s="65">
        <f t="shared" si="35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25"/>
        <v>100849.80666666666</v>
      </c>
      <c r="Q102" s="69">
        <f t="shared" si="25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 t="shared" ref="AB102:AH102" si="36">ROUND(SUM(AB91:AB101),5)</f>
        <v>0</v>
      </c>
      <c r="AC102" s="66">
        <f t="shared" si="36"/>
        <v>0</v>
      </c>
      <c r="AD102" s="66">
        <f t="shared" si="36"/>
        <v>0</v>
      </c>
      <c r="AE102" s="66">
        <f t="shared" si="36"/>
        <v>0</v>
      </c>
      <c r="AF102" s="66">
        <f t="shared" si="36"/>
        <v>0</v>
      </c>
      <c r="AG102" s="66">
        <f t="shared" si="36"/>
        <v>0</v>
      </c>
      <c r="AH102" s="66">
        <f t="shared" si="36"/>
        <v>0</v>
      </c>
      <c r="AI102" s="66">
        <f t="shared" ref="AI102" si="37">ROUND(SUM(AI91:AI101),5)</f>
        <v>0</v>
      </c>
    </row>
    <row r="103" spans="1:35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25"/>
        <v>0</v>
      </c>
      <c r="Q103" s="69">
        <f t="shared" si="25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  <c r="AF103" s="66"/>
      <c r="AG103" s="66"/>
      <c r="AH103" s="66"/>
      <c r="AI103" s="66"/>
    </row>
    <row r="104" spans="1:35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38">ROUND(H104+J104+L104,5)</f>
        <v>74439.240000000005</v>
      </c>
      <c r="O104" s="66">
        <f t="shared" si="38"/>
        <v>63264</v>
      </c>
      <c r="P104" s="69">
        <f t="shared" si="25"/>
        <v>24813.08</v>
      </c>
      <c r="Q104" s="69">
        <f t="shared" si="25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  <c r="AF104" s="66"/>
      <c r="AG104" s="66"/>
      <c r="AH104" s="66"/>
      <c r="AI104" s="66"/>
    </row>
    <row r="105" spans="1:35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38"/>
        <v>13570.83</v>
      </c>
      <c r="O105" s="66">
        <f t="shared" si="38"/>
        <v>26229</v>
      </c>
      <c r="P105" s="69">
        <f t="shared" si="25"/>
        <v>4523.6099999999997</v>
      </c>
      <c r="Q105" s="69">
        <f t="shared" si="25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  <c r="AF105" s="66"/>
      <c r="AG105" s="66"/>
      <c r="AH105" s="66"/>
      <c r="AI105" s="66"/>
    </row>
    <row r="106" spans="1:35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38"/>
        <v>31132.720000000001</v>
      </c>
      <c r="O106" s="66">
        <f t="shared" si="38"/>
        <v>23118</v>
      </c>
      <c r="P106" s="69">
        <f t="shared" si="25"/>
        <v>10377.573333333334</v>
      </c>
      <c r="Q106" s="69">
        <f t="shared" si="25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  <c r="AF106" s="66"/>
      <c r="AG106" s="66"/>
      <c r="AH106" s="66"/>
      <c r="AI106" s="66"/>
    </row>
    <row r="107" spans="1:35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38"/>
        <v>5105.97</v>
      </c>
      <c r="O107" s="66">
        <f t="shared" si="38"/>
        <v>7489</v>
      </c>
      <c r="P107" s="69">
        <f t="shared" si="25"/>
        <v>1701.99</v>
      </c>
      <c r="Q107" s="69">
        <f t="shared" si="25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  <c r="AF107" s="66"/>
      <c r="AG107" s="66"/>
      <c r="AH107" s="66"/>
      <c r="AI107" s="66"/>
    </row>
    <row r="108" spans="1:35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38"/>
        <v>60762.3</v>
      </c>
      <c r="O108" s="66">
        <f t="shared" si="38"/>
        <v>41781</v>
      </c>
      <c r="P108" s="69">
        <f t="shared" si="25"/>
        <v>20254.100000000002</v>
      </c>
      <c r="Q108" s="69">
        <f t="shared" si="25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  <c r="AF108" s="66"/>
      <c r="AG108" s="66"/>
      <c r="AH108" s="66"/>
      <c r="AI108" s="66"/>
    </row>
    <row r="109" spans="1:35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38"/>
        <v>20355.89</v>
      </c>
      <c r="O109" s="66">
        <f t="shared" si="38"/>
        <v>5382</v>
      </c>
      <c r="P109" s="69">
        <f t="shared" si="25"/>
        <v>6785.2966666666662</v>
      </c>
      <c r="Q109" s="69">
        <f t="shared" si="25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  <c r="AF109" s="66"/>
      <c r="AG109" s="66"/>
      <c r="AH109" s="66"/>
      <c r="AI109" s="66"/>
    </row>
    <row r="110" spans="1:35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38"/>
        <v>3399.97</v>
      </c>
      <c r="O110" s="66">
        <f t="shared" si="38"/>
        <v>0</v>
      </c>
      <c r="P110" s="69">
        <f t="shared" si="25"/>
        <v>1133.3233333333333</v>
      </c>
      <c r="Q110" s="69">
        <f t="shared" si="25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  <c r="AF110" s="66"/>
      <c r="AG110" s="66"/>
      <c r="AH110" s="66"/>
      <c r="AI110" s="66"/>
    </row>
    <row r="111" spans="1:35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39">ROUND(SUM(H103:H110),5)</f>
        <v>59018.03</v>
      </c>
      <c r="I111" s="75">
        <f t="shared" si="39"/>
        <v>31525</v>
      </c>
      <c r="J111" s="76">
        <f t="shared" si="39"/>
        <v>66518.98</v>
      </c>
      <c r="K111" s="76">
        <f t="shared" si="39"/>
        <v>44976</v>
      </c>
      <c r="L111" s="77">
        <f t="shared" si="39"/>
        <v>83229.91</v>
      </c>
      <c r="M111" s="77">
        <f t="shared" si="39"/>
        <v>90762</v>
      </c>
      <c r="N111" s="78">
        <f t="shared" si="38"/>
        <v>208766.92</v>
      </c>
      <c r="O111" s="78">
        <f t="shared" si="38"/>
        <v>167263</v>
      </c>
      <c r="P111" s="79">
        <f t="shared" si="25"/>
        <v>69588.973333333342</v>
      </c>
      <c r="Q111" s="79">
        <f t="shared" si="25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 t="shared" ref="AB111:AH111" si="40">ROUND(SUM(AB103:AB110),5)</f>
        <v>0</v>
      </c>
      <c r="AC111" s="78">
        <f t="shared" si="40"/>
        <v>0</v>
      </c>
      <c r="AD111" s="78">
        <f t="shared" si="40"/>
        <v>0</v>
      </c>
      <c r="AE111" s="78">
        <f t="shared" si="40"/>
        <v>0</v>
      </c>
      <c r="AF111" s="78">
        <f t="shared" si="40"/>
        <v>0</v>
      </c>
      <c r="AG111" s="78">
        <f t="shared" si="40"/>
        <v>0</v>
      </c>
      <c r="AH111" s="78">
        <f t="shared" si="40"/>
        <v>0</v>
      </c>
      <c r="AI111" s="78">
        <f t="shared" ref="AI111" si="41">ROUND(SUM(AI103:AI110),5)</f>
        <v>0</v>
      </c>
    </row>
    <row r="112" spans="1:35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25"/>
        <v>0</v>
      </c>
      <c r="Q112" s="69">
        <f t="shared" si="25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  <c r="AF112" s="66"/>
      <c r="AG112" s="66"/>
      <c r="AH112" s="66"/>
      <c r="AI112" s="66"/>
    </row>
    <row r="113" spans="1:37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42">ROUND(H113+J113+L113,5)</f>
        <v>453828.9</v>
      </c>
      <c r="O113" s="66">
        <f t="shared" si="42"/>
        <v>406218</v>
      </c>
      <c r="P113" s="69">
        <f t="shared" si="25"/>
        <v>151276.30000000002</v>
      </c>
      <c r="Q113" s="69">
        <f t="shared" si="25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  <c r="AH113" s="66">
        <v>0</v>
      </c>
      <c r="AI113" s="66">
        <v>0</v>
      </c>
    </row>
    <row r="114" spans="1:37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42"/>
        <v>0</v>
      </c>
      <c r="O114" s="73">
        <f t="shared" si="42"/>
        <v>0</v>
      </c>
      <c r="P114" s="74">
        <f t="shared" si="25"/>
        <v>0</v>
      </c>
      <c r="Q114" s="74">
        <f t="shared" si="25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>
        <v>0</v>
      </c>
      <c r="AI114" s="66">
        <v>0</v>
      </c>
    </row>
    <row r="115" spans="1:37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43">ROUND(SUM(H112:H114),5)</f>
        <v>57491.4</v>
      </c>
      <c r="I115" s="63">
        <f t="shared" si="43"/>
        <v>406218</v>
      </c>
      <c r="J115" s="64">
        <f t="shared" si="43"/>
        <v>150471.5</v>
      </c>
      <c r="K115" s="64">
        <f t="shared" si="43"/>
        <v>0</v>
      </c>
      <c r="L115" s="65">
        <f t="shared" si="43"/>
        <v>245866</v>
      </c>
      <c r="M115" s="65">
        <f t="shared" si="43"/>
        <v>0</v>
      </c>
      <c r="N115" s="66">
        <f t="shared" si="42"/>
        <v>453828.9</v>
      </c>
      <c r="O115" s="66">
        <f t="shared" si="42"/>
        <v>406218</v>
      </c>
      <c r="P115" s="69">
        <f t="shared" si="25"/>
        <v>151276.30000000002</v>
      </c>
      <c r="Q115" s="69">
        <f t="shared" si="25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</row>
    <row r="116" spans="1:37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44">ROUND(H8+H15+H39+H45+SUM(H62:H63)+H71+H84+H90+H102+H111+SUM(H115:H115),5)</f>
        <v>760409.73</v>
      </c>
      <c r="I116" s="75">
        <f t="shared" si="44"/>
        <v>912984</v>
      </c>
      <c r="J116" s="76">
        <f t="shared" si="44"/>
        <v>855809.22</v>
      </c>
      <c r="K116" s="76">
        <f t="shared" si="44"/>
        <v>904615.38</v>
      </c>
      <c r="L116" s="77">
        <f t="shared" si="44"/>
        <v>1036241.61</v>
      </c>
      <c r="M116" s="77">
        <f t="shared" si="44"/>
        <v>926829</v>
      </c>
      <c r="N116" s="78">
        <f t="shared" si="42"/>
        <v>2652460.56</v>
      </c>
      <c r="O116" s="78">
        <f t="shared" si="42"/>
        <v>2744428.38</v>
      </c>
      <c r="P116" s="79">
        <f t="shared" si="25"/>
        <v>884153.52</v>
      </c>
      <c r="Q116" s="79">
        <f t="shared" si="25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 t="shared" ref="AB116:AF116" si="45">ROUND(AB8+AB15+AB39+AB45+SUM(AB62:AB63)+AB71+AB84+AB90+AB102+AB111+SUM(AB115:AB115),5)</f>
        <v>960784.8</v>
      </c>
      <c r="AC116" s="80">
        <f t="shared" si="45"/>
        <v>960784.8</v>
      </c>
      <c r="AD116" s="80">
        <f t="shared" si="45"/>
        <v>1026054.2</v>
      </c>
      <c r="AE116" s="80">
        <f t="shared" si="45"/>
        <v>1026054.2</v>
      </c>
      <c r="AF116" s="80">
        <f t="shared" si="45"/>
        <v>1026054.2</v>
      </c>
      <c r="AG116" s="80">
        <f>ROUND(AG8+AG15+AG39+AG45+SUM(AG62:AG63)+AG71+AG84+AG90+AG102+AG111+SUM(AG115:AG115),0)</f>
        <v>1026054</v>
      </c>
      <c r="AH116" s="80">
        <f>ROUND(AH8+AH15+AH39+AH45+SUM(AH62:AH63)+AH71+AH84+AH90+AH102+AH111+SUM(AH115:AH115),0)+20000</f>
        <v>1046054</v>
      </c>
      <c r="AI116" s="80">
        <f>ROUND(AI8+AI15+AI39+AI45+SUM(AI62:AI63)+AI71+AI84+AI90+AI102+AI111+SUM(AI115:AI115),0)+20000</f>
        <v>1046054</v>
      </c>
      <c r="AK116" s="226" t="s">
        <v>971</v>
      </c>
    </row>
    <row r="117" spans="1:37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25"/>
        <v>0</v>
      </c>
      <c r="Q117" s="69">
        <f t="shared" si="25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  <c r="AF117" s="66"/>
      <c r="AG117" s="66"/>
      <c r="AH117" s="66"/>
      <c r="AI117" s="66"/>
      <c r="AK117" s="221"/>
    </row>
    <row r="118" spans="1:37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25"/>
        <v>0</v>
      </c>
      <c r="Q118" s="69">
        <f t="shared" si="25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  <c r="AG118" s="66">
        <v>1108895</v>
      </c>
      <c r="AH118" s="66">
        <v>1108895</v>
      </c>
      <c r="AI118" s="66">
        <v>1108895</v>
      </c>
      <c r="AK118" s="221"/>
    </row>
    <row r="119" spans="1:37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46">ROUND(H119+J119+L119,5)</f>
        <v>488400</v>
      </c>
      <c r="O119" s="66">
        <f t="shared" si="46"/>
        <v>485585</v>
      </c>
      <c r="P119" s="69">
        <f t="shared" si="25"/>
        <v>162800</v>
      </c>
      <c r="Q119" s="69">
        <f t="shared" si="25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  <c r="AF119" s="66"/>
      <c r="AG119" s="66"/>
      <c r="AH119" s="66"/>
      <c r="AI119" s="66"/>
      <c r="AK119" s="221"/>
    </row>
    <row r="120" spans="1:37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46"/>
        <v>399075</v>
      </c>
      <c r="O120" s="66">
        <f t="shared" si="46"/>
        <v>126010</v>
      </c>
      <c r="P120" s="69">
        <f t="shared" si="25"/>
        <v>133025</v>
      </c>
      <c r="Q120" s="69">
        <f t="shared" si="25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  <c r="AF120" s="66"/>
      <c r="AG120" s="66"/>
      <c r="AH120" s="66"/>
      <c r="AI120" s="66"/>
      <c r="AK120" s="221"/>
    </row>
    <row r="121" spans="1:37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46"/>
        <v>265</v>
      </c>
      <c r="O121" s="66">
        <f t="shared" si="46"/>
        <v>0</v>
      </c>
      <c r="P121" s="69">
        <f t="shared" si="25"/>
        <v>88.333333333333329</v>
      </c>
      <c r="Q121" s="69">
        <f t="shared" si="25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  <c r="AF121" s="66"/>
      <c r="AG121" s="66"/>
      <c r="AH121" s="66"/>
      <c r="AI121" s="66"/>
      <c r="AK121" s="221"/>
    </row>
    <row r="122" spans="1:37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46"/>
        <v>265</v>
      </c>
      <c r="O122" s="66">
        <f t="shared" si="46"/>
        <v>91390</v>
      </c>
      <c r="P122" s="69">
        <f t="shared" si="25"/>
        <v>88.333333333333329</v>
      </c>
      <c r="Q122" s="69">
        <f t="shared" si="25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  <c r="AF122" s="66"/>
      <c r="AG122" s="66"/>
      <c r="AH122" s="66"/>
      <c r="AI122" s="66"/>
      <c r="AK122" s="221"/>
    </row>
    <row r="123" spans="1:37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46"/>
        <v>98830</v>
      </c>
      <c r="O123" s="66">
        <f t="shared" si="46"/>
        <v>125165</v>
      </c>
      <c r="P123" s="69">
        <f t="shared" si="25"/>
        <v>32943.333333333336</v>
      </c>
      <c r="Q123" s="69">
        <f t="shared" si="25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  <c r="AF123" s="66"/>
      <c r="AG123" s="66"/>
      <c r="AH123" s="66"/>
      <c r="AI123" s="66"/>
      <c r="AK123" s="221"/>
    </row>
    <row r="124" spans="1:37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47">ROUND(SUM(H118:H123),5)</f>
        <v>322815</v>
      </c>
      <c r="I124" s="75">
        <f t="shared" si="47"/>
        <v>280085</v>
      </c>
      <c r="J124" s="76">
        <f t="shared" si="47"/>
        <v>327395</v>
      </c>
      <c r="K124" s="76">
        <f t="shared" si="47"/>
        <v>231075</v>
      </c>
      <c r="L124" s="77">
        <f t="shared" si="47"/>
        <v>336625</v>
      </c>
      <c r="M124" s="77">
        <f t="shared" si="47"/>
        <v>316990</v>
      </c>
      <c r="N124" s="78">
        <f t="shared" si="46"/>
        <v>986835</v>
      </c>
      <c r="O124" s="78">
        <f t="shared" si="46"/>
        <v>828150</v>
      </c>
      <c r="P124" s="79">
        <f t="shared" si="25"/>
        <v>328945</v>
      </c>
      <c r="Q124" s="79">
        <f t="shared" si="25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 t="shared" ref="AB124:AH124" si="48">ROUND(SUM(AB118:AB123),5)</f>
        <v>1043950</v>
      </c>
      <c r="AC124" s="78">
        <f t="shared" si="48"/>
        <v>1043950</v>
      </c>
      <c r="AD124" s="78">
        <f t="shared" si="48"/>
        <v>1043950</v>
      </c>
      <c r="AE124" s="78">
        <f t="shared" si="48"/>
        <v>1043950</v>
      </c>
      <c r="AF124" s="78">
        <f t="shared" si="48"/>
        <v>1069055</v>
      </c>
      <c r="AG124" s="78">
        <f t="shared" si="48"/>
        <v>1108895</v>
      </c>
      <c r="AH124" s="78">
        <f t="shared" si="48"/>
        <v>1108895</v>
      </c>
      <c r="AI124" s="78">
        <f t="shared" ref="AI124" si="49">ROUND(SUM(AI118:AI123),5)</f>
        <v>1108895</v>
      </c>
      <c r="AK124" s="221"/>
    </row>
    <row r="125" spans="1:37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25"/>
        <v>0</v>
      </c>
      <c r="Q125" s="69">
        <f t="shared" si="25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  <c r="AF125" s="66"/>
      <c r="AG125" s="66"/>
      <c r="AH125" s="66"/>
      <c r="AI125" s="66"/>
      <c r="AK125" s="221"/>
    </row>
    <row r="126" spans="1:37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50">ROUND(H126+J126+L126,5)</f>
        <v>294615</v>
      </c>
      <c r="O126" s="66">
        <f t="shared" si="50"/>
        <v>236035</v>
      </c>
      <c r="P126" s="69">
        <f t="shared" si="25"/>
        <v>98205</v>
      </c>
      <c r="Q126" s="69">
        <f t="shared" si="25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  <c r="AF126" s="66"/>
      <c r="AG126" s="66"/>
      <c r="AH126" s="66"/>
      <c r="AI126" s="66"/>
      <c r="AK126" s="221"/>
    </row>
    <row r="127" spans="1:37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50"/>
        <v>96940</v>
      </c>
      <c r="O127" s="66">
        <f t="shared" si="50"/>
        <v>135795</v>
      </c>
      <c r="P127" s="69">
        <f t="shared" si="25"/>
        <v>32313.333333333332</v>
      </c>
      <c r="Q127" s="69">
        <f t="shared" si="25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  <c r="AF127" s="66"/>
      <c r="AG127" s="66"/>
      <c r="AH127" s="66"/>
      <c r="AI127" s="66"/>
      <c r="AK127" s="221"/>
    </row>
    <row r="128" spans="1:37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50"/>
        <v>69790</v>
      </c>
      <c r="O128" s="66">
        <f t="shared" si="50"/>
        <v>111720</v>
      </c>
      <c r="P128" s="69">
        <f t="shared" si="25"/>
        <v>23263.333333333332</v>
      </c>
      <c r="Q128" s="69">
        <f t="shared" si="25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  <c r="AF128" s="66"/>
      <c r="AG128" s="66"/>
      <c r="AH128" s="66"/>
      <c r="AI128" s="66"/>
      <c r="AK128" s="221"/>
    </row>
    <row r="129" spans="1:37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50"/>
        <v>81000</v>
      </c>
      <c r="O129" s="73">
        <f t="shared" si="50"/>
        <v>99880</v>
      </c>
      <c r="P129" s="74">
        <f t="shared" si="25"/>
        <v>27000</v>
      </c>
      <c r="Q129" s="74">
        <f t="shared" si="25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  <c r="AF129" s="73"/>
      <c r="AG129" s="73"/>
      <c r="AH129" s="73"/>
      <c r="AI129" s="73"/>
      <c r="AK129" s="221"/>
    </row>
    <row r="130" spans="1:37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51">ROUND(SUM(H125:H129),5)</f>
        <v>172910</v>
      </c>
      <c r="I130" s="63">
        <f t="shared" si="51"/>
        <v>222395</v>
      </c>
      <c r="J130" s="64">
        <f t="shared" si="51"/>
        <v>180035</v>
      </c>
      <c r="K130" s="64">
        <f t="shared" si="51"/>
        <v>178545</v>
      </c>
      <c r="L130" s="65">
        <f t="shared" si="51"/>
        <v>189400</v>
      </c>
      <c r="M130" s="65">
        <f t="shared" si="51"/>
        <v>182490</v>
      </c>
      <c r="N130" s="66">
        <f t="shared" si="50"/>
        <v>542345</v>
      </c>
      <c r="O130" s="66">
        <f t="shared" si="50"/>
        <v>583430</v>
      </c>
      <c r="P130" s="69">
        <f t="shared" si="25"/>
        <v>180781.66666666666</v>
      </c>
      <c r="Q130" s="69">
        <f t="shared" si="25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 t="shared" ref="AB130:AH130" si="52">ROUND(SUM(AB125:AB129),5)</f>
        <v>0</v>
      </c>
      <c r="AC130" s="66">
        <f t="shared" si="52"/>
        <v>0</v>
      </c>
      <c r="AD130" s="66">
        <f t="shared" si="52"/>
        <v>0</v>
      </c>
      <c r="AE130" s="66">
        <f t="shared" si="52"/>
        <v>0</v>
      </c>
      <c r="AF130" s="66">
        <f t="shared" si="52"/>
        <v>0</v>
      </c>
      <c r="AG130" s="66">
        <f t="shared" si="52"/>
        <v>0</v>
      </c>
      <c r="AH130" s="66">
        <f t="shared" si="52"/>
        <v>0</v>
      </c>
      <c r="AI130" s="66">
        <f t="shared" ref="AI130" si="53">ROUND(SUM(AI125:AI129),5)</f>
        <v>0</v>
      </c>
      <c r="AK130" s="221"/>
    </row>
    <row r="131" spans="1:37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25"/>
        <v>0</v>
      </c>
      <c r="Q131" s="69">
        <f t="shared" si="25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  <c r="AF131" s="66"/>
      <c r="AG131" s="66"/>
      <c r="AH131" s="66"/>
      <c r="AI131" s="66"/>
      <c r="AK131" s="221"/>
    </row>
    <row r="132" spans="1:37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54">ROUND(H132+J132+L132,5)</f>
        <v>59355</v>
      </c>
      <c r="O132" s="66">
        <f t="shared" si="54"/>
        <v>117110</v>
      </c>
      <c r="P132" s="69">
        <f t="shared" si="25"/>
        <v>19785</v>
      </c>
      <c r="Q132" s="69">
        <f t="shared" si="25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  <c r="AF132" s="66"/>
      <c r="AG132" s="66"/>
      <c r="AH132" s="66"/>
      <c r="AI132" s="66"/>
      <c r="AK132" s="221"/>
    </row>
    <row r="133" spans="1:37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54"/>
        <v>22765</v>
      </c>
      <c r="O133" s="66">
        <f t="shared" si="54"/>
        <v>58385</v>
      </c>
      <c r="P133" s="69">
        <f t="shared" si="25"/>
        <v>7588.333333333333</v>
      </c>
      <c r="Q133" s="69">
        <f t="shared" si="25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  <c r="AF133" s="66"/>
      <c r="AG133" s="66"/>
      <c r="AH133" s="66"/>
      <c r="AI133" s="66"/>
      <c r="AK133" s="221"/>
    </row>
    <row r="134" spans="1:37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54"/>
        <v>55100</v>
      </c>
      <c r="O134" s="73">
        <f t="shared" si="54"/>
        <v>63285</v>
      </c>
      <c r="P134" s="74">
        <f t="shared" si="25"/>
        <v>18366.666666666668</v>
      </c>
      <c r="Q134" s="74">
        <f t="shared" si="25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  <c r="AF134" s="73"/>
      <c r="AG134" s="73"/>
      <c r="AH134" s="73"/>
      <c r="AI134" s="73"/>
      <c r="AK134" s="221"/>
    </row>
    <row r="135" spans="1:37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55">ROUND(SUM(H131:H134),5)</f>
        <v>47660</v>
      </c>
      <c r="I135" s="63">
        <f t="shared" si="55"/>
        <v>89480</v>
      </c>
      <c r="J135" s="64">
        <f t="shared" si="55"/>
        <v>50325</v>
      </c>
      <c r="K135" s="64">
        <f t="shared" si="55"/>
        <v>95015</v>
      </c>
      <c r="L135" s="65">
        <f t="shared" si="55"/>
        <v>39235</v>
      </c>
      <c r="M135" s="65">
        <f t="shared" si="55"/>
        <v>54285</v>
      </c>
      <c r="N135" s="66">
        <f t="shared" si="54"/>
        <v>137220</v>
      </c>
      <c r="O135" s="66">
        <f t="shared" si="54"/>
        <v>238780</v>
      </c>
      <c r="P135" s="69">
        <f t="shared" si="25"/>
        <v>45740</v>
      </c>
      <c r="Q135" s="69">
        <f t="shared" si="25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 t="shared" ref="AB135:AH135" si="56">ROUND(SUM(AB131:AB134),5)</f>
        <v>0</v>
      </c>
      <c r="AC135" s="66">
        <f t="shared" si="56"/>
        <v>0</v>
      </c>
      <c r="AD135" s="66">
        <f t="shared" si="56"/>
        <v>0</v>
      </c>
      <c r="AE135" s="66">
        <f t="shared" si="56"/>
        <v>0</v>
      </c>
      <c r="AF135" s="66">
        <f t="shared" si="56"/>
        <v>0</v>
      </c>
      <c r="AG135" s="66">
        <f t="shared" si="56"/>
        <v>0</v>
      </c>
      <c r="AH135" s="66">
        <f t="shared" si="56"/>
        <v>0</v>
      </c>
      <c r="AI135" s="66">
        <f t="shared" ref="AI135" si="57">ROUND(SUM(AI131:AI134),5)</f>
        <v>0</v>
      </c>
      <c r="AK135" s="221"/>
    </row>
    <row r="136" spans="1:37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25"/>
        <v>0</v>
      </c>
      <c r="Q136" s="69">
        <f t="shared" si="25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  <c r="AF136" s="66"/>
      <c r="AG136" s="66"/>
      <c r="AH136" s="66"/>
      <c r="AI136" s="66"/>
      <c r="AK136" s="221"/>
    </row>
    <row r="137" spans="1:37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58">ROUND(H137+J137+L137,5)</f>
        <v>139495</v>
      </c>
      <c r="O137" s="66">
        <f t="shared" si="58"/>
        <v>160315</v>
      </c>
      <c r="P137" s="69">
        <f t="shared" si="25"/>
        <v>46498.333333333336</v>
      </c>
      <c r="Q137" s="69">
        <f t="shared" si="25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  <c r="AF137" s="66"/>
      <c r="AG137" s="66"/>
      <c r="AH137" s="66"/>
      <c r="AI137" s="66"/>
      <c r="AK137" s="221"/>
    </row>
    <row r="138" spans="1:37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58"/>
        <v>11925</v>
      </c>
      <c r="O138" s="66">
        <f t="shared" si="58"/>
        <v>57525</v>
      </c>
      <c r="P138" s="69">
        <f t="shared" ref="P138:Q198" si="59">N138/3</f>
        <v>3975</v>
      </c>
      <c r="Q138" s="69">
        <f t="shared" si="59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  <c r="AF138" s="66"/>
      <c r="AG138" s="66"/>
      <c r="AH138" s="66"/>
      <c r="AI138" s="66"/>
      <c r="AK138" s="221"/>
    </row>
    <row r="139" spans="1:37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58"/>
        <v>54560</v>
      </c>
      <c r="O139" s="66">
        <f t="shared" si="58"/>
        <v>80605</v>
      </c>
      <c r="P139" s="69">
        <f t="shared" si="59"/>
        <v>18186.666666666668</v>
      </c>
      <c r="Q139" s="69">
        <f t="shared" si="59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  <c r="AF139" s="66"/>
      <c r="AG139" s="66"/>
      <c r="AH139" s="66"/>
      <c r="AI139" s="66"/>
      <c r="AK139" s="221"/>
    </row>
    <row r="140" spans="1:37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58"/>
        <v>35915</v>
      </c>
      <c r="O140" s="73">
        <f t="shared" si="58"/>
        <v>52710</v>
      </c>
      <c r="P140" s="74">
        <f t="shared" si="59"/>
        <v>11971.666666666666</v>
      </c>
      <c r="Q140" s="74">
        <f t="shared" si="59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  <c r="AF140" s="73"/>
      <c r="AG140" s="73"/>
      <c r="AH140" s="73"/>
      <c r="AI140" s="73"/>
      <c r="AK140" s="221"/>
    </row>
    <row r="141" spans="1:37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60">ROUND(SUM(H136:H140),5)</f>
        <v>92055</v>
      </c>
      <c r="I141" s="63">
        <f t="shared" si="60"/>
        <v>121215</v>
      </c>
      <c r="J141" s="64">
        <f t="shared" si="60"/>
        <v>73370</v>
      </c>
      <c r="K141" s="64">
        <f t="shared" si="60"/>
        <v>124725</v>
      </c>
      <c r="L141" s="65">
        <f t="shared" si="60"/>
        <v>76470</v>
      </c>
      <c r="M141" s="65">
        <f t="shared" si="60"/>
        <v>105215</v>
      </c>
      <c r="N141" s="66">
        <f t="shared" si="58"/>
        <v>241895</v>
      </c>
      <c r="O141" s="66">
        <f t="shared" si="58"/>
        <v>351155</v>
      </c>
      <c r="P141" s="69">
        <f t="shared" si="59"/>
        <v>80631.666666666672</v>
      </c>
      <c r="Q141" s="69">
        <f t="shared" si="59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 t="shared" ref="AB141:AH141" si="61">ROUND(SUM(AB136:AB140),5)</f>
        <v>0</v>
      </c>
      <c r="AC141" s="66">
        <f t="shared" si="61"/>
        <v>0</v>
      </c>
      <c r="AD141" s="66">
        <f t="shared" si="61"/>
        <v>0</v>
      </c>
      <c r="AE141" s="66">
        <f t="shared" si="61"/>
        <v>0</v>
      </c>
      <c r="AF141" s="66">
        <f t="shared" si="61"/>
        <v>0</v>
      </c>
      <c r="AG141" s="66">
        <f t="shared" si="61"/>
        <v>0</v>
      </c>
      <c r="AH141" s="66">
        <f t="shared" si="61"/>
        <v>0</v>
      </c>
      <c r="AI141" s="66">
        <f t="shared" ref="AI141" si="62">ROUND(SUM(AI136:AI140),5)</f>
        <v>0</v>
      </c>
      <c r="AK141" s="221"/>
    </row>
    <row r="142" spans="1:37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59"/>
        <v>0</v>
      </c>
      <c r="Q142" s="69">
        <f t="shared" si="59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  <c r="AF142" s="66"/>
      <c r="AG142" s="66"/>
      <c r="AH142" s="66"/>
      <c r="AI142" s="66"/>
      <c r="AK142" s="221"/>
    </row>
    <row r="143" spans="1:37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59"/>
        <v>-129721.66666666667</v>
      </c>
      <c r="Q143" s="74">
        <f t="shared" si="59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  <c r="AG143" s="73">
        <f>ROUND(-121383.54, 0)</f>
        <v>-121384</v>
      </c>
      <c r="AH143" s="73">
        <f>ROUND(-121383.54, 0)</f>
        <v>-121384</v>
      </c>
      <c r="AI143" s="73">
        <f>ROUND(-121383.54, 0)</f>
        <v>-121384</v>
      </c>
      <c r="AK143" s="221"/>
    </row>
    <row r="144" spans="1:37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63">ROUND(SUM(H142:H143),5)</f>
        <v>-125650</v>
      </c>
      <c r="I144" s="63">
        <f t="shared" si="63"/>
        <v>-126150</v>
      </c>
      <c r="J144" s="64">
        <f t="shared" si="63"/>
        <v>-133460</v>
      </c>
      <c r="K144" s="64">
        <f t="shared" si="63"/>
        <v>-130115.02</v>
      </c>
      <c r="L144" s="65">
        <f t="shared" si="63"/>
        <v>-130055</v>
      </c>
      <c r="M144" s="65">
        <f t="shared" si="63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59"/>
        <v>-129721.66666666667</v>
      </c>
      <c r="Q144" s="69">
        <f t="shared" si="59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 t="shared" ref="AB144:AH144" si="64">ROUND(SUM(AB142:AB143),5)</f>
        <v>-116261.69</v>
      </c>
      <c r="AC144" s="66">
        <f t="shared" si="64"/>
        <v>-116261.69</v>
      </c>
      <c r="AD144" s="66">
        <f t="shared" si="64"/>
        <v>-116261.69</v>
      </c>
      <c r="AE144" s="66">
        <f t="shared" si="64"/>
        <v>-116261.69</v>
      </c>
      <c r="AF144" s="66">
        <f t="shared" si="64"/>
        <v>-118175</v>
      </c>
      <c r="AG144" s="66">
        <f t="shared" si="64"/>
        <v>-121384</v>
      </c>
      <c r="AH144" s="66">
        <f t="shared" si="64"/>
        <v>-121384</v>
      </c>
      <c r="AI144" s="66">
        <f t="shared" ref="AI144" si="65">ROUND(SUM(AI142:AI143),5)</f>
        <v>-121384</v>
      </c>
      <c r="AK144" s="221"/>
    </row>
    <row r="145" spans="1:37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59"/>
        <v>0</v>
      </c>
      <c r="Q145" s="69">
        <f t="shared" si="59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F145" s="66"/>
      <c r="AG145" s="66"/>
      <c r="AH145" s="66"/>
      <c r="AI145" s="66"/>
      <c r="AK145" s="227"/>
    </row>
    <row r="146" spans="1:37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66">ROUND(H146+J146+L146,5)</f>
        <v>15355</v>
      </c>
      <c r="O146" s="66">
        <f t="shared" si="66"/>
        <v>40980</v>
      </c>
      <c r="P146" s="69">
        <f t="shared" si="59"/>
        <v>5118.333333333333</v>
      </c>
      <c r="Q146" s="69">
        <f t="shared" si="59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  <c r="AF146" s="66"/>
      <c r="AG146" s="66"/>
      <c r="AH146" s="66"/>
      <c r="AI146" s="66"/>
      <c r="AK146" s="221"/>
    </row>
    <row r="147" spans="1:37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66"/>
        <v>11325</v>
      </c>
      <c r="O147" s="66">
        <f t="shared" si="66"/>
        <v>40155</v>
      </c>
      <c r="P147" s="69">
        <f t="shared" si="59"/>
        <v>3775</v>
      </c>
      <c r="Q147" s="69">
        <f t="shared" si="59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  <c r="AF147" s="66"/>
      <c r="AG147" s="66"/>
      <c r="AH147" s="66"/>
      <c r="AI147" s="66"/>
      <c r="AK147" s="221"/>
    </row>
    <row r="148" spans="1:37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66"/>
        <v>13910</v>
      </c>
      <c r="O148" s="66">
        <f t="shared" si="66"/>
        <v>41310</v>
      </c>
      <c r="P148" s="69">
        <f t="shared" si="59"/>
        <v>4636.666666666667</v>
      </c>
      <c r="Q148" s="69">
        <f t="shared" si="59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  <c r="AF148" s="66"/>
      <c r="AG148" s="66"/>
      <c r="AH148" s="66"/>
      <c r="AI148" s="66"/>
      <c r="AK148" s="221"/>
    </row>
    <row r="149" spans="1:37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66"/>
        <v>14095</v>
      </c>
      <c r="O149" s="66">
        <f t="shared" si="66"/>
        <v>40355</v>
      </c>
      <c r="P149" s="69">
        <f t="shared" si="59"/>
        <v>4698.333333333333</v>
      </c>
      <c r="Q149" s="69">
        <f t="shared" si="59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  <c r="AF149" s="66"/>
      <c r="AG149" s="66"/>
      <c r="AH149" s="66"/>
      <c r="AI149" s="66"/>
      <c r="AK149" s="221"/>
    </row>
    <row r="150" spans="1:37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66"/>
        <v>25215</v>
      </c>
      <c r="O150" s="73">
        <f t="shared" si="66"/>
        <v>66355</v>
      </c>
      <c r="P150" s="74">
        <f t="shared" si="59"/>
        <v>8405</v>
      </c>
      <c r="Q150" s="74">
        <f t="shared" si="59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  <c r="AF150" s="73"/>
      <c r="AG150" s="73"/>
      <c r="AH150" s="73"/>
      <c r="AI150" s="73"/>
      <c r="AK150" s="221"/>
    </row>
    <row r="151" spans="1:37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67">ROUND(SUM(H145:H150),5)</f>
        <v>28635</v>
      </c>
      <c r="I151" s="63">
        <f t="shared" si="67"/>
        <v>84725</v>
      </c>
      <c r="J151" s="64">
        <f t="shared" si="67"/>
        <v>25420</v>
      </c>
      <c r="K151" s="64">
        <f t="shared" si="67"/>
        <v>100435</v>
      </c>
      <c r="L151" s="65">
        <f t="shared" si="67"/>
        <v>25845</v>
      </c>
      <c r="M151" s="65">
        <f t="shared" si="67"/>
        <v>43995</v>
      </c>
      <c r="N151" s="66">
        <f t="shared" si="66"/>
        <v>79900</v>
      </c>
      <c r="O151" s="66">
        <f t="shared" si="66"/>
        <v>229155</v>
      </c>
      <c r="P151" s="69">
        <f t="shared" si="59"/>
        <v>26633.333333333332</v>
      </c>
      <c r="Q151" s="69">
        <f t="shared" si="59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 t="shared" ref="AB151:AH151" si="68">ROUND(SUM(AB145:AB150),5)</f>
        <v>0</v>
      </c>
      <c r="AC151" s="66">
        <f t="shared" si="68"/>
        <v>0</v>
      </c>
      <c r="AD151" s="66">
        <f t="shared" si="68"/>
        <v>0</v>
      </c>
      <c r="AE151" s="66">
        <f t="shared" si="68"/>
        <v>0</v>
      </c>
      <c r="AF151" s="66">
        <f t="shared" si="68"/>
        <v>0</v>
      </c>
      <c r="AG151" s="66">
        <f t="shared" si="68"/>
        <v>0</v>
      </c>
      <c r="AH151" s="66">
        <f t="shared" si="68"/>
        <v>0</v>
      </c>
      <c r="AI151" s="66">
        <f t="shared" ref="AI151" si="69">ROUND(SUM(AI145:AI150),5)</f>
        <v>0</v>
      </c>
      <c r="AK151" s="221"/>
    </row>
    <row r="152" spans="1:37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59"/>
        <v>0</v>
      </c>
      <c r="Q152" s="69">
        <f t="shared" si="59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  <c r="AF152" s="66"/>
      <c r="AG152" s="66"/>
      <c r="AH152" s="66"/>
      <c r="AI152" s="66"/>
      <c r="AK152" s="221"/>
    </row>
    <row r="153" spans="1:37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70">ROUND(H153+J153+L153,5)</f>
        <v>158780</v>
      </c>
      <c r="O153" s="66">
        <f t="shared" si="70"/>
        <v>106120</v>
      </c>
      <c r="P153" s="69">
        <f t="shared" si="59"/>
        <v>52926.666666666664</v>
      </c>
      <c r="Q153" s="69">
        <f t="shared" si="59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  <c r="AF153" s="66"/>
      <c r="AG153" s="66"/>
      <c r="AH153" s="66"/>
      <c r="AI153" s="66"/>
      <c r="AK153" s="221"/>
    </row>
    <row r="154" spans="1:37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70"/>
        <v>0</v>
      </c>
      <c r="O154" s="66">
        <f t="shared" si="70"/>
        <v>0</v>
      </c>
      <c r="P154" s="69">
        <f t="shared" si="59"/>
        <v>0</v>
      </c>
      <c r="Q154" s="69">
        <f t="shared" si="59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  <c r="AF154" s="66"/>
      <c r="AG154" s="66"/>
      <c r="AH154" s="66"/>
      <c r="AI154" s="66"/>
      <c r="AK154" s="221"/>
    </row>
    <row r="155" spans="1:37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70"/>
        <v>20005</v>
      </c>
      <c r="O155" s="73">
        <f t="shared" si="70"/>
        <v>57720</v>
      </c>
      <c r="P155" s="74">
        <f t="shared" si="59"/>
        <v>6668.333333333333</v>
      </c>
      <c r="Q155" s="74">
        <f t="shared" si="59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  <c r="AF155" s="73"/>
      <c r="AG155" s="73"/>
      <c r="AH155" s="73"/>
      <c r="AI155" s="73"/>
      <c r="AK155" s="221"/>
    </row>
    <row r="156" spans="1:37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71">ROUND(SUM(H152:H155),5)</f>
        <v>49410</v>
      </c>
      <c r="I156" s="63">
        <f t="shared" si="71"/>
        <v>53770</v>
      </c>
      <c r="J156" s="64">
        <f t="shared" si="71"/>
        <v>64775</v>
      </c>
      <c r="K156" s="64">
        <f t="shared" si="71"/>
        <v>53565</v>
      </c>
      <c r="L156" s="65">
        <f t="shared" si="71"/>
        <v>64600</v>
      </c>
      <c r="M156" s="65">
        <f t="shared" si="71"/>
        <v>56505</v>
      </c>
      <c r="N156" s="66">
        <f t="shared" si="70"/>
        <v>178785</v>
      </c>
      <c r="O156" s="66">
        <f t="shared" si="70"/>
        <v>163840</v>
      </c>
      <c r="P156" s="69">
        <f t="shared" si="59"/>
        <v>59595</v>
      </c>
      <c r="Q156" s="69">
        <f t="shared" si="59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 t="shared" ref="AB156:AH156" si="72">ROUND(SUM(AB152:AB155),5)</f>
        <v>0</v>
      </c>
      <c r="AC156" s="66">
        <f t="shared" si="72"/>
        <v>0</v>
      </c>
      <c r="AD156" s="66">
        <f t="shared" si="72"/>
        <v>0</v>
      </c>
      <c r="AE156" s="66">
        <f t="shared" si="72"/>
        <v>0</v>
      </c>
      <c r="AF156" s="66">
        <f t="shared" si="72"/>
        <v>0</v>
      </c>
      <c r="AG156" s="66">
        <f t="shared" si="72"/>
        <v>0</v>
      </c>
      <c r="AH156" s="66">
        <f t="shared" si="72"/>
        <v>0</v>
      </c>
      <c r="AI156" s="66">
        <f t="shared" ref="AI156" si="73">ROUND(SUM(AI152:AI155),5)</f>
        <v>0</v>
      </c>
      <c r="AK156" s="221"/>
    </row>
    <row r="157" spans="1:37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59"/>
        <v>0</v>
      </c>
      <c r="Q157" s="69">
        <f t="shared" si="59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  <c r="AF157" s="66"/>
      <c r="AG157" s="66"/>
      <c r="AH157" s="66"/>
      <c r="AI157" s="66"/>
      <c r="AK157" s="221"/>
    </row>
    <row r="158" spans="1:37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59"/>
        <v>44666.666666666664</v>
      </c>
      <c r="Q158" s="74">
        <f t="shared" si="59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  <c r="AF158" s="73"/>
      <c r="AG158" s="73"/>
      <c r="AH158" s="73"/>
      <c r="AI158" s="73"/>
      <c r="AK158" s="221"/>
    </row>
    <row r="159" spans="1:37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74">ROUND(SUM(H157:H158),5)</f>
        <v>40160</v>
      </c>
      <c r="I159" s="63">
        <f t="shared" si="74"/>
        <v>39540</v>
      </c>
      <c r="J159" s="64">
        <f t="shared" si="74"/>
        <v>42655</v>
      </c>
      <c r="K159" s="64">
        <f t="shared" si="74"/>
        <v>40060</v>
      </c>
      <c r="L159" s="65">
        <f t="shared" si="74"/>
        <v>51185</v>
      </c>
      <c r="M159" s="65">
        <f t="shared" si="74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59"/>
        <v>44666.666666666664</v>
      </c>
      <c r="Q159" s="69">
        <f t="shared" si="59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 t="shared" ref="AB159:AH159" si="75">ROUND(SUM(AB157:AB158),5)</f>
        <v>0</v>
      </c>
      <c r="AC159" s="66">
        <f t="shared" si="75"/>
        <v>0</v>
      </c>
      <c r="AD159" s="66">
        <f t="shared" si="75"/>
        <v>0</v>
      </c>
      <c r="AE159" s="66">
        <f t="shared" si="75"/>
        <v>0</v>
      </c>
      <c r="AF159" s="66">
        <f t="shared" si="75"/>
        <v>0</v>
      </c>
      <c r="AG159" s="66">
        <f t="shared" si="75"/>
        <v>0</v>
      </c>
      <c r="AH159" s="66">
        <f t="shared" si="75"/>
        <v>0</v>
      </c>
      <c r="AI159" s="66">
        <f t="shared" ref="AI159" si="76">ROUND(SUM(AI157:AI158),5)</f>
        <v>0</v>
      </c>
      <c r="AK159" s="221"/>
    </row>
    <row r="160" spans="1:37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59"/>
        <v>0</v>
      </c>
      <c r="Q160" s="69">
        <f t="shared" si="59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  <c r="AF160" s="66"/>
      <c r="AG160" s="66"/>
      <c r="AH160" s="66"/>
      <c r="AI160" s="66"/>
      <c r="AK160" s="221"/>
    </row>
    <row r="161" spans="1:42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77">ROUND(H161+J161+L161,5)</f>
        <v>246750</v>
      </c>
      <c r="O161" s="66">
        <f t="shared" si="77"/>
        <v>185670</v>
      </c>
      <c r="P161" s="69">
        <f t="shared" si="59"/>
        <v>82250</v>
      </c>
      <c r="Q161" s="69">
        <f t="shared" si="59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  <c r="AF161" s="66"/>
      <c r="AG161" s="66"/>
      <c r="AH161" s="66"/>
      <c r="AI161" s="66"/>
      <c r="AK161" s="221"/>
    </row>
    <row r="162" spans="1:42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77"/>
        <v>151865</v>
      </c>
      <c r="O162" s="66">
        <f t="shared" si="77"/>
        <v>108245</v>
      </c>
      <c r="P162" s="69">
        <f t="shared" si="59"/>
        <v>50621.666666666664</v>
      </c>
      <c r="Q162" s="69">
        <f t="shared" si="59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  <c r="AF162" s="66"/>
      <c r="AG162" s="66"/>
      <c r="AH162" s="66"/>
      <c r="AI162" s="66"/>
      <c r="AK162" s="221"/>
    </row>
    <row r="163" spans="1:42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77"/>
        <v>110740</v>
      </c>
      <c r="O163" s="73">
        <f t="shared" si="77"/>
        <v>97550</v>
      </c>
      <c r="P163" s="74">
        <f t="shared" si="59"/>
        <v>36913.333333333336</v>
      </c>
      <c r="Q163" s="74">
        <f t="shared" si="59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  <c r="AF163" s="73"/>
      <c r="AG163" s="73"/>
      <c r="AH163" s="73"/>
      <c r="AI163" s="73"/>
      <c r="AK163" s="221"/>
    </row>
    <row r="164" spans="1:42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78">ROUND(SUM(H160:H163),5)</f>
        <v>154940</v>
      </c>
      <c r="I164" s="63">
        <f t="shared" si="78"/>
        <v>123940</v>
      </c>
      <c r="J164" s="64">
        <f t="shared" si="78"/>
        <v>167910</v>
      </c>
      <c r="K164" s="64">
        <f t="shared" si="78"/>
        <v>108130</v>
      </c>
      <c r="L164" s="65">
        <f t="shared" si="78"/>
        <v>186505</v>
      </c>
      <c r="M164" s="65">
        <f t="shared" si="78"/>
        <v>159395</v>
      </c>
      <c r="N164" s="66">
        <f t="shared" si="77"/>
        <v>509355</v>
      </c>
      <c r="O164" s="66">
        <f t="shared" si="77"/>
        <v>391465</v>
      </c>
      <c r="P164" s="69">
        <f t="shared" si="59"/>
        <v>169785</v>
      </c>
      <c r="Q164" s="69">
        <f t="shared" si="59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 t="shared" ref="AB164:AH164" si="79">ROUND(SUM(AB160:AB163),5)</f>
        <v>0</v>
      </c>
      <c r="AC164" s="66">
        <f t="shared" si="79"/>
        <v>0</v>
      </c>
      <c r="AD164" s="66">
        <f t="shared" si="79"/>
        <v>0</v>
      </c>
      <c r="AE164" s="66">
        <f t="shared" si="79"/>
        <v>0</v>
      </c>
      <c r="AF164" s="66">
        <f t="shared" si="79"/>
        <v>0</v>
      </c>
      <c r="AG164" s="66">
        <f t="shared" si="79"/>
        <v>0</v>
      </c>
      <c r="AH164" s="66">
        <f t="shared" si="79"/>
        <v>0</v>
      </c>
      <c r="AI164" s="66">
        <f t="shared" ref="AI164" si="80">ROUND(SUM(AI160:AI163),5)</f>
        <v>0</v>
      </c>
      <c r="AK164" s="221"/>
    </row>
    <row r="165" spans="1:42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59"/>
        <v>0</v>
      </c>
      <c r="Q165" s="69">
        <f t="shared" si="59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  <c r="AF165" s="66"/>
      <c r="AG165" s="66"/>
      <c r="AH165" s="66"/>
      <c r="AI165" s="66"/>
      <c r="AK165" s="221"/>
    </row>
    <row r="166" spans="1:42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81">ROUND(H166+J166+L166,5)</f>
        <v>223285</v>
      </c>
      <c r="O166" s="66">
        <f t="shared" si="81"/>
        <v>112600</v>
      </c>
      <c r="P166" s="69">
        <f t="shared" si="59"/>
        <v>74428.333333333328</v>
      </c>
      <c r="Q166" s="69">
        <f t="shared" si="59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  <c r="AF166" s="66"/>
      <c r="AG166" s="66"/>
      <c r="AH166" s="66"/>
      <c r="AI166" s="66"/>
      <c r="AK166" s="221"/>
    </row>
    <row r="167" spans="1:42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81"/>
        <v>1035</v>
      </c>
      <c r="O167" s="73">
        <f t="shared" si="81"/>
        <v>10779.56</v>
      </c>
      <c r="P167" s="74">
        <f t="shared" si="59"/>
        <v>345</v>
      </c>
      <c r="Q167" s="74">
        <f t="shared" si="59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  <c r="AF167" s="73"/>
      <c r="AG167" s="73"/>
      <c r="AH167" s="73"/>
      <c r="AI167" s="73"/>
      <c r="AK167" s="221"/>
    </row>
    <row r="168" spans="1:42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82">ROUND(SUM(H165:H167),5)</f>
        <v>66205</v>
      </c>
      <c r="I168" s="63">
        <f t="shared" si="82"/>
        <v>36000</v>
      </c>
      <c r="J168" s="64">
        <f t="shared" si="82"/>
        <v>76590</v>
      </c>
      <c r="K168" s="64">
        <f t="shared" si="82"/>
        <v>32349.56</v>
      </c>
      <c r="L168" s="65">
        <f t="shared" si="82"/>
        <v>81525</v>
      </c>
      <c r="M168" s="65">
        <f t="shared" si="82"/>
        <v>55030</v>
      </c>
      <c r="N168" s="66">
        <f t="shared" si="81"/>
        <v>224320</v>
      </c>
      <c r="O168" s="66">
        <f t="shared" si="81"/>
        <v>123379.56</v>
      </c>
      <c r="P168" s="69">
        <f t="shared" si="59"/>
        <v>74773.333333333328</v>
      </c>
      <c r="Q168" s="69">
        <f t="shared" si="59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 t="shared" ref="AB168:AH168" si="83">ROUND(SUM(AB165:AB167),5)</f>
        <v>0</v>
      </c>
      <c r="AC168" s="66">
        <f t="shared" si="83"/>
        <v>0</v>
      </c>
      <c r="AD168" s="66">
        <f t="shared" si="83"/>
        <v>0</v>
      </c>
      <c r="AE168" s="66">
        <f t="shared" si="83"/>
        <v>0</v>
      </c>
      <c r="AF168" s="66">
        <f t="shared" si="83"/>
        <v>0</v>
      </c>
      <c r="AG168" s="66">
        <f t="shared" si="83"/>
        <v>0</v>
      </c>
      <c r="AH168" s="66">
        <f t="shared" si="83"/>
        <v>0</v>
      </c>
      <c r="AI168" s="66">
        <f t="shared" ref="AI168" si="84">ROUND(SUM(AI165:AI167),5)</f>
        <v>0</v>
      </c>
      <c r="AK168" s="221"/>
    </row>
    <row r="169" spans="1:42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81"/>
        <v>0</v>
      </c>
      <c r="O169" s="73">
        <f t="shared" si="81"/>
        <v>0</v>
      </c>
      <c r="P169" s="74">
        <f t="shared" si="59"/>
        <v>0</v>
      </c>
      <c r="Q169" s="74">
        <f t="shared" si="59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  <c r="AG169" s="73">
        <v>0</v>
      </c>
      <c r="AH169" s="73">
        <v>0</v>
      </c>
      <c r="AI169" s="73">
        <v>0</v>
      </c>
      <c r="AK169" s="221"/>
    </row>
    <row r="170" spans="1:42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85">ROUND(H117+H124+H130+H135+H141+H144+H151+H156+H159+H164+SUM(H168:H169),5)</f>
        <v>849140</v>
      </c>
      <c r="I170" s="63">
        <f t="shared" si="85"/>
        <v>925000</v>
      </c>
      <c r="J170" s="64">
        <f t="shared" si="85"/>
        <v>875015</v>
      </c>
      <c r="K170" s="64">
        <f t="shared" si="85"/>
        <v>833784.54</v>
      </c>
      <c r="L170" s="65">
        <f t="shared" si="85"/>
        <v>921335</v>
      </c>
      <c r="M170" s="65">
        <f t="shared" si="85"/>
        <v>890121</v>
      </c>
      <c r="N170" s="66">
        <f t="shared" si="81"/>
        <v>2645490</v>
      </c>
      <c r="O170" s="66">
        <f t="shared" si="81"/>
        <v>2648905.54</v>
      </c>
      <c r="P170" s="69">
        <f t="shared" si="59"/>
        <v>881830</v>
      </c>
      <c r="Q170" s="69">
        <f t="shared" si="59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 t="shared" ref="AB170:AH170" si="86">ROUND(AB117+AB124+AB130+AB135+AB141+AB144+AB151+AB156+AB159+AB164+SUM(AB168:AB169),5)</f>
        <v>927688.31</v>
      </c>
      <c r="AC170" s="80">
        <f t="shared" si="86"/>
        <v>927688.31</v>
      </c>
      <c r="AD170" s="80">
        <f t="shared" si="86"/>
        <v>927688.31</v>
      </c>
      <c r="AE170" s="80">
        <f t="shared" si="86"/>
        <v>927688.31</v>
      </c>
      <c r="AF170" s="80">
        <f t="shared" si="86"/>
        <v>950880</v>
      </c>
      <c r="AG170" s="80">
        <f t="shared" si="86"/>
        <v>987511</v>
      </c>
      <c r="AH170" s="80">
        <f t="shared" si="86"/>
        <v>987511</v>
      </c>
      <c r="AI170" s="80">
        <f t="shared" ref="AI170" si="87">ROUND(AI117+AI124+AI130+AI135+AI141+AI144+AI151+AI156+AI159+AI164+SUM(AI168:AI169),5)</f>
        <v>987511</v>
      </c>
      <c r="AJ170" s="173"/>
      <c r="AK170" s="226" t="s">
        <v>988</v>
      </c>
      <c r="AP170" s="318" t="s">
        <v>996</v>
      </c>
    </row>
    <row r="171" spans="1:42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59"/>
        <v>0</v>
      </c>
      <c r="Q171" s="69">
        <f t="shared" si="59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  <c r="AF171" s="66"/>
      <c r="AG171" s="66"/>
      <c r="AH171" s="66"/>
      <c r="AI171" s="66"/>
      <c r="AK171" s="228"/>
      <c r="AP171" s="318"/>
    </row>
    <row r="172" spans="1:42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88">ROUND(H172+J172+L172,5)</f>
        <v>322169.82</v>
      </c>
      <c r="O172" s="66">
        <f t="shared" si="88"/>
        <v>137000</v>
      </c>
      <c r="P172" s="69">
        <f t="shared" si="59"/>
        <v>107389.94</v>
      </c>
      <c r="Q172" s="69">
        <f t="shared" si="59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G172" s="66">
        <f>130000+264250+77125</f>
        <v>471375</v>
      </c>
      <c r="AH172" s="66">
        <f>130000+264250+77125+125000</f>
        <v>596375</v>
      </c>
      <c r="AI172" s="66">
        <f>130000+264250+77125+125000-66000</f>
        <v>530375</v>
      </c>
      <c r="AK172" s="229"/>
      <c r="AM172" s="214" t="s">
        <v>1005</v>
      </c>
      <c r="AN172" s="159">
        <v>30000</v>
      </c>
      <c r="AP172" s="171">
        <f>AN172/5</f>
        <v>6000</v>
      </c>
    </row>
    <row r="173" spans="1:42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88"/>
        <v>242478.99</v>
      </c>
      <c r="O173" s="66">
        <f t="shared" si="88"/>
        <v>253000</v>
      </c>
      <c r="P173" s="69">
        <f>N173/3</f>
        <v>80826.33</v>
      </c>
      <c r="Q173" s="69">
        <f t="shared" si="59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 t="shared" ref="AB173:AI173" si="89">26750+29750+19500+10625</f>
        <v>86625</v>
      </c>
      <c r="AC173" s="66">
        <f t="shared" si="89"/>
        <v>86625</v>
      </c>
      <c r="AD173" s="66">
        <f t="shared" si="89"/>
        <v>86625</v>
      </c>
      <c r="AE173" s="66">
        <f t="shared" si="89"/>
        <v>86625</v>
      </c>
      <c r="AF173" s="66">
        <f t="shared" si="89"/>
        <v>86625</v>
      </c>
      <c r="AG173" s="66">
        <f t="shared" si="89"/>
        <v>86625</v>
      </c>
      <c r="AH173" s="66">
        <f t="shared" si="89"/>
        <v>86625</v>
      </c>
      <c r="AI173" s="66">
        <f t="shared" si="89"/>
        <v>86625</v>
      </c>
      <c r="AJ173" s="200"/>
      <c r="AK173" s="228"/>
      <c r="AM173" s="217">
        <v>307</v>
      </c>
      <c r="AN173" s="159">
        <v>30000</v>
      </c>
      <c r="AO173" s="46" t="s">
        <v>957</v>
      </c>
      <c r="AP173" s="171">
        <f>AN173/5</f>
        <v>6000</v>
      </c>
    </row>
    <row r="174" spans="1:42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88"/>
        <v>7072</v>
      </c>
      <c r="O174" s="66">
        <f t="shared" si="88"/>
        <v>8000</v>
      </c>
      <c r="P174" s="69">
        <f t="shared" si="59"/>
        <v>2357.3333333333335</v>
      </c>
      <c r="Q174" s="69">
        <f t="shared" si="59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H174" s="66">
        <v>0</v>
      </c>
      <c r="AI174" s="66">
        <v>0</v>
      </c>
      <c r="AK174" s="228"/>
      <c r="AM174" s="217">
        <v>308</v>
      </c>
      <c r="AN174" s="159">
        <v>64250</v>
      </c>
      <c r="AO174" s="46" t="s">
        <v>957</v>
      </c>
      <c r="AP174" s="171">
        <f t="shared" ref="AP174:AP179" si="90">AN174/5</f>
        <v>12850</v>
      </c>
    </row>
    <row r="175" spans="1:42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88"/>
        <v>0</v>
      </c>
      <c r="O175" s="66">
        <f t="shared" si="88"/>
        <v>0</v>
      </c>
      <c r="P175" s="69">
        <f t="shared" si="59"/>
        <v>0</v>
      </c>
      <c r="Q175" s="69">
        <f t="shared" si="59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0</v>
      </c>
      <c r="AI175" s="66">
        <v>0</v>
      </c>
      <c r="AK175" s="228"/>
      <c r="AM175" s="217">
        <v>251</v>
      </c>
      <c r="AN175" s="159">
        <v>20000</v>
      </c>
      <c r="AP175" s="171">
        <f t="shared" si="90"/>
        <v>4000</v>
      </c>
    </row>
    <row r="176" spans="1:42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88"/>
        <v>11385</v>
      </c>
      <c r="O176" s="66">
        <f t="shared" si="88"/>
        <v>39800</v>
      </c>
      <c r="P176" s="69">
        <f t="shared" si="59"/>
        <v>3795</v>
      </c>
      <c r="Q176" s="69">
        <f t="shared" si="59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G176" s="66">
        <f>ROUND(7425*1.5, 0)</f>
        <v>11138</v>
      </c>
      <c r="AH176" s="66">
        <f>ROUND(7425*1.5, 0)</f>
        <v>11138</v>
      </c>
      <c r="AI176" s="66">
        <f>ROUND(7425*1.5, 0)</f>
        <v>11138</v>
      </c>
      <c r="AK176" s="221" t="s">
        <v>989</v>
      </c>
      <c r="AM176" s="217">
        <v>503</v>
      </c>
      <c r="AN176" s="159">
        <v>20000</v>
      </c>
      <c r="AP176" s="171">
        <f t="shared" si="90"/>
        <v>4000</v>
      </c>
    </row>
    <row r="177" spans="1:43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88"/>
        <v>0</v>
      </c>
      <c r="O177" s="66">
        <f t="shared" si="88"/>
        <v>15000</v>
      </c>
      <c r="P177" s="69">
        <f t="shared" si="59"/>
        <v>0</v>
      </c>
      <c r="Q177" s="69">
        <f t="shared" si="59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0</v>
      </c>
      <c r="AI177" s="66">
        <v>0</v>
      </c>
      <c r="AK177" s="230"/>
      <c r="AM177" s="214" t="s">
        <v>949</v>
      </c>
      <c r="AN177" s="159">
        <v>50000</v>
      </c>
      <c r="AP177" s="171">
        <f t="shared" si="90"/>
        <v>10000</v>
      </c>
    </row>
    <row r="178" spans="1:43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88"/>
        <v>3000</v>
      </c>
      <c r="O178" s="66">
        <f t="shared" si="88"/>
        <v>11000</v>
      </c>
      <c r="P178" s="69">
        <f t="shared" si="59"/>
        <v>1000</v>
      </c>
      <c r="Q178" s="69">
        <f t="shared" si="59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H178" s="66">
        <v>0</v>
      </c>
      <c r="AI178" s="66">
        <v>0</v>
      </c>
      <c r="AK178" s="147"/>
      <c r="AM178" s="214" t="s">
        <v>950</v>
      </c>
      <c r="AN178" s="159">
        <v>50000</v>
      </c>
      <c r="AP178" s="171">
        <f t="shared" si="90"/>
        <v>10000</v>
      </c>
    </row>
    <row r="179" spans="1:43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88"/>
        <v>56296.39</v>
      </c>
      <c r="O179" s="66">
        <f t="shared" si="88"/>
        <v>28065</v>
      </c>
      <c r="P179" s="69">
        <f t="shared" si="59"/>
        <v>18765.463333333333</v>
      </c>
      <c r="Q179" s="69">
        <f t="shared" si="59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G179" s="66">
        <v>16325</v>
      </c>
      <c r="AH179" s="66">
        <v>16325</v>
      </c>
      <c r="AI179" s="66">
        <v>16325</v>
      </c>
      <c r="AK179" s="182"/>
      <c r="AM179" s="214" t="s">
        <v>951</v>
      </c>
      <c r="AN179" s="159">
        <v>30000</v>
      </c>
      <c r="AP179" s="171">
        <f t="shared" si="90"/>
        <v>6000</v>
      </c>
    </row>
    <row r="180" spans="1:43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88"/>
        <v>9375</v>
      </c>
      <c r="O180" s="66">
        <f t="shared" si="88"/>
        <v>18070</v>
      </c>
      <c r="P180" s="69">
        <f t="shared" si="59"/>
        <v>3125</v>
      </c>
      <c r="Q180" s="69">
        <f t="shared" si="59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G180" s="66">
        <v>10050</v>
      </c>
      <c r="AH180" s="66">
        <v>10050</v>
      </c>
      <c r="AI180" s="66">
        <v>10050</v>
      </c>
      <c r="AL180" s="171"/>
      <c r="AM180" s="216" t="s">
        <v>999</v>
      </c>
      <c r="AN180" s="170">
        <f>SUM(AN172:AN179)</f>
        <v>294250</v>
      </c>
      <c r="AP180" s="171"/>
      <c r="AQ180" s="171">
        <f>AN180/5</f>
        <v>58850</v>
      </c>
    </row>
    <row r="181" spans="1:43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88"/>
        <v>5322.15</v>
      </c>
      <c r="O181" s="66">
        <f t="shared" si="88"/>
        <v>4200</v>
      </c>
      <c r="P181" s="69">
        <f t="shared" si="59"/>
        <v>1774.05</v>
      </c>
      <c r="Q181" s="69">
        <f t="shared" si="59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G181" s="66">
        <v>1200</v>
      </c>
      <c r="AH181" s="66">
        <v>1200</v>
      </c>
      <c r="AI181" s="66">
        <v>1200</v>
      </c>
      <c r="AL181" s="46" t="s">
        <v>998</v>
      </c>
      <c r="AM181" s="205" t="s">
        <v>948</v>
      </c>
      <c r="AN181" s="201">
        <v>225000</v>
      </c>
    </row>
    <row r="182" spans="1:43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91">ROUND(SUM(H171:H181),5)</f>
        <v>94478.28</v>
      </c>
      <c r="I182" s="83">
        <f t="shared" si="91"/>
        <v>186755</v>
      </c>
      <c r="J182" s="84">
        <f t="shared" si="91"/>
        <v>252523.42</v>
      </c>
      <c r="K182" s="84">
        <f t="shared" si="91"/>
        <v>146000</v>
      </c>
      <c r="L182" s="85">
        <f t="shared" si="91"/>
        <v>310097.65000000002</v>
      </c>
      <c r="M182" s="85">
        <f t="shared" si="91"/>
        <v>181380</v>
      </c>
      <c r="N182" s="86">
        <f t="shared" si="88"/>
        <v>657099.35</v>
      </c>
      <c r="O182" s="86">
        <f t="shared" si="88"/>
        <v>514135</v>
      </c>
      <c r="P182" s="87">
        <f t="shared" si="59"/>
        <v>219033.11666666667</v>
      </c>
      <c r="Q182" s="87">
        <f t="shared" si="59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 t="shared" ref="AB182:AH182" si="92">ROUND(SUM(AB171:AB181),5)</f>
        <v>385875</v>
      </c>
      <c r="AC182" s="88">
        <f t="shared" si="92"/>
        <v>385875</v>
      </c>
      <c r="AD182" s="88">
        <f t="shared" si="92"/>
        <v>385875</v>
      </c>
      <c r="AE182" s="88">
        <f t="shared" si="92"/>
        <v>385875</v>
      </c>
      <c r="AF182" s="88">
        <f t="shared" si="92"/>
        <v>515875</v>
      </c>
      <c r="AG182" s="88">
        <f t="shared" si="92"/>
        <v>596713</v>
      </c>
      <c r="AH182" s="88">
        <f t="shared" si="92"/>
        <v>721713</v>
      </c>
      <c r="AI182" s="88">
        <f t="shared" ref="AI182" si="93">ROUND(SUM(AI171:AI181),5)</f>
        <v>655713</v>
      </c>
    </row>
    <row r="183" spans="1:43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94">ROUND(H7+H116+H170+H182,5)</f>
        <v>1704028.01</v>
      </c>
      <c r="I183" s="63">
        <f t="shared" si="94"/>
        <v>2024739</v>
      </c>
      <c r="J183" s="64">
        <f t="shared" si="94"/>
        <v>1983347.64</v>
      </c>
      <c r="K183" s="64">
        <f t="shared" si="94"/>
        <v>1884399.92</v>
      </c>
      <c r="L183" s="65">
        <f t="shared" si="94"/>
        <v>2267674.2599999998</v>
      </c>
      <c r="M183" s="65">
        <f t="shared" si="94"/>
        <v>1998330</v>
      </c>
      <c r="N183" s="66">
        <f t="shared" si="88"/>
        <v>5955049.9100000001</v>
      </c>
      <c r="O183" s="66">
        <f t="shared" si="88"/>
        <v>5907468.9199999999</v>
      </c>
      <c r="P183" s="69">
        <f t="shared" si="59"/>
        <v>1985016.6366666667</v>
      </c>
      <c r="Q183" s="69">
        <f t="shared" si="59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 t="shared" ref="AB183:AH183" si="95">ROUND(AB7+AB116+AB170+AB182,5)</f>
        <v>2274348.11</v>
      </c>
      <c r="AC183" s="66">
        <f t="shared" si="95"/>
        <v>2274348.11</v>
      </c>
      <c r="AD183" s="66">
        <f t="shared" si="95"/>
        <v>2339617.5099999998</v>
      </c>
      <c r="AE183" s="66">
        <f t="shared" si="95"/>
        <v>2339617.5099999998</v>
      </c>
      <c r="AF183" s="66">
        <f t="shared" si="95"/>
        <v>2492809.2000000002</v>
      </c>
      <c r="AG183" s="66">
        <f t="shared" si="95"/>
        <v>2610278</v>
      </c>
      <c r="AH183" s="66">
        <f t="shared" si="95"/>
        <v>2755278</v>
      </c>
      <c r="AI183" s="66">
        <f t="shared" ref="AI183" si="96">ROUND(AI7+AI116+AI170+AI182,5)</f>
        <v>2689278</v>
      </c>
      <c r="AK183" s="177"/>
      <c r="AM183" s="111" t="s">
        <v>959</v>
      </c>
      <c r="AN183" s="111">
        <f>2800*5</f>
        <v>14000</v>
      </c>
      <c r="AP183" s="112">
        <f>AN183/5</f>
        <v>2800</v>
      </c>
    </row>
    <row r="184" spans="1:43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59"/>
        <v>0</v>
      </c>
      <c r="Q184" s="69">
        <f t="shared" si="59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  <c r="AF184" s="66"/>
      <c r="AG184" s="66"/>
      <c r="AH184" s="66"/>
      <c r="AI184" s="66"/>
      <c r="AK184" s="178"/>
      <c r="AM184" s="111" t="s">
        <v>960</v>
      </c>
      <c r="AN184" s="111">
        <v>10000</v>
      </c>
      <c r="AP184" s="112">
        <f>AN184/5</f>
        <v>2000</v>
      </c>
    </row>
    <row r="185" spans="1:43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97">ROUND(H185+J185+L185,5)</f>
        <v>465847.8</v>
      </c>
      <c r="O185" s="66">
        <f t="shared" si="97"/>
        <v>521768</v>
      </c>
      <c r="P185" s="69">
        <f t="shared" si="59"/>
        <v>155282.6</v>
      </c>
      <c r="Q185" s="69">
        <f t="shared" si="59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 t="shared" ref="AB185:AI185" si="98">ROUND(94796.75, 0)</f>
        <v>94797</v>
      </c>
      <c r="AC185" s="66">
        <f t="shared" si="98"/>
        <v>94797</v>
      </c>
      <c r="AD185" s="66">
        <f t="shared" si="98"/>
        <v>94797</v>
      </c>
      <c r="AE185" s="66">
        <f t="shared" si="98"/>
        <v>94797</v>
      </c>
      <c r="AF185" s="66">
        <f t="shared" si="98"/>
        <v>94797</v>
      </c>
      <c r="AG185" s="66">
        <f t="shared" si="98"/>
        <v>94797</v>
      </c>
      <c r="AH185" s="66">
        <f t="shared" si="98"/>
        <v>94797</v>
      </c>
      <c r="AI185" s="66">
        <f t="shared" si="98"/>
        <v>94797</v>
      </c>
      <c r="AK185" s="179"/>
      <c r="AM185" s="111" t="s">
        <v>961</v>
      </c>
      <c r="AN185" s="111">
        <v>20000</v>
      </c>
      <c r="AP185" s="112">
        <f>AN185/5</f>
        <v>4000</v>
      </c>
    </row>
    <row r="186" spans="1:43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97"/>
        <v>77592.62</v>
      </c>
      <c r="O186" s="66">
        <f t="shared" si="97"/>
        <v>92000</v>
      </c>
      <c r="P186" s="69">
        <f t="shared" si="59"/>
        <v>25864.206666666665</v>
      </c>
      <c r="Q186" s="69">
        <f t="shared" si="59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G186" s="66">
        <v>15000</v>
      </c>
      <c r="AH186" s="66">
        <v>15000</v>
      </c>
      <c r="AI186" s="66">
        <v>15000</v>
      </c>
      <c r="AM186" s="205" t="s">
        <v>963</v>
      </c>
      <c r="AN186" s="205">
        <v>33125</v>
      </c>
      <c r="AO186" s="112"/>
      <c r="AQ186" s="112">
        <f>SUM(AN183:AN185)/5</f>
        <v>8800</v>
      </c>
    </row>
    <row r="187" spans="1:43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97"/>
        <v>15133.13</v>
      </c>
      <c r="O187" s="66">
        <f t="shared" si="97"/>
        <v>61000</v>
      </c>
      <c r="P187" s="69">
        <f t="shared" si="59"/>
        <v>5044.3766666666661</v>
      </c>
      <c r="Q187" s="69">
        <f t="shared" si="59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  <c r="AG187" s="66">
        <v>5000</v>
      </c>
      <c r="AH187" s="66">
        <v>5000</v>
      </c>
      <c r="AI187" s="66">
        <v>5000</v>
      </c>
      <c r="AN187" s="111"/>
      <c r="AQ187" s="171">
        <f>SUM(AQ180:AQ186)</f>
        <v>67650</v>
      </c>
    </row>
    <row r="188" spans="1:43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99">ROUND(SUM(H184:H187),5)</f>
        <v>213369.38</v>
      </c>
      <c r="I188" s="75">
        <f t="shared" si="99"/>
        <v>213000</v>
      </c>
      <c r="J188" s="76">
        <f t="shared" si="99"/>
        <v>193755.57</v>
      </c>
      <c r="K188" s="76">
        <f t="shared" si="99"/>
        <v>240000</v>
      </c>
      <c r="L188" s="77">
        <f t="shared" si="99"/>
        <v>151448.6</v>
      </c>
      <c r="M188" s="77">
        <f t="shared" si="99"/>
        <v>221768</v>
      </c>
      <c r="N188" s="78">
        <f t="shared" si="97"/>
        <v>558573.55000000005</v>
      </c>
      <c r="O188" s="78">
        <f t="shared" si="97"/>
        <v>674768</v>
      </c>
      <c r="P188" s="79">
        <f t="shared" si="59"/>
        <v>186191.18333333335</v>
      </c>
      <c r="Q188" s="79">
        <f t="shared" si="59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 t="shared" ref="AB188:AH188" si="100">ROUND(SUM(AB184:AB187),5)</f>
        <v>124797</v>
      </c>
      <c r="AC188" s="80">
        <f t="shared" si="100"/>
        <v>124797</v>
      </c>
      <c r="AD188" s="80">
        <f t="shared" si="100"/>
        <v>124797</v>
      </c>
      <c r="AE188" s="80">
        <f t="shared" si="100"/>
        <v>114797</v>
      </c>
      <c r="AF188" s="80">
        <f t="shared" si="100"/>
        <v>114797</v>
      </c>
      <c r="AG188" s="80">
        <f t="shared" si="100"/>
        <v>114797</v>
      </c>
      <c r="AH188" s="80">
        <f t="shared" si="100"/>
        <v>114797</v>
      </c>
      <c r="AI188" s="80">
        <f t="shared" ref="AI188" si="101">ROUND(SUM(AI184:AI187),5)</f>
        <v>114797</v>
      </c>
      <c r="AK188" s="147"/>
      <c r="AM188" s="199" t="s">
        <v>840</v>
      </c>
      <c r="AN188" s="199">
        <f>SUM(AN180:AN186)</f>
        <v>596375</v>
      </c>
    </row>
    <row r="189" spans="1:43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59"/>
        <v>0</v>
      </c>
      <c r="Q189" s="69">
        <f t="shared" si="59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66"/>
      <c r="AG189" s="66"/>
      <c r="AH189" s="66"/>
      <c r="AI189" s="66"/>
      <c r="AM189" s="199" t="s">
        <v>997</v>
      </c>
      <c r="AN189" s="199">
        <f>AN188-AN186-AN181</f>
        <v>338250</v>
      </c>
      <c r="AP189" s="199">
        <f>SUM(AP172:AP185)</f>
        <v>67650</v>
      </c>
    </row>
    <row r="190" spans="1:43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59"/>
        <v>96804.536666666667</v>
      </c>
      <c r="Q190" s="74">
        <f t="shared" si="59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  <c r="AG190" s="73">
        <v>90000</v>
      </c>
      <c r="AH190" s="73">
        <v>90000</v>
      </c>
      <c r="AI190" s="73">
        <v>90000</v>
      </c>
      <c r="AM190" s="199" t="s">
        <v>842</v>
      </c>
      <c r="AN190" s="111"/>
      <c r="AO190" s="202">
        <f>AN189-AP189</f>
        <v>270600</v>
      </c>
    </row>
    <row r="191" spans="1:43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102">ROUND(SUM(H189:H190),5)</f>
        <v>61772.91</v>
      </c>
      <c r="I191" s="63">
        <f t="shared" si="102"/>
        <v>30000</v>
      </c>
      <c r="J191" s="64">
        <f t="shared" si="102"/>
        <v>114884.79</v>
      </c>
      <c r="K191" s="64">
        <f t="shared" si="102"/>
        <v>60000</v>
      </c>
      <c r="L191" s="65">
        <f t="shared" si="102"/>
        <v>113755.91</v>
      </c>
      <c r="M191" s="65">
        <f t="shared" si="102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59"/>
        <v>96804.536666666667</v>
      </c>
      <c r="Q191" s="69">
        <f t="shared" si="59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 t="shared" ref="AB191:AH191" si="103">ROUND(SUM(AB189:AB190),5)</f>
        <v>100000</v>
      </c>
      <c r="AC191" s="80">
        <f t="shared" si="103"/>
        <v>100000</v>
      </c>
      <c r="AD191" s="80">
        <f t="shared" si="103"/>
        <v>100000</v>
      </c>
      <c r="AE191" s="80">
        <f t="shared" si="103"/>
        <v>90000</v>
      </c>
      <c r="AF191" s="80">
        <f t="shared" si="103"/>
        <v>90000</v>
      </c>
      <c r="AG191" s="80">
        <f t="shared" si="103"/>
        <v>90000</v>
      </c>
      <c r="AH191" s="80">
        <f t="shared" si="103"/>
        <v>90000</v>
      </c>
      <c r="AI191" s="80">
        <f t="shared" ref="AI191" si="104">ROUND(SUM(AI189:AI190),5)</f>
        <v>90000</v>
      </c>
      <c r="AN191" s="111"/>
      <c r="AP191" s="111"/>
    </row>
    <row r="192" spans="1:43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  <c r="AF192" s="66"/>
      <c r="AG192" s="66"/>
      <c r="AH192" s="66"/>
      <c r="AI192" s="66"/>
      <c r="AN192" s="111"/>
    </row>
    <row r="193" spans="1:42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105">ROUND(H193+J193+L193,5)</f>
        <v>333403.68</v>
      </c>
      <c r="O193" s="66">
        <f t="shared" si="105"/>
        <v>338929</v>
      </c>
      <c r="P193" s="69">
        <f t="shared" si="59"/>
        <v>111134.56</v>
      </c>
      <c r="Q193" s="69">
        <f t="shared" si="59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 t="shared" ref="AB193:AI193" si="106">ROUND(142010.17, 0)</f>
        <v>142010</v>
      </c>
      <c r="AC193" s="66">
        <f t="shared" si="106"/>
        <v>142010</v>
      </c>
      <c r="AD193" s="66">
        <f t="shared" si="106"/>
        <v>142010</v>
      </c>
      <c r="AE193" s="66">
        <f t="shared" si="106"/>
        <v>142010</v>
      </c>
      <c r="AF193" s="66">
        <f t="shared" si="106"/>
        <v>142010</v>
      </c>
      <c r="AG193" s="66">
        <f t="shared" si="106"/>
        <v>142010</v>
      </c>
      <c r="AH193" s="66">
        <f t="shared" si="106"/>
        <v>142010</v>
      </c>
      <c r="AI193" s="66">
        <f t="shared" si="106"/>
        <v>142010</v>
      </c>
      <c r="AN193" s="111"/>
    </row>
    <row r="194" spans="1:42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105"/>
        <v>694468.19</v>
      </c>
      <c r="O194" s="66">
        <f t="shared" si="105"/>
        <v>750379</v>
      </c>
      <c r="P194" s="69">
        <f t="shared" si="59"/>
        <v>231489.39666666664</v>
      </c>
      <c r="Q194" s="69">
        <f t="shared" si="59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  <c r="AG194" s="66">
        <v>299000</v>
      </c>
      <c r="AH194" s="66">
        <v>299000</v>
      </c>
      <c r="AI194" s="66">
        <v>299000</v>
      </c>
      <c r="AM194" s="115"/>
      <c r="AN194"/>
      <c r="AO194"/>
    </row>
    <row r="195" spans="1:42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105"/>
        <v>76944.899999999994</v>
      </c>
      <c r="O195" s="66">
        <f t="shared" si="105"/>
        <v>54756</v>
      </c>
      <c r="P195" s="69">
        <f t="shared" si="59"/>
        <v>25648.3</v>
      </c>
      <c r="Q195" s="69">
        <f t="shared" si="59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 t="shared" ref="AB195:AI195" si="107">(88*12)*25</f>
        <v>26400</v>
      </c>
      <c r="AC195" s="66">
        <f t="shared" si="107"/>
        <v>26400</v>
      </c>
      <c r="AD195" s="66">
        <f t="shared" si="107"/>
        <v>26400</v>
      </c>
      <c r="AE195" s="66">
        <f t="shared" si="107"/>
        <v>26400</v>
      </c>
      <c r="AF195" s="66">
        <f t="shared" si="107"/>
        <v>26400</v>
      </c>
      <c r="AG195" s="66">
        <f t="shared" si="107"/>
        <v>26400</v>
      </c>
      <c r="AH195" s="66">
        <f t="shared" si="107"/>
        <v>26400</v>
      </c>
      <c r="AI195" s="66">
        <f t="shared" si="107"/>
        <v>26400</v>
      </c>
      <c r="AK195" s="221" t="s">
        <v>972</v>
      </c>
      <c r="AN195"/>
      <c r="AO195"/>
      <c r="AP195"/>
    </row>
    <row r="196" spans="1:42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105"/>
        <v>582630.68999999994</v>
      </c>
      <c r="O196" s="66">
        <f t="shared" si="105"/>
        <v>470773.25</v>
      </c>
      <c r="P196" s="69">
        <f t="shared" si="59"/>
        <v>194210.22999999998</v>
      </c>
      <c r="Q196" s="69">
        <f t="shared" si="59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G196" s="66">
        <f>ROUND(199878.15, -2)</f>
        <v>199900</v>
      </c>
      <c r="AH196" s="66">
        <f>ROUND(199878.15, -2)</f>
        <v>199900</v>
      </c>
      <c r="AI196" s="66">
        <f>ROUND(199878.15, -2)</f>
        <v>199900</v>
      </c>
      <c r="AK196" s="221" t="s">
        <v>973</v>
      </c>
      <c r="AO196" s="112"/>
    </row>
    <row r="197" spans="1:42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105"/>
        <v>3315663.86</v>
      </c>
      <c r="O197" s="66">
        <f t="shared" si="105"/>
        <v>3738792</v>
      </c>
      <c r="P197" s="69">
        <f t="shared" si="59"/>
        <v>1105221.2866666666</v>
      </c>
      <c r="Q197" s="69">
        <f t="shared" si="59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  <c r="AG197" s="66">
        <v>1187244</v>
      </c>
      <c r="AH197" s="66">
        <v>1187244</v>
      </c>
      <c r="AI197" s="66">
        <v>1187244</v>
      </c>
      <c r="AK197" s="180"/>
      <c r="AO197" s="112"/>
    </row>
    <row r="198" spans="1:42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108">ROUND(SUM(H192:H197),5)</f>
        <v>1617990.72</v>
      </c>
      <c r="I198" s="75">
        <f t="shared" si="108"/>
        <v>1764843.75</v>
      </c>
      <c r="J198" s="76">
        <f t="shared" si="108"/>
        <v>1649149.39</v>
      </c>
      <c r="K198" s="76">
        <f t="shared" si="108"/>
        <v>1716700</v>
      </c>
      <c r="L198" s="77">
        <f t="shared" si="108"/>
        <v>1735971.21</v>
      </c>
      <c r="M198" s="77">
        <f t="shared" si="108"/>
        <v>1872085.5</v>
      </c>
      <c r="N198" s="78">
        <f t="shared" si="105"/>
        <v>5003111.32</v>
      </c>
      <c r="O198" s="78">
        <f t="shared" si="105"/>
        <v>5353629.25</v>
      </c>
      <c r="P198" s="79">
        <f t="shared" si="59"/>
        <v>1667703.7733333334</v>
      </c>
      <c r="Q198" s="79">
        <f t="shared" si="59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 t="shared" ref="AB198:AH198" si="109">ROUND(SUM(AB192:AB197),5)</f>
        <v>1916936</v>
      </c>
      <c r="AC198" s="80">
        <f t="shared" si="109"/>
        <v>1916936</v>
      </c>
      <c r="AD198" s="80">
        <f t="shared" si="109"/>
        <v>1916936</v>
      </c>
      <c r="AE198" s="80">
        <f t="shared" si="109"/>
        <v>1916936</v>
      </c>
      <c r="AF198" s="80">
        <f t="shared" si="109"/>
        <v>1916936</v>
      </c>
      <c r="AG198" s="80">
        <f t="shared" si="109"/>
        <v>1854554</v>
      </c>
      <c r="AH198" s="80">
        <f t="shared" si="109"/>
        <v>1854554</v>
      </c>
      <c r="AI198" s="80">
        <f t="shared" ref="AI198" si="110">ROUND(SUM(AI192:AI197),5)</f>
        <v>1854554</v>
      </c>
      <c r="AK198" s="181"/>
    </row>
    <row r="199" spans="1:42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  <c r="AF199" s="66"/>
      <c r="AG199" s="66"/>
      <c r="AH199" s="66"/>
      <c r="AI199" s="66"/>
      <c r="AO199" s="111"/>
    </row>
    <row r="200" spans="1:42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111">N200/3</f>
        <v>5375.666666666667</v>
      </c>
      <c r="Q200" s="74">
        <f t="shared" si="111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G200" s="73">
        <v>6980</v>
      </c>
      <c r="AH200" s="73">
        <v>6980</v>
      </c>
      <c r="AI200" s="73">
        <v>6980</v>
      </c>
      <c r="AK200" s="182"/>
      <c r="AO200" s="171"/>
    </row>
    <row r="201" spans="1:42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112">ROUND(SUM(H199:H200),5)</f>
        <v>5928</v>
      </c>
      <c r="I201" s="63">
        <f t="shared" si="112"/>
        <v>6321</v>
      </c>
      <c r="J201" s="64">
        <f t="shared" si="112"/>
        <v>4164</v>
      </c>
      <c r="K201" s="64">
        <f t="shared" si="112"/>
        <v>7265</v>
      </c>
      <c r="L201" s="65">
        <f t="shared" si="112"/>
        <v>6035</v>
      </c>
      <c r="M201" s="65">
        <f t="shared" si="112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111"/>
        <v>5375.666666666667</v>
      </c>
      <c r="Q201" s="69">
        <f t="shared" si="111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 t="shared" ref="AB201:AH201" si="113">ROUND(SUM(AB199:AB200),5)</f>
        <v>6980</v>
      </c>
      <c r="AC201" s="80">
        <f t="shared" si="113"/>
        <v>6980</v>
      </c>
      <c r="AD201" s="80">
        <f t="shared" si="113"/>
        <v>6980</v>
      </c>
      <c r="AE201" s="80">
        <f t="shared" si="113"/>
        <v>6980</v>
      </c>
      <c r="AF201" s="80">
        <f t="shared" si="113"/>
        <v>6980</v>
      </c>
      <c r="AG201" s="80">
        <f t="shared" si="113"/>
        <v>6980</v>
      </c>
      <c r="AH201" s="80">
        <f t="shared" si="113"/>
        <v>6980</v>
      </c>
      <c r="AI201" s="80">
        <f t="shared" ref="AI201" si="114">ROUND(SUM(AI199:AI200),5)</f>
        <v>6980</v>
      </c>
      <c r="AK201" s="182"/>
      <c r="AO201" s="111"/>
    </row>
    <row r="202" spans="1:42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  <c r="AF202" s="66"/>
      <c r="AG202" s="66"/>
      <c r="AH202" s="66"/>
      <c r="AI202" s="66"/>
      <c r="AO202" s="111"/>
    </row>
    <row r="203" spans="1:42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111"/>
        <v>4066.6533333333332</v>
      </c>
      <c r="Q203" s="69">
        <f t="shared" si="111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  <c r="AG203" s="66">
        <v>2400</v>
      </c>
      <c r="AH203" s="66">
        <v>2400</v>
      </c>
      <c r="AI203" s="66">
        <v>2400</v>
      </c>
      <c r="AO203" s="111"/>
    </row>
    <row r="204" spans="1:42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111"/>
        <v>666.66666666666663</v>
      </c>
      <c r="Q204" s="69">
        <f t="shared" si="111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H204" s="66">
        <v>0</v>
      </c>
      <c r="AI204" s="66">
        <v>0</v>
      </c>
      <c r="AO204" s="111"/>
    </row>
    <row r="205" spans="1:42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111"/>
        <v>330</v>
      </c>
      <c r="Q205" s="69">
        <f t="shared" si="111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  <c r="AG205" s="66">
        <v>210</v>
      </c>
      <c r="AH205" s="66">
        <v>210</v>
      </c>
      <c r="AI205" s="66">
        <v>210</v>
      </c>
      <c r="AO205" s="111">
        <f ca="1">SUM(AO199:AO209)</f>
        <v>0</v>
      </c>
    </row>
    <row r="206" spans="1:42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111"/>
        <v>11731.87</v>
      </c>
      <c r="Q206" s="69">
        <f t="shared" si="111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  <c r="AG206" s="66">
        <v>10000</v>
      </c>
      <c r="AH206" s="66">
        <v>10000</v>
      </c>
      <c r="AI206" s="66">
        <v>10000</v>
      </c>
      <c r="AO206" s="111"/>
    </row>
    <row r="207" spans="1:42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115">ROUND(SUM(H202:H206),5)</f>
        <v>22749.62</v>
      </c>
      <c r="I207" s="75">
        <f t="shared" si="115"/>
        <v>7950</v>
      </c>
      <c r="J207" s="76">
        <f t="shared" si="115"/>
        <v>10219.52</v>
      </c>
      <c r="K207" s="76">
        <f t="shared" si="115"/>
        <v>2840</v>
      </c>
      <c r="L207" s="77">
        <f t="shared" si="115"/>
        <v>17416.43</v>
      </c>
      <c r="M207" s="77">
        <f t="shared" si="11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111"/>
        <v>16795.189999999999</v>
      </c>
      <c r="Q207" s="79">
        <f t="shared" si="111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 t="shared" ref="AB207:AH207" si="116">ROUND(SUM(AB202:AB206),5)</f>
        <v>12610</v>
      </c>
      <c r="AC207" s="80">
        <f t="shared" si="116"/>
        <v>12610</v>
      </c>
      <c r="AD207" s="80">
        <f t="shared" si="116"/>
        <v>12610</v>
      </c>
      <c r="AE207" s="80">
        <f t="shared" si="116"/>
        <v>12610</v>
      </c>
      <c r="AF207" s="80">
        <f t="shared" si="116"/>
        <v>12610</v>
      </c>
      <c r="AG207" s="80">
        <f t="shared" si="116"/>
        <v>12610</v>
      </c>
      <c r="AH207" s="80">
        <f t="shared" si="116"/>
        <v>12610</v>
      </c>
      <c r="AI207" s="80">
        <f t="shared" ref="AI207" si="117">ROUND(SUM(AI202:AI206),5)</f>
        <v>12610</v>
      </c>
      <c r="AO207" s="111"/>
    </row>
    <row r="208" spans="1:42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  <c r="AF208" s="66"/>
      <c r="AG208" s="66"/>
      <c r="AH208" s="66"/>
      <c r="AI208" s="66"/>
      <c r="AO208" s="111"/>
    </row>
    <row r="209" spans="1:41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  <c r="AF209" s="66"/>
      <c r="AG209" s="66"/>
      <c r="AH209" s="66"/>
      <c r="AI209" s="66"/>
      <c r="AO209" s="111"/>
    </row>
    <row r="210" spans="1:41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111"/>
        <v>4434.333333333333</v>
      </c>
      <c r="Q210" s="69">
        <f t="shared" si="111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G210" s="66">
        <v>1500</v>
      </c>
      <c r="AH210" s="66">
        <v>1500</v>
      </c>
      <c r="AI210" s="66">
        <v>1500</v>
      </c>
      <c r="AK210" s="221" t="s">
        <v>901</v>
      </c>
    </row>
    <row r="211" spans="1:41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111"/>
        <v>78916.666666666672</v>
      </c>
      <c r="Q211" s="69">
        <f t="shared" si="111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G211" s="66">
        <v>77000</v>
      </c>
      <c r="AH211" s="66">
        <v>77000</v>
      </c>
      <c r="AI211" s="66">
        <v>77000</v>
      </c>
      <c r="AK211" s="221" t="s">
        <v>854</v>
      </c>
      <c r="AO211" s="111"/>
    </row>
    <row r="212" spans="1:41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111"/>
        <v>1180</v>
      </c>
      <c r="Q212" s="69">
        <f t="shared" si="111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H212" s="66">
        <v>0</v>
      </c>
      <c r="AI212" s="66">
        <v>0</v>
      </c>
      <c r="AO212" s="111"/>
    </row>
    <row r="213" spans="1:41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111"/>
        <v>725696</v>
      </c>
      <c r="Q213" s="69">
        <f t="shared" si="111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G213" s="66">
        <v>644500</v>
      </c>
      <c r="AH213" s="66">
        <v>644500</v>
      </c>
      <c r="AI213" s="66">
        <v>644500</v>
      </c>
      <c r="AK213" s="221" t="s">
        <v>853</v>
      </c>
    </row>
    <row r="214" spans="1:41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111"/>
        <v>114800</v>
      </c>
      <c r="Q214" s="69">
        <f t="shared" si="111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G214" s="66">
        <v>153000</v>
      </c>
      <c r="AH214" s="66">
        <v>153000</v>
      </c>
      <c r="AI214" s="66">
        <v>153000</v>
      </c>
      <c r="AK214" s="221" t="s">
        <v>855</v>
      </c>
    </row>
    <row r="215" spans="1:41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118">ROUND(SUM(H209:H214),5)</f>
        <v>884166</v>
      </c>
      <c r="I215" s="75">
        <f t="shared" si="118"/>
        <v>788300</v>
      </c>
      <c r="J215" s="76">
        <f t="shared" si="118"/>
        <v>968225</v>
      </c>
      <c r="K215" s="76">
        <f t="shared" si="118"/>
        <v>966375</v>
      </c>
      <c r="L215" s="77">
        <f t="shared" si="118"/>
        <v>922690</v>
      </c>
      <c r="M215" s="77">
        <f t="shared" si="118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111"/>
        <v>925027</v>
      </c>
      <c r="Q215" s="79">
        <f t="shared" si="111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 t="shared" ref="AB215:AH215" si="119">ROUND(SUM(AB209:AB214),5)</f>
        <v>876000</v>
      </c>
      <c r="AC215" s="80">
        <f t="shared" si="119"/>
        <v>876000</v>
      </c>
      <c r="AD215" s="80">
        <f t="shared" si="119"/>
        <v>876000</v>
      </c>
      <c r="AE215" s="80">
        <f t="shared" si="119"/>
        <v>876000</v>
      </c>
      <c r="AF215" s="80">
        <f t="shared" si="119"/>
        <v>876000</v>
      </c>
      <c r="AG215" s="80">
        <f t="shared" si="119"/>
        <v>876000</v>
      </c>
      <c r="AH215" s="80">
        <f t="shared" si="119"/>
        <v>876000</v>
      </c>
      <c r="AI215" s="80">
        <f t="shared" ref="AI215" si="120">ROUND(SUM(AI209:AI214),5)</f>
        <v>876000</v>
      </c>
      <c r="AK215" s="213" t="s">
        <v>952</v>
      </c>
    </row>
    <row r="216" spans="1:41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F216" s="66"/>
      <c r="AG216" s="66"/>
      <c r="AH216" s="66"/>
      <c r="AI216" s="66"/>
      <c r="AK216" s="222">
        <f>AG215-AG423</f>
        <v>5796</v>
      </c>
    </row>
    <row r="217" spans="1:41" ht="16.5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111"/>
        <v>4578.333333333333</v>
      </c>
      <c r="Q217" s="69">
        <f t="shared" si="111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33750</v>
      </c>
      <c r="AH217" s="66">
        <v>33750</v>
      </c>
      <c r="AI217" s="66">
        <v>33750</v>
      </c>
      <c r="AJ217" s="206" t="s">
        <v>1000</v>
      </c>
      <c r="AK217" s="221" t="s">
        <v>975</v>
      </c>
    </row>
    <row r="218" spans="1:41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111"/>
        <v>4578.333333333333</v>
      </c>
      <c r="Q218" s="79">
        <f t="shared" si="111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  <c r="AF218" s="86"/>
      <c r="AG218" s="78">
        <f>ROUND(SUM(AG216:AG217),5)</f>
        <v>33750</v>
      </c>
      <c r="AH218" s="78">
        <f>ROUND(SUM(AH216:AH217),5)</f>
        <v>33750</v>
      </c>
      <c r="AI218" s="78">
        <f>ROUND(SUM(AI216:AI217),5)</f>
        <v>33750</v>
      </c>
    </row>
    <row r="219" spans="1:41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121">ROUND(H208+H215+H218,5)</f>
        <v>884166</v>
      </c>
      <c r="I219" s="83">
        <f t="shared" si="121"/>
        <v>788300</v>
      </c>
      <c r="J219" s="84">
        <f t="shared" si="121"/>
        <v>981960</v>
      </c>
      <c r="K219" s="84">
        <f t="shared" si="121"/>
        <v>966375</v>
      </c>
      <c r="L219" s="85">
        <f t="shared" si="121"/>
        <v>922690</v>
      </c>
      <c r="M219" s="85">
        <f t="shared" si="121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111"/>
        <v>929605.33333333337</v>
      </c>
      <c r="Q219" s="87">
        <f t="shared" si="111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 t="shared" ref="AB219:AH219" si="122">ROUND(AB208+AB215+AB218,5)</f>
        <v>876000</v>
      </c>
      <c r="AC219" s="88">
        <f t="shared" si="122"/>
        <v>876000</v>
      </c>
      <c r="AD219" s="88">
        <f t="shared" si="122"/>
        <v>876000</v>
      </c>
      <c r="AE219" s="88">
        <f t="shared" si="122"/>
        <v>876000</v>
      </c>
      <c r="AF219" s="88">
        <f t="shared" si="122"/>
        <v>876000</v>
      </c>
      <c r="AG219" s="88">
        <f t="shared" si="122"/>
        <v>909750</v>
      </c>
      <c r="AH219" s="88">
        <f t="shared" si="122"/>
        <v>909750</v>
      </c>
      <c r="AI219" s="88">
        <f t="shared" ref="AI219" si="123">ROUND(AI208+AI215+AI218,5)</f>
        <v>909750</v>
      </c>
    </row>
    <row r="220" spans="1:41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124">ROUND(H6+H183+H188+H191+H198+H201+H207+H219,5)</f>
        <v>4510004.6399999997</v>
      </c>
      <c r="I220" s="63">
        <f t="shared" si="124"/>
        <v>4835153.75</v>
      </c>
      <c r="J220" s="64">
        <f t="shared" si="124"/>
        <v>4937480.91</v>
      </c>
      <c r="K220" s="64">
        <f t="shared" si="124"/>
        <v>4877579.92</v>
      </c>
      <c r="L220" s="65">
        <f t="shared" si="124"/>
        <v>5214991.41</v>
      </c>
      <c r="M220" s="65">
        <f t="shared" si="124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111"/>
        <v>4887492.32</v>
      </c>
      <c r="Q220" s="69">
        <f t="shared" si="111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 t="shared" ref="AB220:AH220" si="125">ROUND(AB6+AB183+AB188+AB191+AB198+AB201+AB207+AB219,5)</f>
        <v>5311671.1100000003</v>
      </c>
      <c r="AC220" s="66">
        <f t="shared" si="125"/>
        <v>5311671.1100000003</v>
      </c>
      <c r="AD220" s="66">
        <f t="shared" si="125"/>
        <v>5376940.5099999998</v>
      </c>
      <c r="AE220" s="66">
        <f t="shared" si="125"/>
        <v>5356940.51</v>
      </c>
      <c r="AF220" s="66">
        <f t="shared" si="125"/>
        <v>5510132.2000000002</v>
      </c>
      <c r="AG220" s="66">
        <f t="shared" si="125"/>
        <v>5598969</v>
      </c>
      <c r="AH220" s="66">
        <f t="shared" si="125"/>
        <v>5743969</v>
      </c>
      <c r="AI220" s="66">
        <f t="shared" ref="AI220" si="126">ROUND(AI6+AI183+AI188+AI191+AI198+AI201+AI207+AI219,5)</f>
        <v>5677969</v>
      </c>
      <c r="AK220" s="182"/>
    </row>
    <row r="221" spans="1:41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  <c r="AF221" s="66"/>
      <c r="AG221" s="66"/>
      <c r="AH221" s="66"/>
      <c r="AI221" s="66"/>
    </row>
    <row r="222" spans="1:41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  <c r="AF222" s="66"/>
      <c r="AG222" s="66"/>
      <c r="AH222" s="66"/>
      <c r="AI222" s="66"/>
    </row>
    <row r="223" spans="1:41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127">ROUND(H223+J223+L223,5)</f>
        <v>14645.71</v>
      </c>
      <c r="O223" s="66">
        <f t="shared" si="127"/>
        <v>15644.98</v>
      </c>
      <c r="P223" s="69">
        <f t="shared" si="111"/>
        <v>4881.9033333333327</v>
      </c>
      <c r="Q223" s="69">
        <f t="shared" si="111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 t="shared" ref="AB223:AI223" si="128">ROUND(5691.67, 0)</f>
        <v>5692</v>
      </c>
      <c r="AC223" s="66">
        <f t="shared" si="128"/>
        <v>5692</v>
      </c>
      <c r="AD223" s="66">
        <f t="shared" si="128"/>
        <v>5692</v>
      </c>
      <c r="AE223" s="66">
        <f t="shared" si="128"/>
        <v>5692</v>
      </c>
      <c r="AF223" s="66">
        <f t="shared" si="128"/>
        <v>5692</v>
      </c>
      <c r="AG223" s="66">
        <f t="shared" si="128"/>
        <v>5692</v>
      </c>
      <c r="AH223" s="66">
        <f t="shared" si="128"/>
        <v>5692</v>
      </c>
      <c r="AI223" s="66">
        <f t="shared" si="128"/>
        <v>5692</v>
      </c>
    </row>
    <row r="224" spans="1:41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127"/>
        <v>3195.19</v>
      </c>
      <c r="O224" s="66">
        <f t="shared" si="127"/>
        <v>7437.44</v>
      </c>
      <c r="P224" s="69">
        <f t="shared" si="111"/>
        <v>1065.0633333333333</v>
      </c>
      <c r="Q224" s="69">
        <f t="shared" si="111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  <c r="AG224" s="66">
        <v>3348</v>
      </c>
      <c r="AH224" s="66">
        <v>3348</v>
      </c>
      <c r="AI224" s="66">
        <v>3348</v>
      </c>
    </row>
    <row r="225" spans="1:35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129">ROUND(SUM(H222:H224),5)</f>
        <v>5911.22</v>
      </c>
      <c r="I225" s="75">
        <f t="shared" si="129"/>
        <v>5833.45</v>
      </c>
      <c r="J225" s="76">
        <f t="shared" si="129"/>
        <v>5605.52</v>
      </c>
      <c r="K225" s="76">
        <f t="shared" si="129"/>
        <v>5849.17</v>
      </c>
      <c r="L225" s="77">
        <f t="shared" si="129"/>
        <v>6324.16</v>
      </c>
      <c r="M225" s="77">
        <f t="shared" si="129"/>
        <v>11399.8</v>
      </c>
      <c r="N225" s="78">
        <f t="shared" si="127"/>
        <v>17840.900000000001</v>
      </c>
      <c r="O225" s="78">
        <f t="shared" si="127"/>
        <v>23082.42</v>
      </c>
      <c r="P225" s="79">
        <f t="shared" si="111"/>
        <v>5946.9666666666672</v>
      </c>
      <c r="Q225" s="79">
        <f t="shared" si="111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 t="shared" ref="AB225:AH225" si="130">ROUND(SUM(AB222:AB224),5)</f>
        <v>9040</v>
      </c>
      <c r="AC225" s="80">
        <f t="shared" si="130"/>
        <v>9040</v>
      </c>
      <c r="AD225" s="80">
        <f t="shared" si="130"/>
        <v>9040</v>
      </c>
      <c r="AE225" s="80">
        <f t="shared" si="130"/>
        <v>9040</v>
      </c>
      <c r="AF225" s="80">
        <f t="shared" si="130"/>
        <v>9040</v>
      </c>
      <c r="AG225" s="80">
        <f t="shared" si="130"/>
        <v>9040</v>
      </c>
      <c r="AH225" s="80">
        <f t="shared" si="130"/>
        <v>9040</v>
      </c>
      <c r="AI225" s="80">
        <f t="shared" ref="AI225" si="131">ROUND(SUM(AI222:AI224),5)</f>
        <v>9040</v>
      </c>
    </row>
    <row r="226" spans="1:35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  <c r="AF226" s="66"/>
      <c r="AG226" s="66"/>
      <c r="AH226" s="66"/>
      <c r="AI226" s="66"/>
    </row>
    <row r="227" spans="1:35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>AE9*0.2</f>
        <v>205210.84</v>
      </c>
      <c r="AF227" s="66">
        <f>AF9*0.2</f>
        <v>205210.84</v>
      </c>
      <c r="AG227" s="66">
        <f>AG9*0.2</f>
        <v>205210.84</v>
      </c>
      <c r="AH227" s="66">
        <f>AH9*0.2</f>
        <v>205210.84</v>
      </c>
      <c r="AI227" s="66">
        <f>AI9*0.2</f>
        <v>205210.84</v>
      </c>
    </row>
    <row r="228" spans="1:35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111"/>
        <v>621.57000000000005</v>
      </c>
      <c r="Q228" s="69">
        <f t="shared" si="111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  <c r="AF228" s="66"/>
      <c r="AG228" s="66"/>
      <c r="AH228" s="66"/>
      <c r="AI228" s="66"/>
    </row>
    <row r="229" spans="1:35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111"/>
        <v>0</v>
      </c>
      <c r="Q229" s="69">
        <f t="shared" si="111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  <c r="AF229" s="66"/>
      <c r="AG229" s="66"/>
      <c r="AH229" s="66"/>
      <c r="AI229" s="66"/>
    </row>
    <row r="230" spans="1:35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132">ROUND(H230+J230+L230,5)</f>
        <v>160678.19</v>
      </c>
      <c r="O230" s="66">
        <f t="shared" si="132"/>
        <v>76847.710000000006</v>
      </c>
      <c r="P230" s="69">
        <f t="shared" si="111"/>
        <v>53559.396666666667</v>
      </c>
      <c r="Q230" s="69">
        <f t="shared" si="111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  <c r="AF230" s="66"/>
      <c r="AG230" s="66"/>
      <c r="AH230" s="66"/>
      <c r="AI230" s="66"/>
    </row>
    <row r="231" spans="1:35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132"/>
        <v>4393.6000000000004</v>
      </c>
      <c r="O231" s="66">
        <f t="shared" si="132"/>
        <v>3748.32</v>
      </c>
      <c r="P231" s="69">
        <f t="shared" si="111"/>
        <v>1464.5333333333335</v>
      </c>
      <c r="Q231" s="69">
        <f t="shared" si="111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  <c r="AF231" s="66"/>
      <c r="AG231" s="66"/>
      <c r="AH231" s="66"/>
      <c r="AI231" s="66"/>
    </row>
    <row r="232" spans="1:35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132"/>
        <v>3931.71</v>
      </c>
      <c r="O232" s="66">
        <f t="shared" si="132"/>
        <v>1056.04</v>
      </c>
      <c r="P232" s="69">
        <f t="shared" si="111"/>
        <v>1310.57</v>
      </c>
      <c r="Q232" s="69">
        <f t="shared" si="111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  <c r="AF232" s="66"/>
      <c r="AG232" s="66"/>
      <c r="AH232" s="66"/>
      <c r="AI232" s="66"/>
    </row>
    <row r="233" spans="1:35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132"/>
        <v>1953.44</v>
      </c>
      <c r="O233" s="73">
        <f t="shared" si="132"/>
        <v>100</v>
      </c>
      <c r="P233" s="74">
        <f t="shared" si="111"/>
        <v>651.14666666666665</v>
      </c>
      <c r="Q233" s="74">
        <f t="shared" si="111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  <c r="AF233" s="73"/>
      <c r="AG233" s="73"/>
      <c r="AH233" s="73"/>
      <c r="AI233" s="73"/>
    </row>
    <row r="234" spans="1:35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133">ROUND(SUM(H229:H233),5)</f>
        <v>66004.350000000006</v>
      </c>
      <c r="I234" s="63">
        <f t="shared" si="133"/>
        <v>0</v>
      </c>
      <c r="J234" s="64">
        <f t="shared" si="133"/>
        <v>53975.49</v>
      </c>
      <c r="K234" s="64">
        <f t="shared" si="133"/>
        <v>13281.84</v>
      </c>
      <c r="L234" s="65">
        <f t="shared" si="133"/>
        <v>50977.1</v>
      </c>
      <c r="M234" s="65">
        <f t="shared" si="133"/>
        <v>68470.23</v>
      </c>
      <c r="N234" s="66">
        <f t="shared" si="132"/>
        <v>170956.94</v>
      </c>
      <c r="O234" s="66">
        <f t="shared" si="132"/>
        <v>81752.070000000007</v>
      </c>
      <c r="P234" s="69">
        <f t="shared" si="111"/>
        <v>56985.646666666667</v>
      </c>
      <c r="Q234" s="69">
        <f t="shared" si="111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 t="shared" ref="AB234:AH234" si="134">ROUND(SUM(AB229:AB233),5)</f>
        <v>0</v>
      </c>
      <c r="AC234" s="66">
        <f t="shared" si="134"/>
        <v>0</v>
      </c>
      <c r="AD234" s="66">
        <f t="shared" si="134"/>
        <v>0</v>
      </c>
      <c r="AE234" s="66">
        <f t="shared" si="134"/>
        <v>0</v>
      </c>
      <c r="AF234" s="66">
        <f t="shared" si="134"/>
        <v>0</v>
      </c>
      <c r="AG234" s="66">
        <f t="shared" si="134"/>
        <v>0</v>
      </c>
      <c r="AH234" s="66">
        <f t="shared" si="134"/>
        <v>0</v>
      </c>
      <c r="AI234" s="66">
        <f t="shared" ref="AI234" si="135">ROUND(SUM(AI229:AI233),5)</f>
        <v>0</v>
      </c>
    </row>
    <row r="235" spans="1:35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  <c r="AF235" s="66"/>
      <c r="AG235" s="66"/>
      <c r="AH235" s="66"/>
      <c r="AI235" s="66"/>
    </row>
    <row r="236" spans="1:35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136">ROUND(H236+J236+L236,5)</f>
        <v>10300.370000000001</v>
      </c>
      <c r="O236" s="66">
        <f t="shared" si="136"/>
        <v>7978.18</v>
      </c>
      <c r="P236" s="69">
        <f t="shared" si="111"/>
        <v>3433.4566666666669</v>
      </c>
      <c r="Q236" s="69">
        <f t="shared" si="111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  <c r="AF236" s="66"/>
      <c r="AG236" s="66"/>
      <c r="AH236" s="66"/>
      <c r="AI236" s="66"/>
    </row>
    <row r="237" spans="1:35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136"/>
        <v>265.04000000000002</v>
      </c>
      <c r="O237" s="66">
        <f t="shared" si="136"/>
        <v>2079.58</v>
      </c>
      <c r="P237" s="69">
        <f t="shared" si="111"/>
        <v>88.346666666666678</v>
      </c>
      <c r="Q237" s="69">
        <f t="shared" si="111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  <c r="AF237" s="66"/>
      <c r="AG237" s="66"/>
      <c r="AH237" s="66"/>
      <c r="AI237" s="66"/>
    </row>
    <row r="238" spans="1:35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136"/>
        <v>291.58999999999997</v>
      </c>
      <c r="O238" s="66">
        <f t="shared" si="136"/>
        <v>6330.08</v>
      </c>
      <c r="P238" s="69">
        <f t="shared" si="111"/>
        <v>97.196666666666658</v>
      </c>
      <c r="Q238" s="69">
        <f t="shared" si="111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  <c r="AF238" s="66"/>
      <c r="AG238" s="66"/>
      <c r="AH238" s="66"/>
      <c r="AI238" s="66"/>
    </row>
    <row r="239" spans="1:35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136"/>
        <v>1002.62</v>
      </c>
      <c r="O239" s="66">
        <f t="shared" si="136"/>
        <v>3299.3</v>
      </c>
      <c r="P239" s="69">
        <f t="shared" si="111"/>
        <v>334.20666666666665</v>
      </c>
      <c r="Q239" s="69">
        <f t="shared" si="111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  <c r="AF239" s="66"/>
      <c r="AG239" s="66"/>
      <c r="AH239" s="66"/>
      <c r="AI239" s="66"/>
    </row>
    <row r="240" spans="1:35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136"/>
        <v>384.28</v>
      </c>
      <c r="O240" s="66">
        <f t="shared" si="136"/>
        <v>0</v>
      </c>
      <c r="P240" s="69">
        <f t="shared" si="111"/>
        <v>128.09333333333333</v>
      </c>
      <c r="Q240" s="69">
        <f t="shared" si="111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  <c r="AF240" s="66"/>
      <c r="AG240" s="66"/>
      <c r="AH240" s="66"/>
      <c r="AI240" s="66"/>
    </row>
    <row r="241" spans="1:35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136"/>
        <v>1703.01</v>
      </c>
      <c r="O241" s="66">
        <f t="shared" si="136"/>
        <v>6458.46</v>
      </c>
      <c r="P241" s="69">
        <f t="shared" si="111"/>
        <v>567.66999999999996</v>
      </c>
      <c r="Q241" s="69">
        <f t="shared" si="111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  <c r="AF241" s="66"/>
      <c r="AG241" s="66"/>
      <c r="AH241" s="66"/>
      <c r="AI241" s="66"/>
    </row>
    <row r="242" spans="1:35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136"/>
        <v>844.98</v>
      </c>
      <c r="O242" s="66">
        <f t="shared" si="136"/>
        <v>4878.88</v>
      </c>
      <c r="P242" s="69">
        <f t="shared" si="111"/>
        <v>281.66000000000003</v>
      </c>
      <c r="Q242" s="69">
        <f t="shared" si="111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  <c r="AF242" s="66"/>
      <c r="AG242" s="66"/>
      <c r="AH242" s="66"/>
      <c r="AI242" s="66"/>
    </row>
    <row r="243" spans="1:35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136"/>
        <v>952.7</v>
      </c>
      <c r="O243" s="66">
        <f t="shared" si="136"/>
        <v>759.86</v>
      </c>
      <c r="P243" s="69">
        <f t="shared" si="111"/>
        <v>317.56666666666666</v>
      </c>
      <c r="Q243" s="69">
        <f t="shared" si="111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  <c r="AF243" s="66"/>
      <c r="AG243" s="66"/>
      <c r="AH243" s="66"/>
      <c r="AI243" s="66"/>
    </row>
    <row r="244" spans="1:35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136"/>
        <v>-279.7</v>
      </c>
      <c r="O244" s="66">
        <v>0</v>
      </c>
      <c r="P244" s="69">
        <f t="shared" si="111"/>
        <v>-93.233333333333334</v>
      </c>
      <c r="Q244" s="69">
        <f t="shared" si="111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  <c r="AF244" s="66"/>
      <c r="AG244" s="66"/>
      <c r="AH244" s="66"/>
      <c r="AI244" s="66"/>
    </row>
    <row r="245" spans="1:35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136"/>
        <v>2068.73</v>
      </c>
      <c r="O245" s="66">
        <f>ROUND(I245+K245+M245,5)</f>
        <v>600</v>
      </c>
      <c r="P245" s="69">
        <f t="shared" si="111"/>
        <v>689.57666666666671</v>
      </c>
      <c r="Q245" s="69">
        <f t="shared" si="111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  <c r="AF245" s="66"/>
      <c r="AG245" s="66"/>
      <c r="AH245" s="66"/>
      <c r="AI245" s="66"/>
    </row>
    <row r="246" spans="1:35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136"/>
        <v>126.77</v>
      </c>
      <c r="O246" s="66">
        <f>ROUND(I246+K246+M246,5)</f>
        <v>100</v>
      </c>
      <c r="P246" s="69">
        <f t="shared" si="111"/>
        <v>42.256666666666668</v>
      </c>
      <c r="Q246" s="69">
        <f t="shared" si="111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  <c r="AF246" s="66"/>
      <c r="AG246" s="66"/>
      <c r="AH246" s="66"/>
      <c r="AI246" s="66"/>
    </row>
    <row r="247" spans="1:35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136"/>
        <v>4683.93</v>
      </c>
      <c r="O247" s="66">
        <f>ROUND(I247+K247+M247,5)</f>
        <v>7118.32</v>
      </c>
      <c r="P247" s="69">
        <f t="shared" si="111"/>
        <v>1561.3100000000002</v>
      </c>
      <c r="Q247" s="69">
        <f t="shared" si="111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  <c r="AF247" s="66"/>
      <c r="AG247" s="66"/>
      <c r="AH247" s="66"/>
      <c r="AI247" s="66"/>
    </row>
    <row r="248" spans="1:35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136"/>
        <v>2913.09</v>
      </c>
      <c r="O248" s="66">
        <f>ROUND(I248+K248+M248,5)</f>
        <v>4719.0200000000004</v>
      </c>
      <c r="P248" s="69">
        <f t="shared" si="111"/>
        <v>971.03000000000009</v>
      </c>
      <c r="Q248" s="69">
        <f t="shared" si="111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  <c r="AF248" s="66"/>
      <c r="AG248" s="66"/>
      <c r="AH248" s="66"/>
      <c r="AI248" s="66"/>
    </row>
    <row r="249" spans="1:35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136"/>
        <v>4608.63</v>
      </c>
      <c r="O249" s="66">
        <f>ROUND(I249+K249+M249,5)</f>
        <v>1619.72</v>
      </c>
      <c r="P249" s="69">
        <f t="shared" si="111"/>
        <v>1536.21</v>
      </c>
      <c r="Q249" s="69">
        <f t="shared" si="111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  <c r="AF249" s="66"/>
      <c r="AG249" s="66"/>
      <c r="AH249" s="66"/>
      <c r="AI249" s="66"/>
    </row>
    <row r="250" spans="1:35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136"/>
        <v>78.989999999999995</v>
      </c>
      <c r="O250" s="66">
        <v>0</v>
      </c>
      <c r="P250" s="69">
        <f t="shared" si="111"/>
        <v>26.33</v>
      </c>
      <c r="Q250" s="69">
        <f t="shared" si="111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  <c r="AF250" s="66"/>
      <c r="AG250" s="66"/>
      <c r="AH250" s="66"/>
      <c r="AI250" s="66"/>
    </row>
    <row r="251" spans="1:35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136"/>
        <v>0</v>
      </c>
      <c r="O251" s="66">
        <f>ROUND(I251+K251+M251,5)</f>
        <v>1219.72</v>
      </c>
      <c r="P251" s="69">
        <f t="shared" si="111"/>
        <v>0</v>
      </c>
      <c r="Q251" s="69">
        <f t="shared" si="111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  <c r="AF251" s="66"/>
      <c r="AG251" s="66"/>
      <c r="AH251" s="66"/>
      <c r="AI251" s="66"/>
    </row>
    <row r="252" spans="1:35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137">ROUND(H252+J252+L252,5)</f>
        <v>469.32</v>
      </c>
      <c r="O252" s="66">
        <f>ROUND(I252+K252+M252,5)</f>
        <v>356.04</v>
      </c>
      <c r="P252" s="69">
        <f t="shared" si="111"/>
        <v>156.44</v>
      </c>
      <c r="Q252" s="69">
        <f t="shared" si="111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  <c r="AF252" s="66"/>
      <c r="AG252" s="66"/>
      <c r="AH252" s="66"/>
      <c r="AI252" s="66"/>
    </row>
    <row r="253" spans="1:35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137"/>
        <v>0</v>
      </c>
      <c r="O253" s="66">
        <f>ROUND(I253+K253+M253,5)</f>
        <v>1524.16</v>
      </c>
      <c r="P253" s="69">
        <f t="shared" si="111"/>
        <v>0</v>
      </c>
      <c r="Q253" s="69">
        <f t="shared" si="111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  <c r="AF253" s="66"/>
      <c r="AG253" s="66"/>
      <c r="AH253" s="66"/>
      <c r="AI253" s="66"/>
    </row>
    <row r="254" spans="1:35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137"/>
        <v>295.95</v>
      </c>
      <c r="O254" s="66">
        <v>0</v>
      </c>
      <c r="P254" s="69">
        <f t="shared" si="111"/>
        <v>98.649999999999991</v>
      </c>
      <c r="Q254" s="69">
        <f t="shared" si="111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  <c r="AF254" s="66"/>
      <c r="AG254" s="66"/>
      <c r="AH254" s="66"/>
      <c r="AI254" s="66"/>
    </row>
    <row r="255" spans="1:35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137"/>
        <v>0</v>
      </c>
      <c r="O255" s="66">
        <f>ROUND(I255+K255+M255,5)</f>
        <v>0</v>
      </c>
      <c r="P255" s="69">
        <f t="shared" si="111"/>
        <v>0</v>
      </c>
      <c r="Q255" s="69">
        <f t="shared" si="111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  <c r="AF255" s="66"/>
      <c r="AG255" s="66"/>
      <c r="AH255" s="66"/>
      <c r="AI255" s="66"/>
    </row>
    <row r="256" spans="1:35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137"/>
        <v>0</v>
      </c>
      <c r="O256" s="73">
        <f>ROUND(I256+K256+M256,5)</f>
        <v>0</v>
      </c>
      <c r="P256" s="74">
        <f t="shared" si="111"/>
        <v>0</v>
      </c>
      <c r="Q256" s="74">
        <f t="shared" si="111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  <c r="AF256" s="73"/>
      <c r="AG256" s="73"/>
      <c r="AH256" s="73"/>
      <c r="AI256" s="73"/>
    </row>
    <row r="257" spans="1:35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138">ROUND(SUM(H235:H256),5)</f>
        <v>9952.77</v>
      </c>
      <c r="I257" s="63">
        <f t="shared" si="138"/>
        <v>0</v>
      </c>
      <c r="J257" s="64">
        <f t="shared" si="138"/>
        <v>12257.65</v>
      </c>
      <c r="K257" s="64">
        <f t="shared" si="138"/>
        <v>43741.32</v>
      </c>
      <c r="L257" s="65">
        <f t="shared" si="138"/>
        <v>8499.8799999999992</v>
      </c>
      <c r="M257" s="65">
        <f t="shared" si="138"/>
        <v>5300</v>
      </c>
      <c r="N257" s="66">
        <f t="shared" si="137"/>
        <v>30710.3</v>
      </c>
      <c r="O257" s="66">
        <f>ROUND(I257+K257+M257,5)</f>
        <v>49041.32</v>
      </c>
      <c r="P257" s="69">
        <f t="shared" si="111"/>
        <v>10236.766666666666</v>
      </c>
      <c r="Q257" s="69">
        <f t="shared" si="111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 t="shared" ref="AB257:AH257" si="139">ROUND(SUM(AB235:AB256),5)</f>
        <v>0</v>
      </c>
      <c r="AC257" s="66">
        <f t="shared" si="139"/>
        <v>0</v>
      </c>
      <c r="AD257" s="66">
        <f t="shared" si="139"/>
        <v>0</v>
      </c>
      <c r="AE257" s="66">
        <f t="shared" si="139"/>
        <v>0</v>
      </c>
      <c r="AF257" s="66">
        <f t="shared" si="139"/>
        <v>0</v>
      </c>
      <c r="AG257" s="66">
        <f t="shared" si="139"/>
        <v>0</v>
      </c>
      <c r="AH257" s="66">
        <f t="shared" si="139"/>
        <v>0</v>
      </c>
      <c r="AI257" s="66">
        <f t="shared" ref="AI257" si="140">ROUND(SUM(AI235:AI256),5)</f>
        <v>0</v>
      </c>
    </row>
    <row r="258" spans="1:35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111"/>
        <v>0</v>
      </c>
      <c r="Q258" s="69">
        <f t="shared" si="111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  <c r="AF258" s="66"/>
      <c r="AG258" s="66"/>
      <c r="AH258" s="66"/>
      <c r="AI258" s="66"/>
    </row>
    <row r="259" spans="1:35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141">ROUND(H259+J259+L259,5)</f>
        <v>292.07</v>
      </c>
      <c r="O259" s="66">
        <f t="shared" si="141"/>
        <v>3559.16</v>
      </c>
      <c r="P259" s="69">
        <f t="shared" si="111"/>
        <v>97.356666666666669</v>
      </c>
      <c r="Q259" s="69">
        <f t="shared" si="111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  <c r="AF259" s="66"/>
      <c r="AG259" s="66"/>
      <c r="AH259" s="66"/>
      <c r="AI259" s="66"/>
    </row>
    <row r="260" spans="1:35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141"/>
        <v>0</v>
      </c>
      <c r="O260" s="66">
        <f t="shared" si="141"/>
        <v>0</v>
      </c>
      <c r="P260" s="69">
        <f t="shared" ref="P260:Q323" si="142">N260/3</f>
        <v>0</v>
      </c>
      <c r="Q260" s="69">
        <f t="shared" si="142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  <c r="AF260" s="66"/>
      <c r="AG260" s="66"/>
      <c r="AH260" s="66"/>
      <c r="AI260" s="66"/>
    </row>
    <row r="261" spans="1:35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141"/>
        <v>414.94</v>
      </c>
      <c r="O261" s="66">
        <f t="shared" si="141"/>
        <v>1624.16</v>
      </c>
      <c r="P261" s="69">
        <f t="shared" si="142"/>
        <v>138.31333333333333</v>
      </c>
      <c r="Q261" s="69">
        <f t="shared" si="142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  <c r="AF261" s="66"/>
      <c r="AG261" s="66"/>
      <c r="AH261" s="66"/>
      <c r="AI261" s="66"/>
    </row>
    <row r="262" spans="1:35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141"/>
        <v>0</v>
      </c>
      <c r="O262" s="73">
        <f t="shared" si="141"/>
        <v>0</v>
      </c>
      <c r="P262" s="74">
        <f t="shared" si="142"/>
        <v>0</v>
      </c>
      <c r="Q262" s="74">
        <f t="shared" si="142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  <c r="AF262" s="73"/>
      <c r="AG262" s="73"/>
      <c r="AH262" s="73"/>
      <c r="AI262" s="73"/>
    </row>
    <row r="263" spans="1:35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143">ROUND(SUM(H258:H262),5)</f>
        <v>414.94</v>
      </c>
      <c r="I263" s="63">
        <f t="shared" si="143"/>
        <v>0</v>
      </c>
      <c r="J263" s="64">
        <f t="shared" si="143"/>
        <v>73.44</v>
      </c>
      <c r="K263" s="64">
        <f t="shared" si="143"/>
        <v>4783.32</v>
      </c>
      <c r="L263" s="65">
        <f t="shared" si="143"/>
        <v>218.63</v>
      </c>
      <c r="M263" s="65">
        <f t="shared" si="143"/>
        <v>400</v>
      </c>
      <c r="N263" s="66">
        <f t="shared" si="141"/>
        <v>707.01</v>
      </c>
      <c r="O263" s="66">
        <f t="shared" si="141"/>
        <v>5183.32</v>
      </c>
      <c r="P263" s="69">
        <f t="shared" si="142"/>
        <v>235.67</v>
      </c>
      <c r="Q263" s="69">
        <f t="shared" si="142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 t="shared" ref="AB263:AH263" si="144">ROUND(SUM(AB258:AB262),5)</f>
        <v>0</v>
      </c>
      <c r="AC263" s="66">
        <f t="shared" si="144"/>
        <v>0</v>
      </c>
      <c r="AD263" s="66">
        <f t="shared" si="144"/>
        <v>0</v>
      </c>
      <c r="AE263" s="66">
        <f t="shared" si="144"/>
        <v>0</v>
      </c>
      <c r="AF263" s="66">
        <f t="shared" si="144"/>
        <v>0</v>
      </c>
      <c r="AG263" s="66">
        <f t="shared" si="144"/>
        <v>0</v>
      </c>
      <c r="AH263" s="66">
        <f t="shared" si="144"/>
        <v>0</v>
      </c>
      <c r="AI263" s="66">
        <f t="shared" ref="AI263" si="145">ROUND(SUM(AI258:AI262),5)</f>
        <v>0</v>
      </c>
    </row>
    <row r="264" spans="1:35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  <c r="AF264" s="66"/>
      <c r="AG264" s="66"/>
      <c r="AH264" s="66"/>
      <c r="AI264" s="66"/>
    </row>
    <row r="265" spans="1:35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146">ROUND(H265+J265+L265,5)</f>
        <v>9233.0499999999993</v>
      </c>
      <c r="O265" s="66">
        <f t="shared" si="146"/>
        <v>5438.74</v>
      </c>
      <c r="P265" s="69">
        <f t="shared" si="142"/>
        <v>3077.6833333333329</v>
      </c>
      <c r="Q265" s="69">
        <f t="shared" si="142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  <c r="AF265" s="66"/>
      <c r="AG265" s="66"/>
      <c r="AH265" s="66"/>
      <c r="AI265" s="66"/>
    </row>
    <row r="266" spans="1:35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146"/>
        <v>173.59</v>
      </c>
      <c r="O266" s="66">
        <f t="shared" si="146"/>
        <v>2539.44</v>
      </c>
      <c r="P266" s="69">
        <f t="shared" si="142"/>
        <v>57.863333333333337</v>
      </c>
      <c r="Q266" s="69">
        <f t="shared" si="142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  <c r="AF266" s="66"/>
      <c r="AG266" s="66"/>
      <c r="AH266" s="66"/>
      <c r="AI266" s="66"/>
    </row>
    <row r="267" spans="1:35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146"/>
        <v>99.76</v>
      </c>
      <c r="O267" s="66">
        <f t="shared" si="146"/>
        <v>1980.2</v>
      </c>
      <c r="P267" s="69">
        <f t="shared" si="142"/>
        <v>33.253333333333337</v>
      </c>
      <c r="Q267" s="69">
        <f t="shared" si="142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  <c r="AF267" s="66"/>
      <c r="AG267" s="66"/>
      <c r="AH267" s="66"/>
      <c r="AI267" s="66"/>
    </row>
    <row r="268" spans="1:35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146"/>
        <v>2756.34</v>
      </c>
      <c r="O268" s="66">
        <f t="shared" si="146"/>
        <v>956.04</v>
      </c>
      <c r="P268" s="69">
        <f t="shared" si="142"/>
        <v>918.78000000000009</v>
      </c>
      <c r="Q268" s="69">
        <f t="shared" si="142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  <c r="AF268" s="66"/>
      <c r="AG268" s="66"/>
      <c r="AH268" s="66"/>
      <c r="AI268" s="66"/>
    </row>
    <row r="269" spans="1:35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146"/>
        <v>62</v>
      </c>
      <c r="O269" s="66">
        <f t="shared" si="146"/>
        <v>718</v>
      </c>
      <c r="P269" s="69">
        <f t="shared" si="142"/>
        <v>20.666666666666668</v>
      </c>
      <c r="Q269" s="69">
        <f t="shared" si="142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  <c r="AF269" s="66"/>
      <c r="AG269" s="66"/>
      <c r="AH269" s="66"/>
      <c r="AI269" s="66"/>
    </row>
    <row r="270" spans="1:35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146"/>
        <v>5017.79</v>
      </c>
      <c r="O270" s="66">
        <f t="shared" si="146"/>
        <v>1535.1</v>
      </c>
      <c r="P270" s="69">
        <f t="shared" si="142"/>
        <v>1672.5966666666666</v>
      </c>
      <c r="Q270" s="69">
        <f t="shared" si="142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  <c r="AF270" s="66"/>
      <c r="AG270" s="66"/>
      <c r="AH270" s="66"/>
      <c r="AI270" s="66"/>
    </row>
    <row r="271" spans="1:35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146"/>
        <v>0</v>
      </c>
      <c r="O271" s="66">
        <f t="shared" si="146"/>
        <v>1880.2</v>
      </c>
      <c r="P271" s="69">
        <f t="shared" si="142"/>
        <v>0</v>
      </c>
      <c r="Q271" s="69">
        <f t="shared" si="142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  <c r="AF271" s="66"/>
      <c r="AG271" s="66"/>
      <c r="AH271" s="66"/>
      <c r="AI271" s="66"/>
    </row>
    <row r="272" spans="1:35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146"/>
        <v>1851.6</v>
      </c>
      <c r="O272" s="66">
        <f t="shared" si="146"/>
        <v>1624.16</v>
      </c>
      <c r="P272" s="69">
        <f t="shared" si="142"/>
        <v>617.19999999999993</v>
      </c>
      <c r="Q272" s="69">
        <f t="shared" si="142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  <c r="AF272" s="66"/>
      <c r="AG272" s="66"/>
      <c r="AH272" s="66"/>
      <c r="AI272" s="66"/>
    </row>
    <row r="273" spans="1:35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146"/>
        <v>0</v>
      </c>
      <c r="O273" s="66">
        <f t="shared" si="146"/>
        <v>6709.32</v>
      </c>
      <c r="P273" s="69">
        <f t="shared" si="142"/>
        <v>0</v>
      </c>
      <c r="Q273" s="69">
        <f t="shared" si="142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  <c r="AF273" s="66"/>
      <c r="AG273" s="66"/>
      <c r="AH273" s="66"/>
      <c r="AI273" s="66"/>
    </row>
    <row r="274" spans="1:35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146"/>
        <v>0</v>
      </c>
      <c r="O274" s="66">
        <f t="shared" si="146"/>
        <v>1983.36</v>
      </c>
      <c r="P274" s="69">
        <f t="shared" si="142"/>
        <v>0</v>
      </c>
      <c r="Q274" s="69">
        <f t="shared" si="142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  <c r="AF274" s="66"/>
      <c r="AG274" s="66"/>
      <c r="AH274" s="66"/>
      <c r="AI274" s="66"/>
    </row>
    <row r="275" spans="1:35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146"/>
        <v>0</v>
      </c>
      <c r="O275" s="66">
        <f t="shared" si="146"/>
        <v>4759.01</v>
      </c>
      <c r="P275" s="69">
        <f t="shared" si="142"/>
        <v>0</v>
      </c>
      <c r="Q275" s="69">
        <f t="shared" si="142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  <c r="AF275" s="66"/>
      <c r="AG275" s="66"/>
      <c r="AH275" s="66"/>
      <c r="AI275" s="66"/>
    </row>
    <row r="276" spans="1:35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146"/>
        <v>8987.11</v>
      </c>
      <c r="O276" s="66">
        <f t="shared" si="146"/>
        <v>17088.16</v>
      </c>
      <c r="P276" s="69">
        <f t="shared" si="142"/>
        <v>2995.7033333333334</v>
      </c>
      <c r="Q276" s="69">
        <f t="shared" si="142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  <c r="AF276" s="66"/>
      <c r="AG276" s="66"/>
      <c r="AH276" s="66"/>
      <c r="AI276" s="66"/>
    </row>
    <row r="277" spans="1:35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146"/>
        <v>170.91</v>
      </c>
      <c r="O277" s="66">
        <f t="shared" si="146"/>
        <v>4097.04</v>
      </c>
      <c r="P277" s="69">
        <f t="shared" si="142"/>
        <v>56.97</v>
      </c>
      <c r="Q277" s="69">
        <f t="shared" si="142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  <c r="AF277" s="66"/>
      <c r="AG277" s="66"/>
      <c r="AH277" s="66"/>
      <c r="AI277" s="66"/>
    </row>
    <row r="278" spans="1:35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146"/>
        <v>1914.86</v>
      </c>
      <c r="O278" s="66">
        <f t="shared" si="146"/>
        <v>1668.12</v>
      </c>
      <c r="P278" s="69">
        <f t="shared" si="142"/>
        <v>638.28666666666663</v>
      </c>
      <c r="Q278" s="69">
        <f t="shared" si="142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  <c r="AF278" s="66"/>
      <c r="AG278" s="66"/>
      <c r="AH278" s="66"/>
      <c r="AI278" s="66"/>
    </row>
    <row r="279" spans="1:35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146"/>
        <v>581.79999999999995</v>
      </c>
      <c r="O279" s="73">
        <f t="shared" si="146"/>
        <v>0</v>
      </c>
      <c r="P279" s="74">
        <f t="shared" si="142"/>
        <v>193.93333333333331</v>
      </c>
      <c r="Q279" s="74">
        <f t="shared" si="142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  <c r="AF279" s="73"/>
      <c r="AG279" s="73"/>
      <c r="AH279" s="73"/>
      <c r="AI279" s="73"/>
    </row>
    <row r="280" spans="1:35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147">ROUND(SUM(H264:H279),5)</f>
        <v>11247.41</v>
      </c>
      <c r="I280" s="63">
        <f t="shared" si="147"/>
        <v>0</v>
      </c>
      <c r="J280" s="64">
        <f t="shared" si="147"/>
        <v>13538.34</v>
      </c>
      <c r="K280" s="64">
        <f t="shared" si="147"/>
        <v>43816.14</v>
      </c>
      <c r="L280" s="65">
        <f t="shared" si="147"/>
        <v>6063.06</v>
      </c>
      <c r="M280" s="65">
        <f t="shared" si="147"/>
        <v>9160.75</v>
      </c>
      <c r="N280" s="66">
        <f t="shared" si="146"/>
        <v>30848.81</v>
      </c>
      <c r="O280" s="66">
        <f t="shared" si="146"/>
        <v>52976.89</v>
      </c>
      <c r="P280" s="69">
        <f t="shared" si="142"/>
        <v>10282.936666666666</v>
      </c>
      <c r="Q280" s="69">
        <f t="shared" si="142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 t="shared" ref="AB280:AH280" si="148">ROUND(SUM(AB264:AB279),5)</f>
        <v>0</v>
      </c>
      <c r="AC280" s="66">
        <f t="shared" si="148"/>
        <v>0</v>
      </c>
      <c r="AD280" s="66">
        <f t="shared" si="148"/>
        <v>0</v>
      </c>
      <c r="AE280" s="66">
        <f t="shared" si="148"/>
        <v>0</v>
      </c>
      <c r="AF280" s="66">
        <f t="shared" si="148"/>
        <v>0</v>
      </c>
      <c r="AG280" s="66">
        <f t="shared" si="148"/>
        <v>0</v>
      </c>
      <c r="AH280" s="66">
        <f t="shared" si="148"/>
        <v>0</v>
      </c>
      <c r="AI280" s="66">
        <f t="shared" ref="AI280" si="149">ROUND(SUM(AI264:AI279),5)</f>
        <v>0</v>
      </c>
    </row>
    <row r="281" spans="1:35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142"/>
        <v>0</v>
      </c>
      <c r="Q281" s="69">
        <f t="shared" si="142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  <c r="AF281" s="66"/>
      <c r="AG281" s="66"/>
      <c r="AH281" s="66"/>
      <c r="AI281" s="66"/>
    </row>
    <row r="282" spans="1:35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150">ROUND(H282+J282+L282,5)</f>
        <v>9840.1</v>
      </c>
      <c r="O282" s="66">
        <f t="shared" si="150"/>
        <v>6658.46</v>
      </c>
      <c r="P282" s="69">
        <f t="shared" si="142"/>
        <v>3280.0333333333333</v>
      </c>
      <c r="Q282" s="69">
        <f t="shared" si="142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  <c r="AF282" s="66"/>
      <c r="AG282" s="66"/>
      <c r="AH282" s="66"/>
      <c r="AI282" s="66"/>
    </row>
    <row r="283" spans="1:35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150"/>
        <v>9035.52</v>
      </c>
      <c r="O283" s="66">
        <f t="shared" si="150"/>
        <v>7418.32</v>
      </c>
      <c r="P283" s="69">
        <f t="shared" si="142"/>
        <v>3011.84</v>
      </c>
      <c r="Q283" s="69">
        <f t="shared" si="142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  <c r="AF283" s="66"/>
      <c r="AG283" s="66"/>
      <c r="AH283" s="66"/>
      <c r="AI283" s="66"/>
    </row>
    <row r="284" spans="1:35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150"/>
        <v>0</v>
      </c>
      <c r="O284" s="66">
        <f t="shared" si="150"/>
        <v>656.04</v>
      </c>
      <c r="P284" s="69">
        <f t="shared" si="142"/>
        <v>0</v>
      </c>
      <c r="Q284" s="69">
        <f t="shared" si="142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  <c r="AF284" s="66"/>
      <c r="AG284" s="66"/>
      <c r="AH284" s="66"/>
      <c r="AI284" s="66"/>
    </row>
    <row r="285" spans="1:35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150"/>
        <v>2620.06</v>
      </c>
      <c r="O285" s="66">
        <f t="shared" si="150"/>
        <v>7118.32</v>
      </c>
      <c r="P285" s="69">
        <f t="shared" si="142"/>
        <v>873.35333333333335</v>
      </c>
      <c r="Q285" s="69">
        <f t="shared" si="142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  <c r="AF285" s="66"/>
      <c r="AG285" s="66"/>
      <c r="AH285" s="66"/>
      <c r="AI285" s="66"/>
    </row>
    <row r="286" spans="1:35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150"/>
        <v>2099.5700000000002</v>
      </c>
      <c r="O286" s="66">
        <f t="shared" si="150"/>
        <v>1012.08</v>
      </c>
      <c r="P286" s="69">
        <f t="shared" si="142"/>
        <v>699.85666666666668</v>
      </c>
      <c r="Q286" s="69">
        <f t="shared" si="142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  <c r="AF286" s="66"/>
      <c r="AG286" s="66"/>
      <c r="AH286" s="66"/>
      <c r="AI286" s="66"/>
    </row>
    <row r="287" spans="1:35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150"/>
        <v>1066.75</v>
      </c>
      <c r="O287" s="73">
        <f t="shared" si="150"/>
        <v>6918.32</v>
      </c>
      <c r="P287" s="74">
        <f t="shared" si="142"/>
        <v>355.58333333333331</v>
      </c>
      <c r="Q287" s="74">
        <f t="shared" si="142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  <c r="AF287" s="73"/>
      <c r="AG287" s="73"/>
      <c r="AH287" s="73"/>
      <c r="AI287" s="73"/>
    </row>
    <row r="288" spans="1:35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151">ROUND(SUM(H281:H287),5)</f>
        <v>5366.39</v>
      </c>
      <c r="I288" s="63">
        <f t="shared" si="151"/>
        <v>0</v>
      </c>
      <c r="J288" s="64">
        <f t="shared" si="151"/>
        <v>9447.02</v>
      </c>
      <c r="K288" s="64">
        <f t="shared" si="151"/>
        <v>27381.54</v>
      </c>
      <c r="L288" s="65">
        <f t="shared" si="151"/>
        <v>9848.59</v>
      </c>
      <c r="M288" s="65">
        <f t="shared" si="151"/>
        <v>2400</v>
      </c>
      <c r="N288" s="66">
        <f t="shared" si="150"/>
        <v>24662</v>
      </c>
      <c r="O288" s="66">
        <f t="shared" si="150"/>
        <v>29781.54</v>
      </c>
      <c r="P288" s="69">
        <f t="shared" si="142"/>
        <v>8220.6666666666661</v>
      </c>
      <c r="Q288" s="69">
        <f t="shared" si="142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 t="shared" ref="AB288:AH288" si="152">ROUND(SUM(AB281:AB287),5)</f>
        <v>0</v>
      </c>
      <c r="AC288" s="66">
        <f t="shared" si="152"/>
        <v>0</v>
      </c>
      <c r="AD288" s="66">
        <f t="shared" si="152"/>
        <v>0</v>
      </c>
      <c r="AE288" s="66">
        <f t="shared" si="152"/>
        <v>0</v>
      </c>
      <c r="AF288" s="66">
        <f t="shared" si="152"/>
        <v>0</v>
      </c>
      <c r="AG288" s="66">
        <f t="shared" si="152"/>
        <v>0</v>
      </c>
      <c r="AH288" s="66">
        <f t="shared" si="152"/>
        <v>0</v>
      </c>
      <c r="AI288" s="66">
        <f t="shared" ref="AI288" si="153">ROUND(SUM(AI281:AI287),5)</f>
        <v>0</v>
      </c>
    </row>
    <row r="289" spans="1:35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  <c r="AF289" s="66"/>
      <c r="AG289" s="66"/>
      <c r="AH289" s="66"/>
      <c r="AI289" s="66"/>
    </row>
    <row r="290" spans="1:35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154">ROUND(H290+J290+L290,5)</f>
        <v>513.95000000000005</v>
      </c>
      <c r="O290" s="66">
        <f t="shared" si="154"/>
        <v>300</v>
      </c>
      <c r="P290" s="69">
        <f t="shared" si="142"/>
        <v>171.31666666666669</v>
      </c>
      <c r="Q290" s="69">
        <f t="shared" si="142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  <c r="AF290" s="66"/>
      <c r="AG290" s="66"/>
      <c r="AH290" s="66"/>
      <c r="AI290" s="66"/>
    </row>
    <row r="291" spans="1:35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154"/>
        <v>5543.87</v>
      </c>
      <c r="O291" s="66">
        <f t="shared" si="154"/>
        <v>800</v>
      </c>
      <c r="P291" s="69">
        <f t="shared" si="142"/>
        <v>1847.9566666666667</v>
      </c>
      <c r="Q291" s="69">
        <f t="shared" si="142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  <c r="AF291" s="66"/>
      <c r="AG291" s="66"/>
      <c r="AH291" s="66"/>
      <c r="AI291" s="66"/>
    </row>
    <row r="292" spans="1:35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154"/>
        <v>0</v>
      </c>
      <c r="O292" s="66">
        <f t="shared" si="154"/>
        <v>6718.32</v>
      </c>
      <c r="P292" s="69">
        <f t="shared" si="142"/>
        <v>0</v>
      </c>
      <c r="Q292" s="69">
        <f t="shared" si="142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  <c r="AF292" s="66"/>
      <c r="AG292" s="66"/>
      <c r="AH292" s="66"/>
      <c r="AI292" s="66"/>
    </row>
    <row r="293" spans="1:35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154"/>
        <v>1829.97</v>
      </c>
      <c r="O293" s="66">
        <f t="shared" si="154"/>
        <v>400</v>
      </c>
      <c r="P293" s="69">
        <f t="shared" si="142"/>
        <v>609.99</v>
      </c>
      <c r="Q293" s="69">
        <f t="shared" si="142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  <c r="AF293" s="66"/>
      <c r="AG293" s="66"/>
      <c r="AH293" s="66"/>
      <c r="AI293" s="66"/>
    </row>
    <row r="294" spans="1:35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154"/>
        <v>574.11</v>
      </c>
      <c r="O294" s="66">
        <f t="shared" si="154"/>
        <v>200</v>
      </c>
      <c r="P294" s="69">
        <f t="shared" si="142"/>
        <v>191.37</v>
      </c>
      <c r="Q294" s="69">
        <f t="shared" si="142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  <c r="AF294" s="66"/>
      <c r="AG294" s="66"/>
      <c r="AH294" s="66"/>
      <c r="AI294" s="66"/>
    </row>
    <row r="295" spans="1:35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154"/>
        <v>2094.56</v>
      </c>
      <c r="O295" s="66">
        <f t="shared" si="154"/>
        <v>700</v>
      </c>
      <c r="P295" s="69">
        <f t="shared" si="142"/>
        <v>698.18666666666661</v>
      </c>
      <c r="Q295" s="69">
        <f t="shared" si="142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  <c r="AF295" s="66"/>
      <c r="AG295" s="66"/>
      <c r="AH295" s="66"/>
      <c r="AI295" s="66"/>
    </row>
    <row r="296" spans="1:35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154"/>
        <v>143.52000000000001</v>
      </c>
      <c r="O296" s="66">
        <f t="shared" si="154"/>
        <v>0</v>
      </c>
      <c r="P296" s="69">
        <f t="shared" si="142"/>
        <v>47.84</v>
      </c>
      <c r="Q296" s="69">
        <f t="shared" si="142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  <c r="AF296" s="66"/>
      <c r="AG296" s="66"/>
      <c r="AH296" s="66"/>
      <c r="AI296" s="66"/>
    </row>
    <row r="297" spans="1:35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154"/>
        <v>0</v>
      </c>
      <c r="O297" s="66">
        <f t="shared" si="154"/>
        <v>100</v>
      </c>
      <c r="P297" s="69">
        <f t="shared" si="142"/>
        <v>0</v>
      </c>
      <c r="Q297" s="69">
        <f t="shared" si="142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  <c r="AF297" s="66"/>
      <c r="AG297" s="66"/>
      <c r="AH297" s="66"/>
      <c r="AI297" s="66"/>
    </row>
    <row r="298" spans="1:35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154"/>
        <v>1205.7</v>
      </c>
      <c r="O298" s="66">
        <f t="shared" si="154"/>
        <v>0</v>
      </c>
      <c r="P298" s="69">
        <f t="shared" si="142"/>
        <v>401.90000000000003</v>
      </c>
      <c r="Q298" s="69">
        <f t="shared" si="142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  <c r="AF298" s="66"/>
      <c r="AG298" s="66"/>
      <c r="AH298" s="66"/>
      <c r="AI298" s="66"/>
    </row>
    <row r="299" spans="1:35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154"/>
        <v>0</v>
      </c>
      <c r="O299" s="66">
        <f t="shared" si="154"/>
        <v>0</v>
      </c>
      <c r="P299" s="69">
        <f t="shared" si="142"/>
        <v>0</v>
      </c>
      <c r="Q299" s="69">
        <f t="shared" si="142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  <c r="AF299" s="66"/>
      <c r="AG299" s="66"/>
      <c r="AH299" s="66"/>
      <c r="AI299" s="66"/>
    </row>
    <row r="300" spans="1:35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154"/>
        <v>0</v>
      </c>
      <c r="O300" s="73">
        <f t="shared" si="154"/>
        <v>0</v>
      </c>
      <c r="P300" s="74">
        <f t="shared" si="142"/>
        <v>0</v>
      </c>
      <c r="Q300" s="74">
        <f t="shared" si="142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  <c r="AF300" s="73"/>
      <c r="AG300" s="73"/>
      <c r="AH300" s="73"/>
      <c r="AI300" s="73"/>
    </row>
    <row r="301" spans="1:35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155">ROUND(SUM(H289:H300),5)</f>
        <v>3691.61</v>
      </c>
      <c r="I301" s="63">
        <f t="shared" si="155"/>
        <v>0</v>
      </c>
      <c r="J301" s="64">
        <f t="shared" si="155"/>
        <v>4249.07</v>
      </c>
      <c r="K301" s="64">
        <f t="shared" si="155"/>
        <v>6718.32</v>
      </c>
      <c r="L301" s="65">
        <f t="shared" si="155"/>
        <v>3965</v>
      </c>
      <c r="M301" s="65">
        <f t="shared" si="155"/>
        <v>2500</v>
      </c>
      <c r="N301" s="66">
        <f t="shared" si="154"/>
        <v>11905.68</v>
      </c>
      <c r="O301" s="66">
        <f t="shared" si="154"/>
        <v>9218.32</v>
      </c>
      <c r="P301" s="69">
        <f t="shared" si="142"/>
        <v>3968.56</v>
      </c>
      <c r="Q301" s="69">
        <f t="shared" si="142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 t="shared" ref="AB301:AH301" si="156">ROUND(SUM(AB289:AB300),5)</f>
        <v>0</v>
      </c>
      <c r="AC301" s="66">
        <f t="shared" si="156"/>
        <v>0</v>
      </c>
      <c r="AD301" s="66">
        <f t="shared" si="156"/>
        <v>0</v>
      </c>
      <c r="AE301" s="66">
        <f t="shared" si="156"/>
        <v>0</v>
      </c>
      <c r="AF301" s="66">
        <f t="shared" si="156"/>
        <v>0</v>
      </c>
      <c r="AG301" s="66">
        <f t="shared" si="156"/>
        <v>0</v>
      </c>
      <c r="AH301" s="66">
        <f t="shared" si="156"/>
        <v>0</v>
      </c>
      <c r="AI301" s="66">
        <f t="shared" ref="AI301" si="157">ROUND(SUM(AI289:AI300),5)</f>
        <v>0</v>
      </c>
    </row>
    <row r="302" spans="1:35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  <c r="AF302" s="66"/>
      <c r="AG302" s="66"/>
      <c r="AH302" s="66"/>
      <c r="AI302" s="66"/>
    </row>
    <row r="303" spans="1:35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158">ROUND(H303+J303+L303,5)</f>
        <v>4407.63</v>
      </c>
      <c r="O303" s="66">
        <f t="shared" si="158"/>
        <v>7218.32</v>
      </c>
      <c r="P303" s="69">
        <f t="shared" si="142"/>
        <v>1469.21</v>
      </c>
      <c r="Q303" s="69">
        <f t="shared" si="142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  <c r="AF303" s="66"/>
      <c r="AG303" s="66"/>
      <c r="AH303" s="66"/>
      <c r="AI303" s="66"/>
    </row>
    <row r="304" spans="1:35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158"/>
        <v>62.18</v>
      </c>
      <c r="O304" s="66">
        <f t="shared" si="158"/>
        <v>659.86</v>
      </c>
      <c r="P304" s="69">
        <f t="shared" si="142"/>
        <v>20.726666666666667</v>
      </c>
      <c r="Q304" s="69">
        <f t="shared" si="142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  <c r="AF304" s="66"/>
      <c r="AG304" s="66"/>
      <c r="AH304" s="66"/>
      <c r="AI304" s="66"/>
    </row>
    <row r="305" spans="1:35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158"/>
        <v>1422.94</v>
      </c>
      <c r="O305" s="66">
        <f t="shared" si="158"/>
        <v>5438.74</v>
      </c>
      <c r="P305" s="69">
        <f t="shared" si="142"/>
        <v>474.31333333333333</v>
      </c>
      <c r="Q305" s="69">
        <f t="shared" si="142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  <c r="AF305" s="66"/>
      <c r="AG305" s="66"/>
      <c r="AH305" s="66"/>
      <c r="AI305" s="66"/>
    </row>
    <row r="306" spans="1:35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158"/>
        <v>602.46</v>
      </c>
      <c r="O306" s="73">
        <f t="shared" si="158"/>
        <v>756.04</v>
      </c>
      <c r="P306" s="74">
        <f t="shared" si="142"/>
        <v>200.82000000000002</v>
      </c>
      <c r="Q306" s="74">
        <f t="shared" si="142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  <c r="AF306" s="73"/>
      <c r="AG306" s="73"/>
      <c r="AH306" s="73"/>
      <c r="AI306" s="73"/>
    </row>
    <row r="307" spans="1:35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159">ROUND(SUM(H302:H306),5)</f>
        <v>358.49</v>
      </c>
      <c r="I307" s="63">
        <f t="shared" si="159"/>
        <v>0</v>
      </c>
      <c r="J307" s="64">
        <f t="shared" si="159"/>
        <v>1711.98</v>
      </c>
      <c r="K307" s="64">
        <f t="shared" si="159"/>
        <v>12672.96</v>
      </c>
      <c r="L307" s="65">
        <f t="shared" si="159"/>
        <v>4424.74</v>
      </c>
      <c r="M307" s="65">
        <f t="shared" si="159"/>
        <v>1400</v>
      </c>
      <c r="N307" s="66">
        <f t="shared" si="158"/>
        <v>6495.21</v>
      </c>
      <c r="O307" s="66">
        <f t="shared" si="158"/>
        <v>14072.96</v>
      </c>
      <c r="P307" s="69">
        <f t="shared" si="142"/>
        <v>2165.0700000000002</v>
      </c>
      <c r="Q307" s="69">
        <f t="shared" si="142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 t="shared" ref="AB307:AH307" si="160">ROUND(SUM(AB302:AB306),5)</f>
        <v>0</v>
      </c>
      <c r="AC307" s="66">
        <f t="shared" si="160"/>
        <v>0</v>
      </c>
      <c r="AD307" s="66">
        <f t="shared" si="160"/>
        <v>0</v>
      </c>
      <c r="AE307" s="66">
        <f t="shared" si="160"/>
        <v>0</v>
      </c>
      <c r="AF307" s="66">
        <f t="shared" si="160"/>
        <v>0</v>
      </c>
      <c r="AG307" s="66">
        <f t="shared" si="160"/>
        <v>0</v>
      </c>
      <c r="AH307" s="66">
        <f t="shared" si="160"/>
        <v>0</v>
      </c>
      <c r="AI307" s="66">
        <f t="shared" ref="AI307" si="161">ROUND(SUM(AI302:AI306),5)</f>
        <v>0</v>
      </c>
    </row>
    <row r="308" spans="1:35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  <c r="AF308" s="66"/>
      <c r="AG308" s="66"/>
      <c r="AH308" s="66"/>
      <c r="AI308" s="66"/>
    </row>
    <row r="309" spans="1:35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162">ROUND(H309+J309+L309,5)</f>
        <v>9703.68</v>
      </c>
      <c r="O309" s="66">
        <f t="shared" si="162"/>
        <v>5278.88</v>
      </c>
      <c r="P309" s="69">
        <f t="shared" si="142"/>
        <v>3234.56</v>
      </c>
      <c r="Q309" s="69">
        <f t="shared" si="142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  <c r="AF309" s="66"/>
      <c r="AG309" s="66"/>
      <c r="AH309" s="66"/>
      <c r="AI309" s="66"/>
    </row>
    <row r="310" spans="1:35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162"/>
        <v>884.39</v>
      </c>
      <c r="O310" s="66">
        <f t="shared" si="162"/>
        <v>2439.44</v>
      </c>
      <c r="P310" s="69">
        <f t="shared" si="142"/>
        <v>294.79666666666668</v>
      </c>
      <c r="Q310" s="69">
        <f t="shared" si="142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  <c r="AF310" s="66"/>
      <c r="AG310" s="66"/>
      <c r="AH310" s="66"/>
      <c r="AI310" s="66"/>
    </row>
    <row r="311" spans="1:35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162"/>
        <v>979.97</v>
      </c>
      <c r="O311" s="66">
        <f t="shared" si="162"/>
        <v>6758.46</v>
      </c>
      <c r="P311" s="69">
        <f t="shared" si="142"/>
        <v>326.65666666666669</v>
      </c>
      <c r="Q311" s="69">
        <f t="shared" si="142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  <c r="AF311" s="66"/>
      <c r="AG311" s="66"/>
      <c r="AH311" s="66"/>
      <c r="AI311" s="66"/>
    </row>
    <row r="312" spans="1:35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162"/>
        <v>404.46</v>
      </c>
      <c r="O312" s="66">
        <f t="shared" si="162"/>
        <v>1679.58</v>
      </c>
      <c r="P312" s="69">
        <f t="shared" si="142"/>
        <v>134.82</v>
      </c>
      <c r="Q312" s="69">
        <f t="shared" si="142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  <c r="AF312" s="66"/>
      <c r="AG312" s="66"/>
      <c r="AH312" s="66"/>
      <c r="AI312" s="66"/>
    </row>
    <row r="313" spans="1:35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162"/>
        <v>4314.07</v>
      </c>
      <c r="O313" s="66">
        <f t="shared" si="162"/>
        <v>2480.1999999999998</v>
      </c>
      <c r="P313" s="69">
        <f t="shared" si="142"/>
        <v>1438.0233333333333</v>
      </c>
      <c r="Q313" s="69">
        <f t="shared" si="142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  <c r="AF313" s="66"/>
      <c r="AG313" s="66"/>
      <c r="AH313" s="66"/>
      <c r="AI313" s="66"/>
    </row>
    <row r="314" spans="1:35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162"/>
        <v>487.74</v>
      </c>
      <c r="O314" s="66">
        <f t="shared" si="162"/>
        <v>912.08</v>
      </c>
      <c r="P314" s="69">
        <f t="shared" si="142"/>
        <v>162.58000000000001</v>
      </c>
      <c r="Q314" s="69">
        <f t="shared" si="142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  <c r="AF314" s="66"/>
      <c r="AG314" s="66"/>
      <c r="AH314" s="66"/>
      <c r="AI314" s="66"/>
    </row>
    <row r="315" spans="1:35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162"/>
        <v>2326.19</v>
      </c>
      <c r="O315" s="66">
        <f t="shared" si="162"/>
        <v>6398.6</v>
      </c>
      <c r="P315" s="69">
        <f t="shared" si="142"/>
        <v>775.39666666666665</v>
      </c>
      <c r="Q315" s="69">
        <f t="shared" si="142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  <c r="AF315" s="66"/>
      <c r="AG315" s="66"/>
      <c r="AH315" s="66"/>
      <c r="AI315" s="66"/>
    </row>
    <row r="316" spans="1:35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162"/>
        <v>229.23</v>
      </c>
      <c r="O316" s="66">
        <f t="shared" si="162"/>
        <v>2239.44</v>
      </c>
      <c r="P316" s="69">
        <f t="shared" si="142"/>
        <v>76.41</v>
      </c>
      <c r="Q316" s="69">
        <f t="shared" si="142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  <c r="AF316" s="66"/>
      <c r="AG316" s="66"/>
      <c r="AH316" s="66"/>
      <c r="AI316" s="66"/>
    </row>
    <row r="317" spans="1:35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162"/>
        <v>759.74</v>
      </c>
      <c r="O317" s="66">
        <f t="shared" si="162"/>
        <v>1524.12</v>
      </c>
      <c r="P317" s="69">
        <f t="shared" si="142"/>
        <v>253.24666666666667</v>
      </c>
      <c r="Q317" s="69">
        <f t="shared" si="142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  <c r="AF317" s="66"/>
      <c r="AG317" s="66"/>
      <c r="AH317" s="66"/>
      <c r="AI317" s="66"/>
    </row>
    <row r="318" spans="1:35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162"/>
        <v>84.4</v>
      </c>
      <c r="O318" s="73">
        <f t="shared" si="162"/>
        <v>0</v>
      </c>
      <c r="P318" s="74">
        <f t="shared" si="142"/>
        <v>28.133333333333336</v>
      </c>
      <c r="Q318" s="74">
        <f t="shared" si="142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  <c r="AF318" s="73"/>
      <c r="AG318" s="73"/>
      <c r="AH318" s="73"/>
      <c r="AI318" s="73"/>
    </row>
    <row r="319" spans="1:35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163">ROUND(SUM(H308:H318),5)</f>
        <v>5951.81</v>
      </c>
      <c r="I319" s="63">
        <f t="shared" si="163"/>
        <v>0</v>
      </c>
      <c r="J319" s="64">
        <f t="shared" si="163"/>
        <v>9394.2800000000007</v>
      </c>
      <c r="K319" s="64">
        <f t="shared" si="163"/>
        <v>26310.799999999999</v>
      </c>
      <c r="L319" s="65">
        <f t="shared" si="163"/>
        <v>4827.78</v>
      </c>
      <c r="M319" s="65">
        <f t="shared" si="163"/>
        <v>3400</v>
      </c>
      <c r="N319" s="66">
        <f t="shared" si="162"/>
        <v>20173.87</v>
      </c>
      <c r="O319" s="66">
        <f t="shared" si="162"/>
        <v>29710.799999999999</v>
      </c>
      <c r="P319" s="69">
        <f t="shared" si="142"/>
        <v>6724.623333333333</v>
      </c>
      <c r="Q319" s="69">
        <f t="shared" si="142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 t="shared" ref="AB319:AH319" si="164">ROUND(SUM(AB308:AB318),5)</f>
        <v>0</v>
      </c>
      <c r="AC319" s="66">
        <f t="shared" si="164"/>
        <v>0</v>
      </c>
      <c r="AD319" s="66">
        <f t="shared" si="164"/>
        <v>0</v>
      </c>
      <c r="AE319" s="66">
        <f t="shared" si="164"/>
        <v>0</v>
      </c>
      <c r="AF319" s="66">
        <f t="shared" si="164"/>
        <v>0</v>
      </c>
      <c r="AG319" s="66">
        <f t="shared" si="164"/>
        <v>0</v>
      </c>
      <c r="AH319" s="66">
        <f t="shared" si="164"/>
        <v>0</v>
      </c>
      <c r="AI319" s="66">
        <f t="shared" ref="AI319" si="165">ROUND(SUM(AI308:AI318),5)</f>
        <v>0</v>
      </c>
    </row>
    <row r="320" spans="1:35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  <c r="AF320" s="66"/>
      <c r="AG320" s="66"/>
      <c r="AH320" s="66"/>
      <c r="AI320" s="66"/>
    </row>
    <row r="321" spans="1:37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166">ROUND(H321+J321+L321,5)</f>
        <v>17798.97</v>
      </c>
      <c r="O321" s="66">
        <f t="shared" si="166"/>
        <v>26035.49</v>
      </c>
      <c r="P321" s="69">
        <f t="shared" si="142"/>
        <v>5932.9900000000007</v>
      </c>
      <c r="Q321" s="69">
        <f t="shared" si="142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  <c r="AF321" s="66"/>
      <c r="AG321" s="66"/>
      <c r="AH321" s="66"/>
      <c r="AI321" s="66"/>
    </row>
    <row r="322" spans="1:37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166"/>
        <v>3570.09</v>
      </c>
      <c r="O322" s="66">
        <f t="shared" si="166"/>
        <v>10078.280000000001</v>
      </c>
      <c r="P322" s="69">
        <f t="shared" si="142"/>
        <v>1190.03</v>
      </c>
      <c r="Q322" s="69">
        <f t="shared" si="142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  <c r="AF322" s="66"/>
      <c r="AG322" s="66"/>
      <c r="AH322" s="66"/>
      <c r="AI322" s="66"/>
    </row>
    <row r="323" spans="1:37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166"/>
        <v>7211.43</v>
      </c>
      <c r="O323" s="66">
        <f t="shared" si="166"/>
        <v>7893.22</v>
      </c>
      <c r="P323" s="69">
        <f t="shared" si="142"/>
        <v>2403.81</v>
      </c>
      <c r="Q323" s="69">
        <f t="shared" si="142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  <c r="AF323" s="66"/>
      <c r="AG323" s="66"/>
      <c r="AH323" s="66"/>
      <c r="AI323" s="66"/>
    </row>
    <row r="324" spans="1:37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166"/>
        <v>1219.69</v>
      </c>
      <c r="O324" s="66">
        <f t="shared" si="166"/>
        <v>1271.28</v>
      </c>
      <c r="P324" s="69">
        <f t="shared" ref="P324:Q387" si="167">N324/3</f>
        <v>406.56333333333333</v>
      </c>
      <c r="Q324" s="69">
        <f t="shared" si="167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  <c r="AF324" s="66"/>
      <c r="AG324" s="66"/>
      <c r="AH324" s="66"/>
      <c r="AI324" s="66"/>
    </row>
    <row r="325" spans="1:37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166"/>
        <v>20508.62</v>
      </c>
      <c r="O325" s="66">
        <f t="shared" si="166"/>
        <v>19153.73</v>
      </c>
      <c r="P325" s="69">
        <f t="shared" si="167"/>
        <v>6836.206666666666</v>
      </c>
      <c r="Q325" s="69">
        <f t="shared" si="167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  <c r="AF325" s="66"/>
      <c r="AG325" s="66"/>
      <c r="AH325" s="66"/>
      <c r="AI325" s="66"/>
    </row>
    <row r="326" spans="1:37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166"/>
        <v>2276.86</v>
      </c>
      <c r="O326" s="66">
        <f t="shared" si="166"/>
        <v>0</v>
      </c>
      <c r="P326" s="69">
        <f t="shared" si="167"/>
        <v>758.95333333333338</v>
      </c>
      <c r="Q326" s="69">
        <f t="shared" si="167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  <c r="AF326" s="66"/>
      <c r="AG326" s="66"/>
      <c r="AH326" s="66"/>
      <c r="AI326" s="66"/>
    </row>
    <row r="327" spans="1:37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  <c r="AF327" s="73"/>
      <c r="AG327" s="73"/>
      <c r="AH327" s="73"/>
      <c r="AI327" s="73"/>
    </row>
    <row r="328" spans="1:37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168">ROUND(SUM(H320:H326),5)</f>
        <v>14703.25</v>
      </c>
      <c r="I328" s="63">
        <f t="shared" si="168"/>
        <v>0</v>
      </c>
      <c r="J328" s="64">
        <f t="shared" si="168"/>
        <v>19844.400000000001</v>
      </c>
      <c r="K328" s="64">
        <f t="shared" si="168"/>
        <v>9669.84</v>
      </c>
      <c r="L328" s="65">
        <f t="shared" si="168"/>
        <v>18038.009999999998</v>
      </c>
      <c r="M328" s="65">
        <f t="shared" si="168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167"/>
        <v>17528.553333333333</v>
      </c>
      <c r="Q328" s="69">
        <f t="shared" si="167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 t="shared" ref="AB328:AH328" si="169">ROUND(SUM(AB320:AB327),5)</f>
        <v>0</v>
      </c>
      <c r="AC328" s="66">
        <f t="shared" si="169"/>
        <v>0</v>
      </c>
      <c r="AD328" s="66">
        <f t="shared" si="169"/>
        <v>0</v>
      </c>
      <c r="AE328" s="66">
        <f t="shared" si="169"/>
        <v>0</v>
      </c>
      <c r="AF328" s="66">
        <f t="shared" si="169"/>
        <v>0</v>
      </c>
      <c r="AG328" s="66">
        <f t="shared" si="169"/>
        <v>0</v>
      </c>
      <c r="AH328" s="66">
        <f t="shared" si="169"/>
        <v>0</v>
      </c>
      <c r="AI328" s="66">
        <f t="shared" ref="AI328" si="170">ROUND(SUM(AI320:AI327),5)</f>
        <v>0</v>
      </c>
    </row>
    <row r="329" spans="1:37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  <c r="AF329" s="66"/>
      <c r="AG329" s="66"/>
      <c r="AH329" s="66"/>
      <c r="AI329" s="66"/>
    </row>
    <row r="330" spans="1:37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171">ROUND(H330+J330+L330,5)</f>
        <v>291196.26</v>
      </c>
      <c r="O330" s="73">
        <f t="shared" si="171"/>
        <v>74045.47</v>
      </c>
      <c r="P330" s="74">
        <f t="shared" si="167"/>
        <v>97065.42</v>
      </c>
      <c r="Q330" s="74">
        <f t="shared" si="167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  <c r="AF330" s="73"/>
      <c r="AG330" s="73"/>
      <c r="AH330" s="73"/>
      <c r="AI330" s="73"/>
    </row>
    <row r="331" spans="1:37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172">ROUND(SUM(H329:H330),5)</f>
        <v>70479.55</v>
      </c>
      <c r="I331" s="63">
        <f t="shared" si="172"/>
        <v>74045.47</v>
      </c>
      <c r="J331" s="64">
        <f t="shared" si="172"/>
        <v>78550</v>
      </c>
      <c r="K331" s="64">
        <f t="shared" si="172"/>
        <v>0</v>
      </c>
      <c r="L331" s="65">
        <f t="shared" si="172"/>
        <v>142166.71</v>
      </c>
      <c r="M331" s="65">
        <f t="shared" si="172"/>
        <v>0</v>
      </c>
      <c r="N331" s="66">
        <f t="shared" si="171"/>
        <v>291196.26</v>
      </c>
      <c r="O331" s="66">
        <f t="shared" si="171"/>
        <v>74045.47</v>
      </c>
      <c r="P331" s="69">
        <f t="shared" si="167"/>
        <v>97065.42</v>
      </c>
      <c r="Q331" s="69">
        <f t="shared" si="167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H331" si="173">ROUND(SUM(Z329:Z330),5)</f>
        <v>0</v>
      </c>
      <c r="AA331" s="140"/>
      <c r="AB331" s="66">
        <f t="shared" si="173"/>
        <v>0</v>
      </c>
      <c r="AC331" s="66">
        <f t="shared" si="173"/>
        <v>0</v>
      </c>
      <c r="AD331" s="66">
        <f t="shared" si="173"/>
        <v>0</v>
      </c>
      <c r="AE331" s="66">
        <f t="shared" si="173"/>
        <v>0</v>
      </c>
      <c r="AF331" s="66">
        <f t="shared" si="173"/>
        <v>0</v>
      </c>
      <c r="AG331" s="66">
        <f t="shared" si="173"/>
        <v>0</v>
      </c>
      <c r="AH331" s="66">
        <f t="shared" si="173"/>
        <v>0</v>
      </c>
      <c r="AI331" s="66">
        <f t="shared" ref="AI331" si="174">ROUND(SUM(AI329:AI330),5)</f>
        <v>0</v>
      </c>
    </row>
    <row r="332" spans="1:37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171"/>
        <v>0</v>
      </c>
      <c r="O332" s="73">
        <f t="shared" si="171"/>
        <v>61404.95</v>
      </c>
      <c r="P332" s="74">
        <f t="shared" si="167"/>
        <v>0</v>
      </c>
      <c r="Q332" s="74">
        <f t="shared" si="167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  <c r="AH332" s="73">
        <v>0</v>
      </c>
      <c r="AI332" s="73">
        <v>0</v>
      </c>
    </row>
    <row r="333" spans="1:37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75">ROUND(SUM(H227:H228)+H234+H257+H263+H280+H288+H301+H307+H319+H328+SUM(H331:H332),5)</f>
        <v>188585.61</v>
      </c>
      <c r="I333" s="63">
        <f t="shared" si="175"/>
        <v>138009</v>
      </c>
      <c r="J333" s="64">
        <f t="shared" si="175"/>
        <v>203924.74</v>
      </c>
      <c r="K333" s="64">
        <f t="shared" si="175"/>
        <v>194923.04</v>
      </c>
      <c r="L333" s="65">
        <f t="shared" si="175"/>
        <v>249596.1</v>
      </c>
      <c r="M333" s="65">
        <f t="shared" si="175"/>
        <v>148293.14000000001</v>
      </c>
      <c r="N333" s="66">
        <f t="shared" si="171"/>
        <v>642106.44999999995</v>
      </c>
      <c r="O333" s="66">
        <f t="shared" si="171"/>
        <v>481225.18</v>
      </c>
      <c r="P333" s="69">
        <f t="shared" si="167"/>
        <v>214035.48333333331</v>
      </c>
      <c r="Q333" s="69">
        <f t="shared" si="167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 t="shared" ref="AB333:AF333" si="176">ROUND(SUM(AB227:AB228)+AB234+AB257+AB263+AB280+AB288+AB301+AB307+AB319+AB328+SUM(AB331:AB332),5)</f>
        <v>227894.31142000001</v>
      </c>
      <c r="AC333" s="80">
        <f t="shared" si="176"/>
        <v>227894.31142000001</v>
      </c>
      <c r="AD333" s="80">
        <f t="shared" si="176"/>
        <v>243375.95202</v>
      </c>
      <c r="AE333" s="80">
        <f t="shared" si="176"/>
        <v>205210.84</v>
      </c>
      <c r="AF333" s="80">
        <f t="shared" si="176"/>
        <v>205210.84</v>
      </c>
      <c r="AG333" s="80">
        <f>ROUND(SUM(AG227:AG228)+AG234+AG257+AG263+AG280+AG288+AG301+AG307+AG319+AG328+SUM(AG331:AG332),0)</f>
        <v>205211</v>
      </c>
      <c r="AH333" s="80">
        <f>ROUND(SUM(AH227:AH228)+AH234+AH257+AH263+AH280+AH288+AH301+AH307+AH319+AH328+SUM(AH331:AH332),0)</f>
        <v>205211</v>
      </c>
      <c r="AI333" s="80">
        <f>ROUND(SUM(AI227:AI228)+AI234+AI257+AI263+AI280+AI288+AI301+AI307+AI319+AI328+SUM(AI331:AI332),0)</f>
        <v>205211</v>
      </c>
      <c r="AK333" s="221" t="s">
        <v>987</v>
      </c>
    </row>
    <row r="334" spans="1:37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66"/>
      <c r="AG334" s="66"/>
      <c r="AH334" s="66"/>
      <c r="AI334" s="66"/>
      <c r="AJ334" s="195"/>
      <c r="AK334" s="185"/>
    </row>
    <row r="335" spans="1:37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66"/>
      <c r="AG335" s="66"/>
      <c r="AH335" s="66"/>
      <c r="AI335" s="66"/>
      <c r="AJ335" s="195"/>
      <c r="AK335" s="185"/>
    </row>
    <row r="336" spans="1:37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177">ROUND(H336+J336+L336,5)</f>
        <v>21365</v>
      </c>
      <c r="O336" s="66">
        <v>0</v>
      </c>
      <c r="P336" s="69">
        <f t="shared" si="167"/>
        <v>7121.666666666667</v>
      </c>
      <c r="Q336" s="69">
        <f t="shared" si="167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  <c r="AH336" s="66">
        <v>0</v>
      </c>
      <c r="AI336" s="66">
        <v>0</v>
      </c>
    </row>
    <row r="337" spans="1:37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77"/>
        <v>97979.59</v>
      </c>
      <c r="O337" s="66">
        <f>ROUND(I337+K337+M337,5)</f>
        <v>40000</v>
      </c>
      <c r="P337" s="69">
        <f t="shared" si="167"/>
        <v>32659.863333333331</v>
      </c>
      <c r="Q337" s="69">
        <f t="shared" si="167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</v>
      </c>
      <c r="AI337" s="66">
        <v>0</v>
      </c>
    </row>
    <row r="338" spans="1:37" ht="16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77"/>
        <v>22480.97</v>
      </c>
      <c r="O338" s="66">
        <v>0</v>
      </c>
      <c r="P338" s="69">
        <f t="shared" si="167"/>
        <v>7493.6566666666668</v>
      </c>
      <c r="Q338" s="69">
        <f t="shared" si="167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125000</v>
      </c>
      <c r="AI338" s="66">
        <v>125000</v>
      </c>
      <c r="AJ338" s="206" t="s">
        <v>1000</v>
      </c>
      <c r="AK338" s="221" t="s">
        <v>1007</v>
      </c>
    </row>
    <row r="339" spans="1:37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77"/>
        <v>680</v>
      </c>
      <c r="O339" s="66">
        <f>ROUND(I339+K339+M339,5)</f>
        <v>0</v>
      </c>
      <c r="P339" s="69">
        <f t="shared" si="167"/>
        <v>226.66666666666666</v>
      </c>
      <c r="Q339" s="69">
        <f t="shared" si="167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  <c r="AG339" s="168">
        <v>50000</v>
      </c>
      <c r="AH339" s="168">
        <v>50000</v>
      </c>
      <c r="AI339" s="168">
        <v>50000</v>
      </c>
    </row>
    <row r="340" spans="1:37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  <c r="AG340" s="168">
        <v>50000</v>
      </c>
      <c r="AH340" s="168">
        <v>50000</v>
      </c>
      <c r="AI340" s="168">
        <v>50000</v>
      </c>
    </row>
    <row r="341" spans="1:37" ht="16.5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77"/>
        <v>6830</v>
      </c>
      <c r="O341" s="73">
        <f>ROUND(I341+K341+M341,5)</f>
        <v>26000</v>
      </c>
      <c r="P341" s="74">
        <f t="shared" si="167"/>
        <v>2276.6666666666665</v>
      </c>
      <c r="Q341" s="74">
        <f t="shared" si="167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  <c r="AF341" s="73">
        <v>0</v>
      </c>
      <c r="AG341" s="66">
        <v>33125</v>
      </c>
      <c r="AH341" s="66">
        <v>33125</v>
      </c>
      <c r="AI341" s="66">
        <v>33125</v>
      </c>
      <c r="AJ341" s="206" t="s">
        <v>1000</v>
      </c>
      <c r="AK341" s="221" t="s">
        <v>962</v>
      </c>
    </row>
    <row r="342" spans="1:37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78">ROUND(SUM(H335:H341),5)</f>
        <v>19670</v>
      </c>
      <c r="I342" s="63">
        <f t="shared" si="178"/>
        <v>0</v>
      </c>
      <c r="J342" s="64">
        <f t="shared" si="178"/>
        <v>94715.56</v>
      </c>
      <c r="K342" s="64">
        <f t="shared" si="178"/>
        <v>26000</v>
      </c>
      <c r="L342" s="65">
        <f t="shared" si="178"/>
        <v>34950</v>
      </c>
      <c r="M342" s="65">
        <f t="shared" si="178"/>
        <v>40000</v>
      </c>
      <c r="N342" s="66">
        <f t="shared" si="177"/>
        <v>149335.56</v>
      </c>
      <c r="O342" s="66">
        <f>ROUND(I342+K342+M342,5)</f>
        <v>66000</v>
      </c>
      <c r="P342" s="69">
        <f t="shared" si="167"/>
        <v>49778.52</v>
      </c>
      <c r="Q342" s="69">
        <f t="shared" si="167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 t="shared" ref="AB342:AH342" si="179">ROUND(SUM(AB335:AB341),5)</f>
        <v>100000</v>
      </c>
      <c r="AC342" s="80">
        <f t="shared" si="179"/>
        <v>100000</v>
      </c>
      <c r="AD342" s="80">
        <f t="shared" si="179"/>
        <v>100000</v>
      </c>
      <c r="AE342" s="80">
        <f t="shared" si="179"/>
        <v>100000</v>
      </c>
      <c r="AF342" s="80">
        <f t="shared" si="179"/>
        <v>100000</v>
      </c>
      <c r="AG342" s="80">
        <f t="shared" si="179"/>
        <v>133125</v>
      </c>
      <c r="AH342" s="80">
        <f t="shared" si="179"/>
        <v>258125</v>
      </c>
      <c r="AI342" s="80">
        <f t="shared" ref="AI342" si="180">ROUND(SUM(AI335:AI341),5)</f>
        <v>258125</v>
      </c>
    </row>
    <row r="343" spans="1:37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77"/>
        <v>110000</v>
      </c>
      <c r="O343" s="66">
        <f>ROUND(I343+K343+M343,5)</f>
        <v>135000</v>
      </c>
      <c r="P343" s="69">
        <f t="shared" si="167"/>
        <v>36666.666666666664</v>
      </c>
      <c r="Q343" s="69">
        <f t="shared" si="167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  <c r="AG343" s="66">
        <v>35000</v>
      </c>
      <c r="AH343" s="66">
        <v>35000</v>
      </c>
      <c r="AI343" s="66">
        <v>35000</v>
      </c>
    </row>
    <row r="344" spans="1:37" ht="16" x14ac:dyDescent="0.35">
      <c r="A344" s="66"/>
      <c r="B344" s="66"/>
      <c r="C344" s="49"/>
      <c r="D344" s="49"/>
      <c r="E344" s="49"/>
      <c r="F344" s="49" t="s">
        <v>990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77"/>
        <v>2807</v>
      </c>
      <c r="O344" s="66">
        <f>ROUND(I344+K344+M344,5)</f>
        <v>71745</v>
      </c>
      <c r="P344" s="69">
        <f t="shared" si="167"/>
        <v>935.66666666666663</v>
      </c>
      <c r="Q344" s="69">
        <f t="shared" si="167"/>
        <v>23915</v>
      </c>
      <c r="R344" s="54"/>
      <c r="S344" s="49"/>
      <c r="T344" s="49"/>
      <c r="U344" s="49"/>
      <c r="V344" s="49"/>
      <c r="W344" s="49"/>
      <c r="X344" s="49" t="s">
        <v>990</v>
      </c>
      <c r="Y344" s="49"/>
      <c r="Z344" s="66">
        <v>0</v>
      </c>
      <c r="AA344" s="140"/>
      <c r="AB344" s="168">
        <v>0</v>
      </c>
      <c r="AC344" s="168">
        <v>0</v>
      </c>
      <c r="AD344" s="168">
        <v>0</v>
      </c>
      <c r="AE344" s="168">
        <v>0</v>
      </c>
      <c r="AF344" s="168">
        <v>10000</v>
      </c>
      <c r="AG344" s="66">
        <v>10000</v>
      </c>
      <c r="AH344" s="66">
        <v>10000</v>
      </c>
      <c r="AI344" s="66">
        <v>10000</v>
      </c>
      <c r="AJ344" s="206" t="s">
        <v>1000</v>
      </c>
      <c r="AK344" s="225" t="s">
        <v>955</v>
      </c>
    </row>
    <row r="345" spans="1:37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77"/>
        <v>600</v>
      </c>
      <c r="O345" s="66">
        <v>0</v>
      </c>
      <c r="P345" s="69">
        <f t="shared" si="167"/>
        <v>200</v>
      </c>
      <c r="Q345" s="69">
        <f t="shared" si="167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0</v>
      </c>
      <c r="AI345" s="66">
        <v>0</v>
      </c>
    </row>
    <row r="346" spans="1:37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77"/>
        <v>4601.16</v>
      </c>
      <c r="O346" s="66">
        <f t="shared" si="177"/>
        <v>5000</v>
      </c>
      <c r="P346" s="69">
        <f t="shared" si="167"/>
        <v>1533.72</v>
      </c>
      <c r="Q346" s="69">
        <f t="shared" si="167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  <c r="AG346" s="66">
        <v>1500</v>
      </c>
      <c r="AH346" s="66">
        <v>1500</v>
      </c>
      <c r="AI346" s="66">
        <v>1500</v>
      </c>
    </row>
    <row r="347" spans="1:37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77"/>
        <v>0</v>
      </c>
      <c r="O347" s="66">
        <f t="shared" si="177"/>
        <v>0</v>
      </c>
      <c r="P347" s="69">
        <f t="shared" si="167"/>
        <v>0</v>
      </c>
      <c r="Q347" s="69">
        <f t="shared" si="167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  <c r="AH347" s="66">
        <v>0</v>
      </c>
      <c r="AI347" s="66">
        <v>0</v>
      </c>
    </row>
    <row r="348" spans="1:37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77"/>
        <v>55866.65</v>
      </c>
      <c r="O348" s="66">
        <f t="shared" si="177"/>
        <v>39369.230000000003</v>
      </c>
      <c r="P348" s="69">
        <f t="shared" si="167"/>
        <v>18622.216666666667</v>
      </c>
      <c r="Q348" s="69">
        <f t="shared" si="167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  <c r="AG348" s="66">
        <v>19164</v>
      </c>
      <c r="AH348" s="66">
        <v>19164</v>
      </c>
      <c r="AI348" s="66">
        <v>19164</v>
      </c>
    </row>
    <row r="349" spans="1:37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77"/>
        <v>12578.7</v>
      </c>
      <c r="O349" s="66">
        <f t="shared" si="177"/>
        <v>11353.85</v>
      </c>
      <c r="P349" s="69">
        <f t="shared" si="167"/>
        <v>4192.9000000000005</v>
      </c>
      <c r="Q349" s="69">
        <f t="shared" si="167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  <c r="AG349" s="66">
        <v>4000</v>
      </c>
      <c r="AH349" s="66">
        <v>4000</v>
      </c>
      <c r="AI349" s="66">
        <v>4000</v>
      </c>
    </row>
    <row r="350" spans="1:37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77"/>
        <v>43549.17</v>
      </c>
      <c r="O350" s="66">
        <f t="shared" si="177"/>
        <v>35000</v>
      </c>
      <c r="P350" s="69">
        <f t="shared" si="167"/>
        <v>14516.39</v>
      </c>
      <c r="Q350" s="69">
        <f t="shared" si="167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G350" s="66">
        <f>ROUND(12117.4*1.5, 0)</f>
        <v>18176</v>
      </c>
      <c r="AH350" s="66">
        <f>ROUND(12117.4*1.5, 0)</f>
        <v>18176</v>
      </c>
      <c r="AI350" s="66">
        <f>ROUND(12117.4*1.5, 0)</f>
        <v>18176</v>
      </c>
      <c r="AJ350" s="182"/>
    </row>
    <row r="351" spans="1:37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77"/>
        <v>7760.69</v>
      </c>
      <c r="O351" s="66">
        <f t="shared" si="177"/>
        <v>20000</v>
      </c>
      <c r="P351" s="69">
        <f t="shared" si="167"/>
        <v>2586.8966666666665</v>
      </c>
      <c r="Q351" s="69">
        <f t="shared" si="167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66">
        <v>0</v>
      </c>
      <c r="AI351" s="66">
        <v>0</v>
      </c>
      <c r="AJ351" s="190"/>
    </row>
    <row r="352" spans="1:37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77"/>
        <v>44149.02</v>
      </c>
      <c r="O352" s="66">
        <f t="shared" si="177"/>
        <v>34250.04</v>
      </c>
      <c r="P352" s="69">
        <f t="shared" si="167"/>
        <v>14716.339999999998</v>
      </c>
      <c r="Q352" s="69">
        <f t="shared" si="167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  <c r="AG352" s="66">
        <v>20000</v>
      </c>
      <c r="AH352" s="66">
        <v>20000</v>
      </c>
      <c r="AI352" s="66">
        <v>20000</v>
      </c>
    </row>
    <row r="353" spans="1:36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77"/>
        <v>1956.11</v>
      </c>
      <c r="O353" s="66">
        <f t="shared" si="177"/>
        <v>22500</v>
      </c>
      <c r="P353" s="69">
        <f t="shared" si="167"/>
        <v>652.03666666666663</v>
      </c>
      <c r="Q353" s="69">
        <f t="shared" si="167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6">
        <v>0</v>
      </c>
      <c r="AI353" s="66">
        <v>0</v>
      </c>
    </row>
    <row r="354" spans="1:36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77"/>
        <v>34446</v>
      </c>
      <c r="O354" s="66">
        <f t="shared" si="177"/>
        <v>20748</v>
      </c>
      <c r="P354" s="69">
        <f t="shared" si="167"/>
        <v>11482</v>
      </c>
      <c r="Q354" s="69">
        <f t="shared" si="167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>
        <v>0</v>
      </c>
      <c r="AI354" s="66">
        <v>0</v>
      </c>
    </row>
    <row r="355" spans="1:36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77"/>
        <v>2154.44</v>
      </c>
      <c r="O355" s="66">
        <f t="shared" si="177"/>
        <v>3605</v>
      </c>
      <c r="P355" s="69">
        <f t="shared" si="167"/>
        <v>718.14666666666665</v>
      </c>
      <c r="Q355" s="69">
        <f t="shared" si="167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>
        <v>0</v>
      </c>
      <c r="AI355" s="66">
        <v>0</v>
      </c>
    </row>
    <row r="356" spans="1:36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77"/>
        <v>20339.71</v>
      </c>
      <c r="O356" s="66">
        <f t="shared" si="177"/>
        <v>13000</v>
      </c>
      <c r="P356" s="69">
        <f t="shared" si="167"/>
        <v>6779.9033333333327</v>
      </c>
      <c r="Q356" s="69">
        <f t="shared" si="167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  <c r="AG356" s="66">
        <v>9000</v>
      </c>
      <c r="AH356" s="66">
        <v>9000</v>
      </c>
      <c r="AI356" s="66">
        <v>9000</v>
      </c>
    </row>
    <row r="357" spans="1:36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77"/>
        <v>500</v>
      </c>
      <c r="O357" s="66">
        <f t="shared" si="177"/>
        <v>0</v>
      </c>
      <c r="P357" s="69">
        <f t="shared" si="167"/>
        <v>166.66666666666666</v>
      </c>
      <c r="Q357" s="69">
        <f t="shared" si="167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  <c r="AH357" s="66">
        <v>0</v>
      </c>
      <c r="AI357" s="66">
        <v>0</v>
      </c>
    </row>
    <row r="358" spans="1:36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  <c r="AF358" s="66"/>
      <c r="AG358" s="66"/>
      <c r="AH358" s="66"/>
      <c r="AI358" s="66"/>
    </row>
    <row r="359" spans="1:36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81">ROUND(H359+J359+L359,5)</f>
        <v>84190</v>
      </c>
      <c r="O359" s="66">
        <f t="shared" si="181"/>
        <v>49784.88</v>
      </c>
      <c r="P359" s="69">
        <f t="shared" si="167"/>
        <v>28063.333333333332</v>
      </c>
      <c r="Q359" s="69">
        <f t="shared" si="167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  <c r="AG359" s="66">
        <v>0</v>
      </c>
      <c r="AH359" s="66">
        <v>0</v>
      </c>
      <c r="AI359" s="66">
        <v>0</v>
      </c>
    </row>
    <row r="360" spans="1:36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81"/>
        <v>0</v>
      </c>
      <c r="O360" s="73">
        <f t="shared" si="181"/>
        <v>15000</v>
      </c>
      <c r="P360" s="74">
        <f t="shared" si="167"/>
        <v>0</v>
      </c>
      <c r="Q360" s="74">
        <f t="shared" si="167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  <c r="AG360" s="73">
        <v>0</v>
      </c>
      <c r="AH360" s="73">
        <v>0</v>
      </c>
      <c r="AI360" s="73">
        <v>0</v>
      </c>
    </row>
    <row r="361" spans="1:36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82">ROUND(SUM(H358:H360),5)</f>
        <v>31425</v>
      </c>
      <c r="I361" s="63">
        <f t="shared" si="182"/>
        <v>15000</v>
      </c>
      <c r="J361" s="64">
        <f t="shared" si="182"/>
        <v>27367.5</v>
      </c>
      <c r="K361" s="64">
        <f t="shared" si="182"/>
        <v>28917.38</v>
      </c>
      <c r="L361" s="65">
        <f t="shared" si="182"/>
        <v>25397.5</v>
      </c>
      <c r="M361" s="65">
        <f t="shared" si="182"/>
        <v>20867.5</v>
      </c>
      <c r="N361" s="66">
        <f t="shared" si="181"/>
        <v>84190</v>
      </c>
      <c r="O361" s="66">
        <f t="shared" si="181"/>
        <v>64784.88</v>
      </c>
      <c r="P361" s="69">
        <f t="shared" si="167"/>
        <v>28063.333333333332</v>
      </c>
      <c r="Q361" s="69">
        <f t="shared" si="167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 t="shared" ref="AB361:AH361" si="183">ROUND(SUM(AB358:AB360),5)</f>
        <v>0</v>
      </c>
      <c r="AC361" s="80">
        <f t="shared" si="183"/>
        <v>0</v>
      </c>
      <c r="AD361" s="80">
        <f t="shared" si="183"/>
        <v>0</v>
      </c>
      <c r="AE361" s="80">
        <f t="shared" si="183"/>
        <v>0</v>
      </c>
      <c r="AF361" s="80">
        <f t="shared" si="183"/>
        <v>0</v>
      </c>
      <c r="AG361" s="80">
        <f t="shared" si="183"/>
        <v>0</v>
      </c>
      <c r="AH361" s="80">
        <f t="shared" si="183"/>
        <v>0</v>
      </c>
      <c r="AI361" s="80">
        <f t="shared" ref="AI361" si="184">ROUND(SUM(AI358:AI360),5)</f>
        <v>0</v>
      </c>
    </row>
    <row r="362" spans="1:36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81"/>
        <v>0</v>
      </c>
      <c r="O362" s="66">
        <f t="shared" si="181"/>
        <v>0</v>
      </c>
      <c r="P362" s="69">
        <f t="shared" si="167"/>
        <v>0</v>
      </c>
      <c r="Q362" s="69">
        <f t="shared" si="167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  <c r="AF362" s="66"/>
      <c r="AG362" s="66"/>
      <c r="AH362" s="66"/>
      <c r="AI362" s="66"/>
    </row>
    <row r="363" spans="1:36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85">ROUND(H334+SUM(H342:H357)+SUM(H361:H362),5)</f>
        <v>166149.76999999999</v>
      </c>
      <c r="I363" s="83">
        <f t="shared" si="185"/>
        <v>161924.6</v>
      </c>
      <c r="J363" s="84">
        <f t="shared" si="185"/>
        <v>213318.06</v>
      </c>
      <c r="K363" s="84">
        <f t="shared" si="185"/>
        <v>155784.65</v>
      </c>
      <c r="L363" s="85">
        <f t="shared" si="185"/>
        <v>195366.38</v>
      </c>
      <c r="M363" s="85">
        <f t="shared" si="185"/>
        <v>224646.75</v>
      </c>
      <c r="N363" s="86">
        <f t="shared" si="181"/>
        <v>574834.21</v>
      </c>
      <c r="O363" s="86">
        <f t="shared" si="181"/>
        <v>542356</v>
      </c>
      <c r="P363" s="87">
        <f t="shared" si="167"/>
        <v>191611.40333333332</v>
      </c>
      <c r="Q363" s="87">
        <f t="shared" si="167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 t="shared" ref="AB363:AG363" si="186">ROUND(AB334+SUM(AB342:AB357)+SUM(AB361:AB362),5)</f>
        <v>199017.1</v>
      </c>
      <c r="AC363" s="88">
        <f t="shared" si="186"/>
        <v>199017.1</v>
      </c>
      <c r="AD363" s="88">
        <f t="shared" si="186"/>
        <v>202281.4</v>
      </c>
      <c r="AE363" s="88">
        <f t="shared" si="186"/>
        <v>200781.4</v>
      </c>
      <c r="AF363" s="88">
        <f t="shared" si="186"/>
        <v>210781.4</v>
      </c>
      <c r="AG363" s="88">
        <f t="shared" si="186"/>
        <v>249965</v>
      </c>
      <c r="AH363" s="88">
        <f t="shared" ref="AH363:AI363" si="187">ROUND(AH334+SUM(AH342:AH357)+SUM(AH361:AH362),5)</f>
        <v>374965</v>
      </c>
      <c r="AI363" s="88">
        <f t="shared" si="187"/>
        <v>374965</v>
      </c>
    </row>
    <row r="364" spans="1:36" x14ac:dyDescent="0.35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88">ROUND(H226+H333+H363,5)</f>
        <v>354735.38</v>
      </c>
      <c r="I364" s="63">
        <f t="shared" si="188"/>
        <v>299933.59999999998</v>
      </c>
      <c r="J364" s="64">
        <f t="shared" si="188"/>
        <v>417242.8</v>
      </c>
      <c r="K364" s="64">
        <f t="shared" si="188"/>
        <v>350707.69</v>
      </c>
      <c r="L364" s="65">
        <f t="shared" si="188"/>
        <v>444962.48</v>
      </c>
      <c r="M364" s="65">
        <f t="shared" si="188"/>
        <v>372939.89</v>
      </c>
      <c r="N364" s="66">
        <f t="shared" si="181"/>
        <v>1216940.6599999999</v>
      </c>
      <c r="O364" s="66">
        <f t="shared" si="181"/>
        <v>1023581.18</v>
      </c>
      <c r="P364" s="69">
        <f t="shared" si="167"/>
        <v>405646.88666666666</v>
      </c>
      <c r="Q364" s="69">
        <f t="shared" si="167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 t="shared" ref="AB364:AH364" si="189">ROUND(AB226+AB333+AB363,5)</f>
        <v>426911.41142000002</v>
      </c>
      <c r="AC364" s="66">
        <f t="shared" si="189"/>
        <v>426911.41142000002</v>
      </c>
      <c r="AD364" s="66">
        <f t="shared" si="189"/>
        <v>445657.35201999999</v>
      </c>
      <c r="AE364" s="66">
        <f t="shared" si="189"/>
        <v>405992.24</v>
      </c>
      <c r="AF364" s="66">
        <f t="shared" si="189"/>
        <v>415992.24</v>
      </c>
      <c r="AG364" s="66">
        <f t="shared" si="189"/>
        <v>455176</v>
      </c>
      <c r="AH364" s="66">
        <f t="shared" si="189"/>
        <v>580176</v>
      </c>
      <c r="AI364" s="66">
        <f t="shared" ref="AI364" si="190">ROUND(AI226+AI333+AI363,5)</f>
        <v>580176</v>
      </c>
    </row>
    <row r="365" spans="1:36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  <c r="AF365" s="66"/>
      <c r="AG365" s="66"/>
      <c r="AH365" s="66"/>
      <c r="AI365" s="66"/>
    </row>
    <row r="366" spans="1:36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91">ROUND(H366+J366+L366,5)</f>
        <v>65072</v>
      </c>
      <c r="O366" s="66">
        <f t="shared" si="191"/>
        <v>51375.6</v>
      </c>
      <c r="P366" s="69">
        <f t="shared" si="167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  <c r="AG366" s="66">
        <v>33936</v>
      </c>
      <c r="AH366" s="66">
        <v>33936</v>
      </c>
      <c r="AI366" s="66">
        <v>33936</v>
      </c>
      <c r="AJ366" s="182"/>
    </row>
    <row r="367" spans="1:36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91"/>
        <v>111140.02</v>
      </c>
      <c r="O367" s="66">
        <f t="shared" si="191"/>
        <v>112544.8</v>
      </c>
      <c r="P367" s="69">
        <f t="shared" si="167"/>
        <v>37046.673333333332</v>
      </c>
      <c r="Q367" s="69">
        <f t="shared" si="167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 t="shared" ref="AB367:AI367" si="192">ROUND(37896.24, 0)</f>
        <v>37896</v>
      </c>
      <c r="AC367" s="66">
        <f t="shared" si="192"/>
        <v>37896</v>
      </c>
      <c r="AD367" s="66">
        <f t="shared" si="192"/>
        <v>37896</v>
      </c>
      <c r="AE367" s="66">
        <f t="shared" si="192"/>
        <v>37896</v>
      </c>
      <c r="AF367" s="66">
        <f t="shared" si="192"/>
        <v>37896</v>
      </c>
      <c r="AG367" s="66">
        <f t="shared" si="192"/>
        <v>37896</v>
      </c>
      <c r="AH367" s="66">
        <f t="shared" si="192"/>
        <v>37896</v>
      </c>
      <c r="AI367" s="66">
        <f t="shared" si="192"/>
        <v>37896</v>
      </c>
      <c r="AJ367" s="182"/>
    </row>
    <row r="368" spans="1:36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91"/>
        <v>73064.12</v>
      </c>
      <c r="O368" s="66">
        <f t="shared" si="191"/>
        <v>69064.929999999993</v>
      </c>
      <c r="P368" s="69">
        <f t="shared" si="167"/>
        <v>24354.706666666665</v>
      </c>
      <c r="Q368" s="69">
        <f t="shared" si="167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  <c r="AG368" s="66">
        <v>27067</v>
      </c>
      <c r="AH368" s="66">
        <v>27067</v>
      </c>
      <c r="AI368" s="66">
        <v>27067</v>
      </c>
      <c r="AJ368" s="182"/>
    </row>
    <row r="369" spans="1:37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91"/>
        <v>83751.37</v>
      </c>
      <c r="O369" s="66">
        <f t="shared" si="191"/>
        <v>83288.960000000006</v>
      </c>
      <c r="P369" s="69">
        <f t="shared" si="167"/>
        <v>27917.123333333333</v>
      </c>
      <c r="Q369" s="69">
        <f t="shared" si="167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  <c r="AG369" s="66">
        <v>29904</v>
      </c>
      <c r="AH369" s="66">
        <v>29904</v>
      </c>
      <c r="AI369" s="66">
        <v>29904</v>
      </c>
      <c r="AJ369" s="182"/>
    </row>
    <row r="370" spans="1:37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91"/>
        <v>28135.19</v>
      </c>
      <c r="O370" s="66">
        <f t="shared" si="191"/>
        <v>34600</v>
      </c>
      <c r="P370" s="69">
        <f t="shared" si="167"/>
        <v>9378.3966666666656</v>
      </c>
      <c r="Q370" s="69">
        <f t="shared" si="167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  <c r="AG370" s="66">
        <v>10000</v>
      </c>
      <c r="AH370" s="66">
        <v>10000</v>
      </c>
      <c r="AI370" s="66">
        <v>10000</v>
      </c>
      <c r="AJ370" s="182"/>
    </row>
    <row r="371" spans="1:37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93">ROUND(SUM(H365:H370),5)</f>
        <v>114632.84</v>
      </c>
      <c r="I371" s="75">
        <f t="shared" si="193"/>
        <v>107960.9</v>
      </c>
      <c r="J371" s="76">
        <f t="shared" si="193"/>
        <v>123159.01</v>
      </c>
      <c r="K371" s="76">
        <f t="shared" si="193"/>
        <v>112474.39</v>
      </c>
      <c r="L371" s="77">
        <f t="shared" si="193"/>
        <v>123370.85</v>
      </c>
      <c r="M371" s="77">
        <f t="shared" si="193"/>
        <v>130439</v>
      </c>
      <c r="N371" s="78">
        <f t="shared" si="191"/>
        <v>361162.7</v>
      </c>
      <c r="O371" s="78">
        <f t="shared" si="191"/>
        <v>350874.29</v>
      </c>
      <c r="P371" s="79">
        <f t="shared" si="167"/>
        <v>120387.56666666667</v>
      </c>
      <c r="Q371" s="79">
        <f t="shared" si="167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 t="shared" ref="AB371:AH371" si="194">ROUND(SUM(AB365:AB370),5)</f>
        <v>129087</v>
      </c>
      <c r="AC371" s="80">
        <f t="shared" si="194"/>
        <v>129087</v>
      </c>
      <c r="AD371" s="80">
        <f t="shared" si="194"/>
        <v>129087</v>
      </c>
      <c r="AE371" s="80">
        <f t="shared" si="194"/>
        <v>138803</v>
      </c>
      <c r="AF371" s="80">
        <f t="shared" si="194"/>
        <v>138803</v>
      </c>
      <c r="AG371" s="80">
        <f t="shared" si="194"/>
        <v>138803</v>
      </c>
      <c r="AH371" s="80">
        <f t="shared" si="194"/>
        <v>138803</v>
      </c>
      <c r="AI371" s="80">
        <f t="shared" ref="AI371" si="195">ROUND(SUM(AI365:AI370),5)</f>
        <v>138803</v>
      </c>
    </row>
    <row r="372" spans="1:37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167"/>
        <v>0</v>
      </c>
      <c r="Q372" s="69">
        <f t="shared" si="167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  <c r="AF372" s="66"/>
      <c r="AG372" s="66"/>
      <c r="AH372" s="66"/>
      <c r="AI372" s="66"/>
    </row>
    <row r="373" spans="1:37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96">ROUND(H373+J373+L373,5)</f>
        <v>4736691.54</v>
      </c>
      <c r="O373" s="66">
        <f t="shared" si="196"/>
        <v>4809206.6399999997</v>
      </c>
      <c r="P373" s="69">
        <f t="shared" si="167"/>
        <v>1578897.18</v>
      </c>
      <c r="Q373" s="69">
        <f t="shared" si="167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>ROUND(1728649.91, 0)</f>
        <v>1728650</v>
      </c>
      <c r="AG373" s="66">
        <f>ROUND(1728649.91, 0)</f>
        <v>1728650</v>
      </c>
      <c r="AH373" s="66">
        <f>ROUND(1728649.91, 0)</f>
        <v>1728650</v>
      </c>
      <c r="AI373" s="66">
        <f>ROUND(1728649.91, 0)</f>
        <v>1728650</v>
      </c>
      <c r="AK373" s="221" t="s">
        <v>889</v>
      </c>
    </row>
    <row r="374" spans="1:37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96"/>
        <v>186600.3</v>
      </c>
      <c r="O374" s="66">
        <f t="shared" si="196"/>
        <v>192368.27</v>
      </c>
      <c r="P374" s="69">
        <f t="shared" si="167"/>
        <v>62200.1</v>
      </c>
      <c r="Q374" s="69">
        <f t="shared" si="167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>ROUND(69146, 0)</f>
        <v>69146</v>
      </c>
      <c r="AG374" s="66">
        <f>ROUND(69146, 0)</f>
        <v>69146</v>
      </c>
      <c r="AH374" s="66">
        <f>ROUND(69146, 0)</f>
        <v>69146</v>
      </c>
      <c r="AI374" s="66">
        <f>ROUND(69146, 0)</f>
        <v>69146</v>
      </c>
      <c r="AK374" s="221" t="s">
        <v>891</v>
      </c>
    </row>
    <row r="375" spans="1:37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96"/>
        <v>1242428.6000000001</v>
      </c>
      <c r="O375" s="66">
        <f t="shared" si="196"/>
        <v>1421274.67</v>
      </c>
      <c r="P375" s="69">
        <f t="shared" si="167"/>
        <v>414142.8666666667</v>
      </c>
      <c r="Q375" s="69">
        <f t="shared" si="167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>ROUND(485404.9, 0)</f>
        <v>485405</v>
      </c>
      <c r="AG375" s="66">
        <f>ROUND(485404.9, 0)</f>
        <v>485405</v>
      </c>
      <c r="AH375" s="66">
        <f>ROUND(485404.9, 0)</f>
        <v>485405</v>
      </c>
      <c r="AI375" s="66">
        <f>ROUND(485404.9, 0)</f>
        <v>485405</v>
      </c>
      <c r="AK375" s="221" t="s">
        <v>890</v>
      </c>
    </row>
    <row r="376" spans="1:37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197">ROUND(SUM(H372:H375),5)</f>
        <v>1912297.24</v>
      </c>
      <c r="I376" s="75">
        <f t="shared" si="197"/>
        <v>2105179.7200000002</v>
      </c>
      <c r="J376" s="76">
        <f t="shared" si="197"/>
        <v>2104075.4500000002</v>
      </c>
      <c r="K376" s="76">
        <f t="shared" si="197"/>
        <v>2112580.67</v>
      </c>
      <c r="L376" s="77">
        <f t="shared" si="197"/>
        <v>2149347.75</v>
      </c>
      <c r="M376" s="77">
        <f t="shared" si="197"/>
        <v>2205089.19</v>
      </c>
      <c r="N376" s="78">
        <f t="shared" si="196"/>
        <v>6165720.4400000004</v>
      </c>
      <c r="O376" s="78">
        <f t="shared" si="196"/>
        <v>6422849.5800000001</v>
      </c>
      <c r="P376" s="79">
        <f t="shared" si="167"/>
        <v>2055240.1466666667</v>
      </c>
      <c r="Q376" s="79">
        <f t="shared" si="167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 t="shared" ref="AB376:AH376" si="198">ROUND(SUM(AB372:AB375),5)</f>
        <v>2291617</v>
      </c>
      <c r="AC376" s="80">
        <f t="shared" si="198"/>
        <v>2252385</v>
      </c>
      <c r="AD376" s="80">
        <f t="shared" si="198"/>
        <v>2252385</v>
      </c>
      <c r="AE376" s="80">
        <f t="shared" si="198"/>
        <v>2252385</v>
      </c>
      <c r="AF376" s="80">
        <f t="shared" si="198"/>
        <v>2283201</v>
      </c>
      <c r="AG376" s="80">
        <f t="shared" si="198"/>
        <v>2283201</v>
      </c>
      <c r="AH376" s="80">
        <f t="shared" si="198"/>
        <v>2283201</v>
      </c>
      <c r="AI376" s="80">
        <f t="shared" ref="AI376" si="199">ROUND(SUM(AI372:AI375),5)</f>
        <v>2283201</v>
      </c>
      <c r="AK376" s="223">
        <f>AG376/AG220</f>
        <v>0.4077895412530414</v>
      </c>
    </row>
    <row r="377" spans="1:37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F377" s="66"/>
      <c r="AG377" s="66"/>
      <c r="AH377" s="66"/>
      <c r="AI377" s="66"/>
      <c r="AK377" s="188"/>
    </row>
    <row r="378" spans="1:37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  <c r="AF378" s="66"/>
      <c r="AG378" s="66"/>
      <c r="AH378" s="66"/>
      <c r="AI378" s="66"/>
    </row>
    <row r="379" spans="1:37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200">ROUND(H379+J379+L379,5)</f>
        <v>4046.28</v>
      </c>
      <c r="O379" s="66">
        <f t="shared" si="200"/>
        <v>3800</v>
      </c>
      <c r="P379" s="69">
        <f t="shared" si="167"/>
        <v>1348.76</v>
      </c>
      <c r="Q379" s="69">
        <f t="shared" si="167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G379" s="66">
        <v>1200</v>
      </c>
      <c r="AH379" s="66">
        <v>1200</v>
      </c>
      <c r="AI379" s="66">
        <v>1200</v>
      </c>
      <c r="AJ379" s="173"/>
      <c r="AK379" s="173"/>
    </row>
    <row r="380" spans="1:37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200"/>
        <v>614951.03</v>
      </c>
      <c r="O380" s="66">
        <f t="shared" si="200"/>
        <v>486000</v>
      </c>
      <c r="P380" s="69">
        <f t="shared" si="167"/>
        <v>204983.67666666667</v>
      </c>
      <c r="Q380" s="69">
        <f t="shared" si="167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G380" s="66">
        <v>190000</v>
      </c>
      <c r="AH380" s="66">
        <v>190000</v>
      </c>
      <c r="AI380" s="66">
        <v>190000</v>
      </c>
      <c r="AJ380" s="173"/>
      <c r="AK380" s="173"/>
    </row>
    <row r="381" spans="1:37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200"/>
        <v>8559.83</v>
      </c>
      <c r="O381" s="66">
        <f t="shared" si="200"/>
        <v>12510</v>
      </c>
      <c r="P381" s="69">
        <f t="shared" si="167"/>
        <v>2853.2766666666666</v>
      </c>
      <c r="Q381" s="69">
        <f t="shared" si="167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G381" s="66">
        <v>4760</v>
      </c>
      <c r="AH381" s="66">
        <v>4760</v>
      </c>
      <c r="AI381" s="66">
        <v>4760</v>
      </c>
      <c r="AJ381" s="173"/>
      <c r="AK381" s="173"/>
    </row>
    <row r="382" spans="1:37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200"/>
        <v>309582.38</v>
      </c>
      <c r="O382" s="66">
        <f t="shared" si="200"/>
        <v>255250</v>
      </c>
      <c r="P382" s="69">
        <f t="shared" si="167"/>
        <v>103194.12666666666</v>
      </c>
      <c r="Q382" s="69">
        <f t="shared" si="167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G382" s="66">
        <v>78000</v>
      </c>
      <c r="AH382" s="66">
        <v>78000</v>
      </c>
      <c r="AI382" s="66">
        <v>78000</v>
      </c>
      <c r="AJ382" s="173"/>
      <c r="AK382" s="173"/>
    </row>
    <row r="383" spans="1:37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200"/>
        <v>0</v>
      </c>
      <c r="O383" s="66">
        <v>0</v>
      </c>
      <c r="P383" s="69">
        <f t="shared" si="167"/>
        <v>0</v>
      </c>
      <c r="Q383" s="69">
        <f t="shared" si="167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66">
        <v>0</v>
      </c>
      <c r="AI383" s="66">
        <v>0</v>
      </c>
      <c r="AJ383" s="173"/>
      <c r="AK383" s="173"/>
    </row>
    <row r="384" spans="1:37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200"/>
        <v>563757.04</v>
      </c>
      <c r="O384" s="66">
        <f t="shared" si="200"/>
        <v>385395</v>
      </c>
      <c r="P384" s="69">
        <f t="shared" si="167"/>
        <v>187919.01333333334</v>
      </c>
      <c r="Q384" s="69">
        <f t="shared" si="167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G384" s="66">
        <v>177320</v>
      </c>
      <c r="AH384" s="66">
        <v>177320</v>
      </c>
      <c r="AI384" s="66">
        <v>177320</v>
      </c>
      <c r="AK384" s="224" t="s">
        <v>991</v>
      </c>
    </row>
    <row r="385" spans="1:37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200"/>
        <v>1218</v>
      </c>
      <c r="O385" s="66">
        <f t="shared" si="200"/>
        <v>18000</v>
      </c>
      <c r="P385" s="69">
        <f t="shared" si="167"/>
        <v>406</v>
      </c>
      <c r="Q385" s="69">
        <f t="shared" si="167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G385" s="66">
        <v>7500</v>
      </c>
      <c r="AH385" s="66">
        <v>7500</v>
      </c>
      <c r="AI385" s="66">
        <v>7500</v>
      </c>
      <c r="AJ385" s="173"/>
      <c r="AK385" s="173"/>
    </row>
    <row r="386" spans="1:37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140"/>
      <c r="AB386" s="82"/>
      <c r="AC386" s="82"/>
      <c r="AD386" s="82"/>
      <c r="AE386" s="82"/>
      <c r="AF386" s="66"/>
      <c r="AG386" s="66"/>
      <c r="AH386" s="66"/>
      <c r="AI386" s="66"/>
      <c r="AJ386" s="173"/>
      <c r="AK386" s="173"/>
    </row>
    <row r="387" spans="1:37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200"/>
        <v>3483</v>
      </c>
      <c r="O387" s="66">
        <f t="shared" si="200"/>
        <v>13000</v>
      </c>
      <c r="P387" s="69">
        <f t="shared" si="167"/>
        <v>1161</v>
      </c>
      <c r="Q387" s="69">
        <f t="shared" si="167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G387" s="66">
        <v>20000</v>
      </c>
      <c r="AH387" s="66">
        <v>20000</v>
      </c>
      <c r="AI387" s="66">
        <v>20000</v>
      </c>
      <c r="AJ387" s="173"/>
      <c r="AK387" s="173"/>
    </row>
    <row r="388" spans="1:37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200"/>
        <v>2892.1</v>
      </c>
      <c r="O388" s="66">
        <f t="shared" si="200"/>
        <v>18250</v>
      </c>
      <c r="P388" s="69">
        <f t="shared" ref="P388:Q450" si="201">N388/3</f>
        <v>964.0333333333333</v>
      </c>
      <c r="Q388" s="69">
        <f t="shared" si="201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G388" s="66">
        <v>12000</v>
      </c>
      <c r="AH388" s="66">
        <v>12000</v>
      </c>
      <c r="AI388" s="66">
        <v>12000</v>
      </c>
      <c r="AJ388" s="173"/>
      <c r="AK388" s="173"/>
    </row>
    <row r="389" spans="1:37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200"/>
        <v>59350</v>
      </c>
      <c r="O389" s="66">
        <f t="shared" si="200"/>
        <v>38500</v>
      </c>
      <c r="P389" s="69">
        <f t="shared" si="201"/>
        <v>19783.333333333332</v>
      </c>
      <c r="Q389" s="69">
        <f t="shared" si="201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G389" s="66">
        <v>20925</v>
      </c>
      <c r="AH389" s="66">
        <v>20925</v>
      </c>
      <c r="AI389" s="66">
        <v>20925</v>
      </c>
      <c r="AJ389" s="173"/>
      <c r="AK389" s="147"/>
    </row>
    <row r="390" spans="1:37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200"/>
        <v>123607.99</v>
      </c>
      <c r="O390" s="66">
        <f t="shared" si="200"/>
        <v>94000</v>
      </c>
      <c r="P390" s="69">
        <f t="shared" si="201"/>
        <v>41202.663333333338</v>
      </c>
      <c r="Q390" s="69">
        <f t="shared" si="201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G390" s="66">
        <v>32000</v>
      </c>
      <c r="AH390" s="66">
        <v>32000</v>
      </c>
      <c r="AI390" s="66">
        <v>32000</v>
      </c>
      <c r="AJ390" s="173"/>
      <c r="AK390" s="173"/>
    </row>
    <row r="391" spans="1:37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200"/>
        <v>1886.2</v>
      </c>
      <c r="O391" s="66">
        <f t="shared" si="200"/>
        <v>3000</v>
      </c>
      <c r="P391" s="69">
        <f t="shared" si="201"/>
        <v>628.73333333333335</v>
      </c>
      <c r="Q391" s="69">
        <f t="shared" si="201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1000</v>
      </c>
      <c r="AH391" s="66">
        <v>1000</v>
      </c>
      <c r="AI391" s="66">
        <v>1000</v>
      </c>
      <c r="AJ391" s="173"/>
      <c r="AK391" s="173"/>
    </row>
    <row r="392" spans="1:37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200"/>
        <v>103295.59</v>
      </c>
      <c r="O392" s="66">
        <f t="shared" si="200"/>
        <v>55000</v>
      </c>
      <c r="P392" s="69">
        <f t="shared" si="201"/>
        <v>34431.863333333335</v>
      </c>
      <c r="Q392" s="69">
        <f t="shared" si="201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G392" s="66">
        <v>25000</v>
      </c>
      <c r="AH392" s="66">
        <v>25000</v>
      </c>
      <c r="AI392" s="66">
        <v>25000</v>
      </c>
      <c r="AJ392" s="173"/>
      <c r="AK392" s="173"/>
    </row>
    <row r="393" spans="1:37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200"/>
        <v>35000</v>
      </c>
      <c r="O393" s="66">
        <f t="shared" si="200"/>
        <v>35000</v>
      </c>
      <c r="P393" s="69">
        <f t="shared" si="201"/>
        <v>11666.666666666666</v>
      </c>
      <c r="Q393" s="69">
        <f t="shared" si="201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G393" s="66">
        <v>15000</v>
      </c>
      <c r="AH393" s="66">
        <v>15000</v>
      </c>
      <c r="AI393" s="66">
        <v>15000</v>
      </c>
      <c r="AJ393" s="173"/>
      <c r="AK393" s="173"/>
    </row>
    <row r="394" spans="1:37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200"/>
        <v>37071.82</v>
      </c>
      <c r="O394" s="66">
        <f t="shared" si="200"/>
        <v>21012</v>
      </c>
      <c r="P394" s="69">
        <f t="shared" si="201"/>
        <v>12357.273333333333</v>
      </c>
      <c r="Q394" s="69">
        <f t="shared" si="201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G394" s="66">
        <v>7616</v>
      </c>
      <c r="AH394" s="66">
        <v>7616</v>
      </c>
      <c r="AI394" s="66">
        <v>7616</v>
      </c>
      <c r="AJ394" s="173"/>
      <c r="AK394" s="173"/>
    </row>
    <row r="395" spans="1:37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202">ROUND(H395+J395+L395,5)</f>
        <v>8975</v>
      </c>
      <c r="O395" s="66">
        <f t="shared" si="202"/>
        <v>9000</v>
      </c>
      <c r="P395" s="69">
        <f t="shared" si="201"/>
        <v>2991.6666666666665</v>
      </c>
      <c r="Q395" s="69">
        <f t="shared" si="201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G395" s="66">
        <v>3000</v>
      </c>
      <c r="AH395" s="66">
        <v>3000</v>
      </c>
      <c r="AI395" s="66">
        <v>3000</v>
      </c>
      <c r="AJ395" s="173"/>
      <c r="AK395" s="173"/>
    </row>
    <row r="396" spans="1:37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202"/>
        <v>52589.599999999999</v>
      </c>
      <c r="O396" s="66">
        <f t="shared" si="202"/>
        <v>30000</v>
      </c>
      <c r="P396" s="69">
        <f t="shared" si="201"/>
        <v>17529.866666666665</v>
      </c>
      <c r="Q396" s="69">
        <f t="shared" si="201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G396" s="66">
        <v>10000</v>
      </c>
      <c r="AH396" s="66">
        <v>10000</v>
      </c>
      <c r="AI396" s="66">
        <v>10000</v>
      </c>
      <c r="AJ396" s="173"/>
      <c r="AK396" s="173"/>
    </row>
    <row r="397" spans="1:37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202"/>
        <v>7521.01</v>
      </c>
      <c r="O397" s="66">
        <f t="shared" si="202"/>
        <v>33000</v>
      </c>
      <c r="P397" s="69">
        <f t="shared" si="201"/>
        <v>2507.0033333333336</v>
      </c>
      <c r="Q397" s="69">
        <f t="shared" si="201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G397" s="66">
        <v>10000</v>
      </c>
      <c r="AH397" s="66">
        <v>10000</v>
      </c>
      <c r="AI397" s="66">
        <v>10000</v>
      </c>
      <c r="AJ397" s="173"/>
      <c r="AK397" s="173"/>
    </row>
    <row r="398" spans="1:37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202"/>
        <v>0</v>
      </c>
      <c r="O398" s="66">
        <f t="shared" si="202"/>
        <v>600</v>
      </c>
      <c r="P398" s="69">
        <f t="shared" si="201"/>
        <v>0</v>
      </c>
      <c r="Q398" s="69">
        <f t="shared" si="201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66">
        <v>0</v>
      </c>
      <c r="AI398" s="66">
        <v>0</v>
      </c>
      <c r="AJ398" s="173"/>
      <c r="AK398" s="173"/>
    </row>
    <row r="399" spans="1:37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202"/>
        <v>0</v>
      </c>
      <c r="O399" s="66">
        <f t="shared" si="202"/>
        <v>2000</v>
      </c>
      <c r="P399" s="69">
        <f t="shared" si="201"/>
        <v>0</v>
      </c>
      <c r="Q399" s="69">
        <f t="shared" si="201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3000</v>
      </c>
      <c r="AH399" s="66">
        <v>3000</v>
      </c>
      <c r="AI399" s="66">
        <v>3000</v>
      </c>
      <c r="AJ399" s="173"/>
      <c r="AK399" s="173"/>
    </row>
    <row r="400" spans="1:37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202"/>
        <v>17586.919999999998</v>
      </c>
      <c r="O400" s="66">
        <f t="shared" si="202"/>
        <v>14000</v>
      </c>
      <c r="P400" s="69">
        <f t="shared" si="201"/>
        <v>5862.3066666666664</v>
      </c>
      <c r="Q400" s="69">
        <f t="shared" si="201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G400" s="66">
        <v>5000</v>
      </c>
      <c r="AH400" s="66">
        <v>5000</v>
      </c>
      <c r="AI400" s="66">
        <v>5000</v>
      </c>
      <c r="AJ400" s="173"/>
      <c r="AK400" s="173"/>
    </row>
    <row r="401" spans="1:37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202"/>
        <v>263874.56</v>
      </c>
      <c r="O401" s="66">
        <f t="shared" si="202"/>
        <v>238680</v>
      </c>
      <c r="P401" s="69">
        <f t="shared" si="201"/>
        <v>87958.186666666661</v>
      </c>
      <c r="Q401" s="69">
        <f t="shared" si="201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G401" s="66">
        <v>73120</v>
      </c>
      <c r="AH401" s="66">
        <v>73120</v>
      </c>
      <c r="AI401" s="66">
        <v>73120</v>
      </c>
      <c r="AJ401" s="173"/>
      <c r="AK401" s="173"/>
    </row>
    <row r="402" spans="1:37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202"/>
        <v>40633.14</v>
      </c>
      <c r="O402" s="66">
        <f t="shared" si="202"/>
        <v>30000</v>
      </c>
      <c r="P402" s="69">
        <f t="shared" si="201"/>
        <v>13544.38</v>
      </c>
      <c r="Q402" s="69">
        <f t="shared" si="201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G402" s="66">
        <f>ROUND(-82882.1+10000-1000, 0)</f>
        <v>-73882</v>
      </c>
      <c r="AH402" s="66">
        <f>ROUND(-82882.1+10000-1000, 0)</f>
        <v>-73882</v>
      </c>
      <c r="AI402" s="66">
        <f>ROUND(-82882.1+10000-1000, 0)</f>
        <v>-73882</v>
      </c>
      <c r="AJ402" s="173"/>
      <c r="AK402" s="173"/>
    </row>
    <row r="403" spans="1:37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G403" s="66">
        <v>7000</v>
      </c>
      <c r="AH403" s="66">
        <v>7000</v>
      </c>
      <c r="AI403" s="66">
        <v>7000</v>
      </c>
      <c r="AJ403" s="173"/>
      <c r="AK403" s="173"/>
    </row>
    <row r="404" spans="1:37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201"/>
        <v>6954.9000000000005</v>
      </c>
      <c r="Q404" s="74">
        <f t="shared" si="201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66">
        <v>0</v>
      </c>
      <c r="AI404" s="66">
        <v>0</v>
      </c>
      <c r="AJ404" s="173"/>
      <c r="AK404" s="173"/>
    </row>
    <row r="405" spans="1:37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203">ROUND(SUM(H403:H404),5)</f>
        <v>4300</v>
      </c>
      <c r="I405" s="63">
        <f t="shared" si="203"/>
        <v>5000</v>
      </c>
      <c r="J405" s="64">
        <f t="shared" si="203"/>
        <v>13564.7</v>
      </c>
      <c r="K405" s="64">
        <f t="shared" si="203"/>
        <v>5000</v>
      </c>
      <c r="L405" s="65">
        <f t="shared" si="203"/>
        <v>3000</v>
      </c>
      <c r="M405" s="65">
        <f t="shared" si="203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201"/>
        <v>6954.9000000000005</v>
      </c>
      <c r="Q405" s="69">
        <f t="shared" si="201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F405" s="66"/>
      <c r="AG405" s="66"/>
      <c r="AH405" s="66"/>
      <c r="AI405" s="66"/>
      <c r="AJ405" s="173"/>
      <c r="AK405" s="173"/>
    </row>
    <row r="406" spans="1:37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204">ROUND(H406+J406+L406,5)</f>
        <v>105788.02</v>
      </c>
      <c r="O406" s="66"/>
      <c r="P406" s="69">
        <f t="shared" si="201"/>
        <v>35262.673333333332</v>
      </c>
      <c r="Q406" s="69">
        <f t="shared" si="201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F406" s="66"/>
      <c r="AG406" s="66"/>
      <c r="AH406" s="66"/>
      <c r="AI406" s="66"/>
      <c r="AJ406" s="173"/>
      <c r="AK406" s="173"/>
    </row>
    <row r="407" spans="1:37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204"/>
        <v>27888.79</v>
      </c>
      <c r="O407" s="66">
        <f t="shared" si="204"/>
        <v>14500</v>
      </c>
      <c r="P407" s="69">
        <f t="shared" si="201"/>
        <v>9296.2633333333342</v>
      </c>
      <c r="Q407" s="69">
        <f t="shared" si="201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G407" s="66">
        <v>6000</v>
      </c>
      <c r="AH407" s="66">
        <v>6000</v>
      </c>
      <c r="AI407" s="66">
        <v>6000</v>
      </c>
      <c r="AJ407" s="173"/>
      <c r="AK407" s="173"/>
    </row>
    <row r="408" spans="1:37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204"/>
        <v>1953.33</v>
      </c>
      <c r="O408" s="66">
        <f t="shared" si="204"/>
        <v>6000</v>
      </c>
      <c r="P408" s="69">
        <f t="shared" si="201"/>
        <v>651.11</v>
      </c>
      <c r="Q408" s="69">
        <f t="shared" si="201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G408" s="66">
        <v>2000</v>
      </c>
      <c r="AH408" s="66">
        <v>2000</v>
      </c>
      <c r="AI408" s="66">
        <v>2000</v>
      </c>
      <c r="AJ408" s="173"/>
      <c r="AK408" s="173"/>
    </row>
    <row r="409" spans="1:37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204"/>
        <v>30325</v>
      </c>
      <c r="O409" s="66">
        <f t="shared" si="204"/>
        <v>48125</v>
      </c>
      <c r="P409" s="69">
        <f t="shared" si="201"/>
        <v>10108.333333333334</v>
      </c>
      <c r="Q409" s="69">
        <f t="shared" si="201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G409" s="66">
        <v>10125</v>
      </c>
      <c r="AH409" s="66">
        <v>10125</v>
      </c>
      <c r="AI409" s="66">
        <v>10125</v>
      </c>
      <c r="AJ409" s="173"/>
      <c r="AK409" s="147"/>
    </row>
    <row r="410" spans="1:37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204"/>
        <v>27786.38</v>
      </c>
      <c r="O410" s="66">
        <f t="shared" si="204"/>
        <v>28000</v>
      </c>
      <c r="P410" s="69">
        <f t="shared" si="201"/>
        <v>9262.126666666667</v>
      </c>
      <c r="Q410" s="69">
        <f t="shared" si="201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G410" s="66">
        <v>10000</v>
      </c>
      <c r="AH410" s="66">
        <v>10000</v>
      </c>
      <c r="AI410" s="66">
        <v>10000</v>
      </c>
      <c r="AJ410" s="173"/>
      <c r="AK410" s="173"/>
    </row>
    <row r="411" spans="1:37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204"/>
        <v>26434.84</v>
      </c>
      <c r="O411" s="66">
        <f t="shared" si="204"/>
        <v>22000</v>
      </c>
      <c r="P411" s="69">
        <f t="shared" si="201"/>
        <v>8811.6133333333328</v>
      </c>
      <c r="Q411" s="69">
        <f t="shared" si="201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G411" s="66">
        <v>8000</v>
      </c>
      <c r="AH411" s="66">
        <v>8000</v>
      </c>
      <c r="AI411" s="66">
        <v>8000</v>
      </c>
      <c r="AJ411" s="173"/>
      <c r="AK411" s="173"/>
    </row>
    <row r="412" spans="1:37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204"/>
        <v>345.05</v>
      </c>
      <c r="O412" s="66">
        <f t="shared" si="204"/>
        <v>5000</v>
      </c>
      <c r="P412" s="69">
        <f t="shared" si="201"/>
        <v>115.01666666666667</v>
      </c>
      <c r="Q412" s="69">
        <f t="shared" si="201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G412" s="66">
        <v>2000</v>
      </c>
      <c r="AH412" s="66">
        <v>2000</v>
      </c>
      <c r="AI412" s="66">
        <v>2000</v>
      </c>
      <c r="AJ412" s="173"/>
      <c r="AK412" s="173"/>
    </row>
    <row r="413" spans="1:37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204"/>
        <v>3188.14</v>
      </c>
      <c r="O413" s="66">
        <v>0</v>
      </c>
      <c r="P413" s="69">
        <f t="shared" si="201"/>
        <v>1062.7133333333334</v>
      </c>
      <c r="Q413" s="69">
        <f t="shared" si="201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66">
        <v>0</v>
      </c>
      <c r="AI413" s="66">
        <v>0</v>
      </c>
      <c r="AJ413" s="173"/>
      <c r="AK413" s="173"/>
    </row>
    <row r="414" spans="1:37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204"/>
        <v>15583.87</v>
      </c>
      <c r="O414" s="66">
        <f t="shared" si="204"/>
        <v>20000</v>
      </c>
      <c r="P414" s="69">
        <f t="shared" si="201"/>
        <v>5194.6233333333339</v>
      </c>
      <c r="Q414" s="69">
        <f t="shared" si="201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G414" s="66">
        <v>5000</v>
      </c>
      <c r="AH414" s="66">
        <v>5000</v>
      </c>
      <c r="AI414" s="66">
        <v>5000</v>
      </c>
      <c r="AJ414" s="173"/>
      <c r="AK414" s="173"/>
    </row>
    <row r="415" spans="1:37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204"/>
        <v>4107.4799999999996</v>
      </c>
      <c r="O415" s="66">
        <f t="shared" si="204"/>
        <v>8000</v>
      </c>
      <c r="P415" s="69">
        <f t="shared" si="201"/>
        <v>1369.1599999999999</v>
      </c>
      <c r="Q415" s="69">
        <f t="shared" si="201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G415" s="66">
        <v>2000</v>
      </c>
      <c r="AH415" s="66">
        <v>2000</v>
      </c>
      <c r="AI415" s="66">
        <v>2000</v>
      </c>
      <c r="AJ415" s="173"/>
      <c r="AK415" s="173"/>
    </row>
    <row r="416" spans="1:37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204"/>
        <v>10387.33</v>
      </c>
      <c r="O416" s="66">
        <f t="shared" si="204"/>
        <v>11000</v>
      </c>
      <c r="P416" s="69">
        <f t="shared" si="201"/>
        <v>3462.4433333333332</v>
      </c>
      <c r="Q416" s="69">
        <f t="shared" si="201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G416" s="66">
        <v>4000</v>
      </c>
      <c r="AH416" s="66">
        <v>4000</v>
      </c>
      <c r="AI416" s="66">
        <v>4000</v>
      </c>
      <c r="AJ416" s="173"/>
      <c r="AK416" s="173"/>
    </row>
    <row r="417" spans="1:42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204"/>
        <v>123299.08</v>
      </c>
      <c r="O417" s="66">
        <f t="shared" si="204"/>
        <v>180000</v>
      </c>
      <c r="P417" s="69">
        <f t="shared" si="201"/>
        <v>41099.693333333336</v>
      </c>
      <c r="Q417" s="69">
        <f t="shared" si="201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G417" s="66">
        <v>60000</v>
      </c>
      <c r="AH417" s="66">
        <v>60000</v>
      </c>
      <c r="AI417" s="66">
        <v>60000</v>
      </c>
      <c r="AJ417" s="173"/>
      <c r="AK417" s="173"/>
    </row>
    <row r="418" spans="1:42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204"/>
        <v>53539.32</v>
      </c>
      <c r="O418" s="66">
        <f t="shared" si="204"/>
        <v>120000</v>
      </c>
      <c r="P418" s="69">
        <f t="shared" si="201"/>
        <v>17846.439999999999</v>
      </c>
      <c r="Q418" s="69">
        <f t="shared" si="201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G418" s="66">
        <v>35000</v>
      </c>
      <c r="AH418" s="66">
        <v>35000</v>
      </c>
      <c r="AI418" s="66">
        <v>35000</v>
      </c>
      <c r="AJ418" s="173"/>
      <c r="AK418" s="173"/>
    </row>
    <row r="419" spans="1:42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204"/>
        <v>81778</v>
      </c>
      <c r="O419" s="66">
        <f t="shared" si="204"/>
        <v>99652</v>
      </c>
      <c r="P419" s="69">
        <f t="shared" si="201"/>
        <v>27259.333333333332</v>
      </c>
      <c r="Q419" s="69">
        <f t="shared" si="201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G419" s="66">
        <v>35520</v>
      </c>
      <c r="AH419" s="66">
        <v>35520</v>
      </c>
      <c r="AI419" s="66">
        <v>35520</v>
      </c>
      <c r="AJ419" s="173"/>
      <c r="AK419" s="173"/>
    </row>
    <row r="420" spans="1:42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204"/>
        <v>148630.20000000001</v>
      </c>
      <c r="O420" s="66">
        <f t="shared" si="204"/>
        <v>100000</v>
      </c>
      <c r="P420" s="69">
        <f t="shared" si="201"/>
        <v>49543.4</v>
      </c>
      <c r="Q420" s="69">
        <f t="shared" si="201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G420" s="66">
        <v>40000</v>
      </c>
      <c r="AH420" s="66">
        <v>40000</v>
      </c>
      <c r="AI420" s="66">
        <v>40000</v>
      </c>
      <c r="AJ420" s="173"/>
      <c r="AK420" s="173"/>
    </row>
    <row r="421" spans="1:42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204"/>
        <v>1435.5</v>
      </c>
      <c r="O421" s="66">
        <f t="shared" si="204"/>
        <v>10500</v>
      </c>
      <c r="P421" s="69">
        <f t="shared" si="201"/>
        <v>478.5</v>
      </c>
      <c r="Q421" s="69">
        <f t="shared" si="201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0</v>
      </c>
      <c r="AI421" s="66">
        <v>0</v>
      </c>
      <c r="AJ421" s="173"/>
      <c r="AK421" s="173"/>
    </row>
    <row r="422" spans="1:42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204"/>
        <v>32871.629999999997</v>
      </c>
      <c r="O422" s="66">
        <f t="shared" si="204"/>
        <v>58400</v>
      </c>
      <c r="P422" s="69">
        <f t="shared" si="201"/>
        <v>10957.21</v>
      </c>
      <c r="Q422" s="69">
        <f t="shared" si="201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G422" s="66">
        <v>21000</v>
      </c>
      <c r="AH422" s="66">
        <v>21000</v>
      </c>
      <c r="AI422" s="66">
        <v>21000</v>
      </c>
      <c r="AJ422" s="173"/>
    </row>
    <row r="423" spans="1:42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205">ROUND(SUM(H378:H402)+SUM(H405:H422),5)</f>
        <v>971394.67</v>
      </c>
      <c r="I423" s="75">
        <f t="shared" si="205"/>
        <v>759280</v>
      </c>
      <c r="J423" s="76">
        <f t="shared" si="205"/>
        <v>1081537.1200000001</v>
      </c>
      <c r="K423" s="76">
        <f t="shared" si="205"/>
        <v>896198</v>
      </c>
      <c r="L423" s="77">
        <f t="shared" si="205"/>
        <v>923156.36</v>
      </c>
      <c r="M423" s="77">
        <f t="shared" si="205"/>
        <v>887696</v>
      </c>
      <c r="N423" s="78">
        <f t="shared" si="204"/>
        <v>2976088.15</v>
      </c>
      <c r="O423" s="78">
        <f t="shared" si="204"/>
        <v>2543174</v>
      </c>
      <c r="P423" s="79">
        <f t="shared" si="201"/>
        <v>992029.3833333333</v>
      </c>
      <c r="Q423" s="79">
        <f t="shared" si="201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 t="shared" ref="AB423:AH423" si="206">ROUND(SUM(AB378:AB422),5)</f>
        <v>904046</v>
      </c>
      <c r="AC423" s="80">
        <f t="shared" si="206"/>
        <v>904046</v>
      </c>
      <c r="AD423" s="80">
        <f t="shared" si="206"/>
        <v>904046</v>
      </c>
      <c r="AE423" s="80">
        <f t="shared" si="206"/>
        <v>904046</v>
      </c>
      <c r="AF423" s="80">
        <f t="shared" si="206"/>
        <v>862453.9</v>
      </c>
      <c r="AG423" s="80">
        <f t="shared" si="206"/>
        <v>870204</v>
      </c>
      <c r="AH423" s="80">
        <f t="shared" si="206"/>
        <v>870204</v>
      </c>
      <c r="AI423" s="80">
        <f t="shared" ref="AI423" si="207">ROUND(SUM(AI378:AI422),5)</f>
        <v>870204</v>
      </c>
      <c r="AJ423" s="173"/>
      <c r="AK423" s="213" t="s">
        <v>952</v>
      </c>
    </row>
    <row r="424" spans="1:42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F424" s="66"/>
      <c r="AG424" s="66"/>
      <c r="AH424" s="66"/>
      <c r="AI424" s="66"/>
      <c r="AJ424" s="173"/>
      <c r="AK424" s="222">
        <f>AG215-AG423</f>
        <v>5796</v>
      </c>
    </row>
    <row r="425" spans="1:42" ht="16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201"/>
        <v>3054.66</v>
      </c>
      <c r="Q425" s="69">
        <f t="shared" si="201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18750</v>
      </c>
      <c r="AH425" s="66">
        <v>18750</v>
      </c>
      <c r="AI425" s="66">
        <v>18750</v>
      </c>
      <c r="AJ425" s="206" t="s">
        <v>1000</v>
      </c>
      <c r="AK425" s="213" t="s">
        <v>974</v>
      </c>
    </row>
    <row r="426" spans="1:42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201"/>
        <v>1456.0866666666668</v>
      </c>
      <c r="Q426" s="69">
        <f t="shared" si="201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  <c r="AH426" s="66">
        <v>0</v>
      </c>
      <c r="AI426" s="66">
        <v>0</v>
      </c>
    </row>
    <row r="427" spans="1:42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201"/>
        <v>4510.7466666666669</v>
      </c>
      <c r="Q427" s="87">
        <f t="shared" si="201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 t="shared" ref="AB427:AH427" si="208">ROUND(SUM(AB424:AB426),5)</f>
        <v>0</v>
      </c>
      <c r="AC427" s="88">
        <f t="shared" si="208"/>
        <v>0</v>
      </c>
      <c r="AD427" s="88">
        <f t="shared" si="208"/>
        <v>0</v>
      </c>
      <c r="AE427" s="88">
        <f t="shared" si="208"/>
        <v>0</v>
      </c>
      <c r="AF427" s="88">
        <f t="shared" si="208"/>
        <v>0</v>
      </c>
      <c r="AG427" s="88">
        <f t="shared" si="208"/>
        <v>18750</v>
      </c>
      <c r="AH427" s="88">
        <f t="shared" si="208"/>
        <v>18750</v>
      </c>
      <c r="AI427" s="88">
        <f t="shared" ref="AI427" si="209">ROUND(SUM(AI424:AI426),5)</f>
        <v>18750</v>
      </c>
    </row>
    <row r="428" spans="1:42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210">ROUND(H377+H423+H427,5)</f>
        <v>971394.67</v>
      </c>
      <c r="I428" s="63">
        <f t="shared" si="210"/>
        <v>759280</v>
      </c>
      <c r="J428" s="64">
        <f t="shared" si="210"/>
        <v>1094481.01</v>
      </c>
      <c r="K428" s="64">
        <f t="shared" si="210"/>
        <v>896198</v>
      </c>
      <c r="L428" s="65">
        <f t="shared" si="210"/>
        <v>923744.71</v>
      </c>
      <c r="M428" s="65">
        <f t="shared" si="210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201"/>
        <v>996540.13</v>
      </c>
      <c r="Q428" s="69">
        <f t="shared" si="201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 t="shared" ref="AB428:AH428" si="211">ROUND(AB377+AB423+AB427,5)</f>
        <v>904046</v>
      </c>
      <c r="AC428" s="66">
        <f t="shared" si="211"/>
        <v>904046</v>
      </c>
      <c r="AD428" s="66">
        <f t="shared" si="211"/>
        <v>904046</v>
      </c>
      <c r="AE428" s="66">
        <f t="shared" si="211"/>
        <v>904046</v>
      </c>
      <c r="AF428" s="66">
        <f t="shared" si="211"/>
        <v>862453.9</v>
      </c>
      <c r="AG428" s="66">
        <f t="shared" si="211"/>
        <v>888954</v>
      </c>
      <c r="AH428" s="66">
        <f t="shared" si="211"/>
        <v>888954</v>
      </c>
      <c r="AI428" s="66">
        <f t="shared" ref="AI428" si="212">ROUND(AI377+AI423+AI427,5)</f>
        <v>888954</v>
      </c>
    </row>
    <row r="429" spans="1:42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201"/>
        <v>0</v>
      </c>
      <c r="Q429" s="69">
        <f t="shared" si="201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  <c r="AF429" s="66"/>
      <c r="AG429" s="66"/>
      <c r="AH429" s="66"/>
      <c r="AI429" s="66"/>
    </row>
    <row r="430" spans="1:42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201"/>
        <v>0</v>
      </c>
      <c r="Q430" s="69">
        <f t="shared" si="201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F430" s="66"/>
      <c r="AG430" s="66"/>
      <c r="AH430" s="66"/>
      <c r="AI430" s="66"/>
      <c r="AK430" s="182"/>
    </row>
    <row r="431" spans="1:42" ht="16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213">ROUND(H431+J431+L431,5)</f>
        <v>22454.45</v>
      </c>
      <c r="O431" s="66">
        <f t="shared" si="213"/>
        <v>22500</v>
      </c>
      <c r="P431" s="69">
        <f t="shared" si="201"/>
        <v>7484.8166666666666</v>
      </c>
      <c r="Q431" s="69">
        <f t="shared" si="201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v>8862.5</v>
      </c>
      <c r="AD431" s="66">
        <v>8862.5</v>
      </c>
      <c r="AE431" s="66">
        <v>9000</v>
      </c>
      <c r="AF431" s="66">
        <v>9000</v>
      </c>
      <c r="AG431" s="66">
        <v>9000</v>
      </c>
      <c r="AH431" s="66">
        <v>9000</v>
      </c>
      <c r="AI431" s="66">
        <v>9000</v>
      </c>
      <c r="AJ431" s="196" t="s">
        <v>954</v>
      </c>
      <c r="AK431" s="190"/>
      <c r="AL431" s="81"/>
      <c r="AO431" s="131"/>
      <c r="AP431" s="111"/>
    </row>
    <row r="432" spans="1:42" ht="16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213"/>
        <v>13414.87</v>
      </c>
      <c r="O432" s="66">
        <f t="shared" si="213"/>
        <v>22500</v>
      </c>
      <c r="P432" s="69">
        <f t="shared" si="201"/>
        <v>4471.6233333333339</v>
      </c>
      <c r="Q432" s="69">
        <f t="shared" si="201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v>6987.5</v>
      </c>
      <c r="AD432" s="66">
        <v>6987.5</v>
      </c>
      <c r="AE432" s="66">
        <v>9000</v>
      </c>
      <c r="AF432" s="66">
        <v>9000</v>
      </c>
      <c r="AG432" s="66">
        <v>9000</v>
      </c>
      <c r="AH432" s="66">
        <v>9000</v>
      </c>
      <c r="AI432" s="66">
        <v>9000</v>
      </c>
      <c r="AJ432" s="196" t="s">
        <v>954</v>
      </c>
      <c r="AK432" s="190"/>
      <c r="AL432" s="81"/>
      <c r="AO432" s="131"/>
      <c r="AP432" s="111"/>
    </row>
    <row r="433" spans="1:42" ht="16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213"/>
        <v>14590.26</v>
      </c>
      <c r="O433" s="66">
        <f t="shared" si="213"/>
        <v>22500</v>
      </c>
      <c r="P433" s="69">
        <f t="shared" si="201"/>
        <v>4863.42</v>
      </c>
      <c r="Q433" s="69">
        <f t="shared" si="201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v>6675</v>
      </c>
      <c r="AD433" s="66">
        <v>6675</v>
      </c>
      <c r="AE433" s="66">
        <v>9000</v>
      </c>
      <c r="AF433" s="66">
        <v>9000</v>
      </c>
      <c r="AG433" s="66">
        <v>9000</v>
      </c>
      <c r="AH433" s="66">
        <v>9000</v>
      </c>
      <c r="AI433" s="66">
        <v>9000</v>
      </c>
      <c r="AJ433" s="196" t="s">
        <v>954</v>
      </c>
      <c r="AK433" s="190"/>
      <c r="AL433" s="81"/>
      <c r="AO433" s="131"/>
      <c r="AP433" s="111"/>
    </row>
    <row r="434" spans="1:42" ht="16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213"/>
        <v>11509.98</v>
      </c>
      <c r="O434" s="66">
        <f t="shared" si="213"/>
        <v>22500</v>
      </c>
      <c r="P434" s="69">
        <f t="shared" si="201"/>
        <v>3836.66</v>
      </c>
      <c r="Q434" s="69">
        <f t="shared" si="201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v>6987.5</v>
      </c>
      <c r="AD434" s="66">
        <v>6987.5</v>
      </c>
      <c r="AE434" s="66">
        <v>9000</v>
      </c>
      <c r="AF434" s="66">
        <v>9000</v>
      </c>
      <c r="AG434" s="66">
        <v>9000</v>
      </c>
      <c r="AH434" s="66">
        <v>9000</v>
      </c>
      <c r="AI434" s="66">
        <v>9000</v>
      </c>
      <c r="AJ434" s="196" t="s">
        <v>954</v>
      </c>
      <c r="AK434" s="190"/>
      <c r="AL434" s="81"/>
      <c r="AO434" s="131"/>
      <c r="AP434" s="111"/>
    </row>
    <row r="435" spans="1:42" ht="16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213"/>
        <v>19031.37</v>
      </c>
      <c r="O435" s="66">
        <f t="shared" si="213"/>
        <v>22500</v>
      </c>
      <c r="P435" s="69">
        <f t="shared" si="201"/>
        <v>6343.79</v>
      </c>
      <c r="Q435" s="69">
        <f t="shared" si="201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v>7300</v>
      </c>
      <c r="AD435" s="66">
        <v>7300</v>
      </c>
      <c r="AE435" s="66">
        <v>9000</v>
      </c>
      <c r="AF435" s="66">
        <v>9000</v>
      </c>
      <c r="AG435" s="66">
        <v>9000</v>
      </c>
      <c r="AH435" s="66">
        <v>9000</v>
      </c>
      <c r="AI435" s="66">
        <v>9000</v>
      </c>
      <c r="AJ435" s="196" t="s">
        <v>954</v>
      </c>
      <c r="AK435" s="190"/>
      <c r="AL435" s="81"/>
      <c r="AO435" s="131"/>
      <c r="AP435" s="111"/>
    </row>
    <row r="436" spans="1:42" ht="16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213"/>
        <v>19829.439999999999</v>
      </c>
      <c r="O436" s="66">
        <f t="shared" si="213"/>
        <v>22500</v>
      </c>
      <c r="P436" s="69">
        <f t="shared" si="201"/>
        <v>6609.8133333333326</v>
      </c>
      <c r="Q436" s="69">
        <f t="shared" si="201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v>6987.5</v>
      </c>
      <c r="AD436" s="66">
        <v>6987.5</v>
      </c>
      <c r="AE436" s="66">
        <v>9000</v>
      </c>
      <c r="AF436" s="66">
        <v>9000</v>
      </c>
      <c r="AG436" s="66">
        <v>9000</v>
      </c>
      <c r="AH436" s="66">
        <v>9000</v>
      </c>
      <c r="AI436" s="66">
        <v>9000</v>
      </c>
      <c r="AJ436" s="196" t="s">
        <v>954</v>
      </c>
      <c r="AK436" s="190"/>
      <c r="AL436" s="81"/>
      <c r="AO436" s="131"/>
      <c r="AP436" s="111"/>
    </row>
    <row r="437" spans="1:42" ht="16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213"/>
        <v>6373.1</v>
      </c>
      <c r="O437" s="66">
        <f t="shared" si="213"/>
        <v>22500</v>
      </c>
      <c r="P437" s="69">
        <f t="shared" si="201"/>
        <v>2124.3666666666668</v>
      </c>
      <c r="Q437" s="69">
        <f t="shared" si="201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v>6675</v>
      </c>
      <c r="AD437" s="66">
        <v>6675</v>
      </c>
      <c r="AE437" s="66">
        <v>9000</v>
      </c>
      <c r="AF437" s="66">
        <v>9000</v>
      </c>
      <c r="AG437" s="66">
        <v>9000</v>
      </c>
      <c r="AH437" s="66">
        <v>9000</v>
      </c>
      <c r="AI437" s="66">
        <v>9000</v>
      </c>
      <c r="AJ437" s="196" t="s">
        <v>954</v>
      </c>
      <c r="AK437" s="190"/>
      <c r="AL437" s="81"/>
      <c r="AO437" s="131"/>
      <c r="AP437" s="111"/>
    </row>
    <row r="438" spans="1:42" ht="16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213"/>
        <v>18080.3</v>
      </c>
      <c r="O438" s="66">
        <f t="shared" si="213"/>
        <v>22500</v>
      </c>
      <c r="P438" s="69">
        <f t="shared" si="201"/>
        <v>6026.7666666666664</v>
      </c>
      <c r="Q438" s="69">
        <f t="shared" si="201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v>5737.5</v>
      </c>
      <c r="AD438" s="66">
        <v>5737.5</v>
      </c>
      <c r="AE438" s="66">
        <v>9000</v>
      </c>
      <c r="AF438" s="66">
        <v>9000</v>
      </c>
      <c r="AG438" s="66">
        <v>9000</v>
      </c>
      <c r="AH438" s="66">
        <v>9000</v>
      </c>
      <c r="AI438" s="66">
        <v>9000</v>
      </c>
      <c r="AJ438" s="196" t="s">
        <v>954</v>
      </c>
      <c r="AK438" s="190"/>
      <c r="AL438" s="81"/>
      <c r="AO438" s="131"/>
      <c r="AP438" s="111"/>
    </row>
    <row r="439" spans="1:42" ht="16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213"/>
        <v>7603.5</v>
      </c>
      <c r="O439" s="66">
        <f t="shared" si="213"/>
        <v>22500</v>
      </c>
      <c r="P439" s="69">
        <f t="shared" si="201"/>
        <v>2534.5</v>
      </c>
      <c r="Q439" s="69">
        <f t="shared" si="201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v>5737.5</v>
      </c>
      <c r="AD439" s="66">
        <v>5737.5</v>
      </c>
      <c r="AE439" s="66">
        <v>9000</v>
      </c>
      <c r="AF439" s="66">
        <v>9000</v>
      </c>
      <c r="AG439" s="66">
        <v>9000</v>
      </c>
      <c r="AH439" s="66">
        <v>9000</v>
      </c>
      <c r="AI439" s="66">
        <v>9000</v>
      </c>
      <c r="AJ439" s="196" t="s">
        <v>954</v>
      </c>
      <c r="AK439" s="190"/>
      <c r="AL439" s="81"/>
      <c r="AO439" s="131"/>
      <c r="AP439" s="111"/>
    </row>
    <row r="440" spans="1:42" ht="16.5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213"/>
        <v>10711.38</v>
      </c>
      <c r="O440" s="73">
        <f t="shared" si="213"/>
        <v>22500</v>
      </c>
      <c r="P440" s="74">
        <f t="shared" si="201"/>
        <v>3570.4599999999996</v>
      </c>
      <c r="Q440" s="74">
        <f t="shared" si="201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v>6050</v>
      </c>
      <c r="AD440" s="66">
        <v>6050</v>
      </c>
      <c r="AE440" s="66">
        <v>9000</v>
      </c>
      <c r="AF440" s="66">
        <v>9000</v>
      </c>
      <c r="AG440" s="66">
        <v>9000</v>
      </c>
      <c r="AH440" s="66">
        <v>9000</v>
      </c>
      <c r="AI440" s="66">
        <v>9000</v>
      </c>
      <c r="AJ440" s="196" t="s">
        <v>954</v>
      </c>
      <c r="AK440" s="190"/>
      <c r="AL440" s="81"/>
      <c r="AO440" s="131"/>
      <c r="AP440" s="111"/>
    </row>
    <row r="441" spans="1:42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214">ROUND(SUM(H430:H440),5)</f>
        <v>39609.57</v>
      </c>
      <c r="I441" s="63">
        <f t="shared" si="214"/>
        <v>75000</v>
      </c>
      <c r="J441" s="64">
        <f t="shared" si="214"/>
        <v>50436.92</v>
      </c>
      <c r="K441" s="64">
        <f t="shared" si="214"/>
        <v>75000</v>
      </c>
      <c r="L441" s="65">
        <f t="shared" si="214"/>
        <v>53552.160000000003</v>
      </c>
      <c r="M441" s="65">
        <f t="shared" si="214"/>
        <v>75000</v>
      </c>
      <c r="N441" s="66">
        <f t="shared" si="213"/>
        <v>143598.65</v>
      </c>
      <c r="O441" s="66">
        <f t="shared" si="213"/>
        <v>225000</v>
      </c>
      <c r="P441" s="69">
        <f t="shared" si="201"/>
        <v>47866.216666666667</v>
      </c>
      <c r="Q441" s="69">
        <f t="shared" si="201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 t="shared" ref="AB441:AH441" si="215">ROUND(SUM(AB430:AB440),5)</f>
        <v>90000</v>
      </c>
      <c r="AC441" s="80">
        <f t="shared" si="215"/>
        <v>68000</v>
      </c>
      <c r="AD441" s="80">
        <f t="shared" si="215"/>
        <v>88000</v>
      </c>
      <c r="AE441" s="80">
        <f t="shared" si="215"/>
        <v>90000</v>
      </c>
      <c r="AF441" s="80">
        <f t="shared" si="215"/>
        <v>90000</v>
      </c>
      <c r="AG441" s="80">
        <f t="shared" si="215"/>
        <v>90000</v>
      </c>
      <c r="AH441" s="80">
        <f t="shared" si="215"/>
        <v>90000</v>
      </c>
      <c r="AI441" s="80">
        <f t="shared" ref="AI441" si="216">ROUND(SUM(AI430:AI440),5)</f>
        <v>90000</v>
      </c>
      <c r="AJ441" s="190"/>
      <c r="AK441" s="190"/>
      <c r="AL441" s="81"/>
      <c r="AP441" s="111"/>
    </row>
    <row r="442" spans="1:42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F442" s="66"/>
      <c r="AG442" s="66"/>
      <c r="AH442" s="66"/>
      <c r="AI442" s="66"/>
      <c r="AL442" s="81"/>
    </row>
    <row r="443" spans="1:42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F443" s="66"/>
      <c r="AG443" s="66"/>
      <c r="AH443" s="66"/>
      <c r="AI443" s="66"/>
      <c r="AL443" s="81"/>
    </row>
    <row r="444" spans="1:42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217">ROUND(H444+J444+L444,5)</f>
        <v>3082.32</v>
      </c>
      <c r="O444" s="66">
        <f t="shared" si="217"/>
        <v>6500</v>
      </c>
      <c r="P444" s="69">
        <f t="shared" si="201"/>
        <v>1027.44</v>
      </c>
      <c r="Q444" s="69">
        <f t="shared" si="201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v>5550</v>
      </c>
      <c r="AG444" s="66">
        <v>5550</v>
      </c>
      <c r="AH444" s="66">
        <v>5550</v>
      </c>
      <c r="AI444" s="66">
        <f>Travel!$T$139</f>
        <v>3700</v>
      </c>
      <c r="AL444"/>
      <c r="AM444" s="115"/>
      <c r="AN444"/>
      <c r="AO444"/>
      <c r="AP444"/>
    </row>
    <row r="445" spans="1:42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217"/>
        <v>4346.18</v>
      </c>
      <c r="O445" s="66">
        <f t="shared" si="217"/>
        <v>6500</v>
      </c>
      <c r="P445" s="69">
        <f t="shared" si="201"/>
        <v>1448.7266666666667</v>
      </c>
      <c r="Q445" s="69">
        <f t="shared" si="201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v>5550</v>
      </c>
      <c r="AG445" s="66">
        <v>5550</v>
      </c>
      <c r="AH445" s="66">
        <v>5550</v>
      </c>
      <c r="AI445" s="66">
        <f>Travel!$T$141</f>
        <v>3700</v>
      </c>
      <c r="AL445"/>
      <c r="AM445" s="115"/>
      <c r="AN445"/>
      <c r="AO445"/>
      <c r="AP445"/>
    </row>
    <row r="446" spans="1:42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217"/>
        <v>1181.1600000000001</v>
      </c>
      <c r="O446" s="66">
        <f t="shared" si="217"/>
        <v>6500</v>
      </c>
      <c r="P446" s="69">
        <f t="shared" si="201"/>
        <v>393.72</v>
      </c>
      <c r="Q446" s="69">
        <f t="shared" si="201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v>5550</v>
      </c>
      <c r="AG446" s="66">
        <v>5550</v>
      </c>
      <c r="AH446" s="66">
        <v>5550</v>
      </c>
      <c r="AI446" s="66">
        <f>Travel!$T$145</f>
        <v>3700</v>
      </c>
      <c r="AK446" s="191"/>
      <c r="AL446"/>
      <c r="AM446" s="115"/>
      <c r="AN446"/>
      <c r="AO446"/>
      <c r="AP446"/>
    </row>
    <row r="447" spans="1:42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217"/>
        <v>1117.28</v>
      </c>
      <c r="O447" s="66">
        <f t="shared" si="217"/>
        <v>3500</v>
      </c>
      <c r="P447" s="69">
        <f t="shared" si="201"/>
        <v>372.42666666666668</v>
      </c>
      <c r="Q447" s="69">
        <f t="shared" si="201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v>5550</v>
      </c>
      <c r="AG447" s="66">
        <v>5550</v>
      </c>
      <c r="AH447" s="66">
        <v>5550</v>
      </c>
      <c r="AI447" s="66">
        <f>Travel!$T$149</f>
        <v>3700</v>
      </c>
      <c r="AK447" s="191"/>
      <c r="AL447"/>
      <c r="AM447" s="115"/>
      <c r="AN447"/>
      <c r="AO447"/>
      <c r="AP447"/>
    </row>
    <row r="448" spans="1:42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217"/>
        <v>5060.6499999999996</v>
      </c>
      <c r="O448" s="66">
        <f t="shared" si="217"/>
        <v>6500</v>
      </c>
      <c r="P448" s="69">
        <f t="shared" si="201"/>
        <v>1686.8833333333332</v>
      </c>
      <c r="Q448" s="69">
        <f t="shared" si="201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v>5550</v>
      </c>
      <c r="AG448" s="66">
        <v>5550</v>
      </c>
      <c r="AH448" s="66">
        <v>5550</v>
      </c>
      <c r="AI448" s="66">
        <f>Travel!$T$151</f>
        <v>3700</v>
      </c>
      <c r="AK448" s="191"/>
      <c r="AL448"/>
      <c r="AM448" s="115"/>
      <c r="AN448"/>
      <c r="AO448"/>
      <c r="AP448"/>
    </row>
    <row r="449" spans="1:42" ht="16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217"/>
        <v>2560.85</v>
      </c>
      <c r="O449" s="66">
        <f t="shared" si="217"/>
        <v>3500</v>
      </c>
      <c r="P449" s="69">
        <f t="shared" si="201"/>
        <v>853.61666666666667</v>
      </c>
      <c r="Q449" s="69">
        <f t="shared" si="201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6">
        <f>Travel!$T$153</f>
        <v>3700</v>
      </c>
      <c r="AC449" s="66">
        <f>Travel!$T$153</f>
        <v>3700</v>
      </c>
      <c r="AD449" s="66">
        <f>Travel!$T$153</f>
        <v>3700</v>
      </c>
      <c r="AE449" s="66">
        <f>Travel!$T$153</f>
        <v>3700</v>
      </c>
      <c r="AF449" s="66">
        <v>5550</v>
      </c>
      <c r="AG449" s="66">
        <v>5550</v>
      </c>
      <c r="AH449" s="66">
        <v>5550</v>
      </c>
      <c r="AI449" s="66">
        <f>Travel!$T$153</f>
        <v>3700</v>
      </c>
      <c r="AK449" s="191"/>
      <c r="AL449"/>
      <c r="AM449" s="115"/>
      <c r="AN449"/>
      <c r="AO449"/>
      <c r="AP449"/>
    </row>
    <row r="450" spans="1:42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217"/>
        <v>4712.95</v>
      </c>
      <c r="O450" s="66">
        <f t="shared" si="217"/>
        <v>6500</v>
      </c>
      <c r="P450" s="69">
        <f t="shared" si="201"/>
        <v>1570.9833333333333</v>
      </c>
      <c r="Q450" s="69">
        <f t="shared" si="201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v>5550</v>
      </c>
      <c r="AG450" s="66">
        <v>5550</v>
      </c>
      <c r="AH450" s="66">
        <v>5550</v>
      </c>
      <c r="AI450" s="66">
        <f>Travel!$T$155</f>
        <v>3700</v>
      </c>
      <c r="AK450" s="191"/>
      <c r="AL450"/>
      <c r="AM450" s="115"/>
      <c r="AN450"/>
      <c r="AO450"/>
      <c r="AP450"/>
    </row>
    <row r="451" spans="1:42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217"/>
        <v>10623.42</v>
      </c>
      <c r="O451" s="66">
        <f t="shared" si="217"/>
        <v>6500</v>
      </c>
      <c r="P451" s="69">
        <f t="shared" ref="P451:Q509" si="218">N451/3</f>
        <v>3541.14</v>
      </c>
      <c r="Q451" s="69">
        <f t="shared" si="218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6">
        <f>Travel!$T$157</f>
        <v>3700</v>
      </c>
      <c r="AC451" s="66">
        <f>Travel!$T$157</f>
        <v>3700</v>
      </c>
      <c r="AD451" s="66">
        <f>Travel!$T$157</f>
        <v>3700</v>
      </c>
      <c r="AE451" s="66">
        <f>Travel!$T$157</f>
        <v>3700</v>
      </c>
      <c r="AF451" s="66">
        <v>5550</v>
      </c>
      <c r="AG451" s="66">
        <v>5550</v>
      </c>
      <c r="AH451" s="66">
        <v>5550</v>
      </c>
      <c r="AI451" s="66">
        <f>Travel!$T$157</f>
        <v>3700</v>
      </c>
      <c r="AK451" s="218" t="s">
        <v>863</v>
      </c>
      <c r="AL451"/>
      <c r="AM451" s="115"/>
      <c r="AN451"/>
      <c r="AO451"/>
      <c r="AP451"/>
    </row>
    <row r="452" spans="1:42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217"/>
        <v>4606.37</v>
      </c>
      <c r="O452" s="66">
        <f t="shared" si="217"/>
        <v>6500</v>
      </c>
      <c r="P452" s="69">
        <f t="shared" si="218"/>
        <v>1535.4566666666667</v>
      </c>
      <c r="Q452" s="69">
        <f t="shared" si="218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v>5550</v>
      </c>
      <c r="AG452" s="66">
        <v>5550</v>
      </c>
      <c r="AH452" s="66">
        <v>5550</v>
      </c>
      <c r="AI452" s="66">
        <f>Travel!$T$159</f>
        <v>3700</v>
      </c>
      <c r="AK452" s="191"/>
      <c r="AL452"/>
      <c r="AM452" s="115"/>
      <c r="AN452"/>
      <c r="AO452"/>
      <c r="AP452"/>
    </row>
    <row r="453" spans="1:42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217"/>
        <v>0</v>
      </c>
      <c r="O453" s="66">
        <f t="shared" si="217"/>
        <v>79500</v>
      </c>
      <c r="P453" s="69">
        <f t="shared" si="218"/>
        <v>0</v>
      </c>
      <c r="Q453" s="69">
        <f t="shared" si="218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6">
        <f>Travel!$R$160</f>
        <v>10000</v>
      </c>
      <c r="AC453" s="66">
        <v>10000</v>
      </c>
      <c r="AD453" s="66">
        <v>10000</v>
      </c>
      <c r="AE453" s="66">
        <v>15000</v>
      </c>
      <c r="AF453" s="66">
        <v>17500</v>
      </c>
      <c r="AG453" s="66">
        <v>10000</v>
      </c>
      <c r="AH453" s="66">
        <v>10000</v>
      </c>
      <c r="AI453" s="66">
        <f>Travel!$P$160</f>
        <v>10000</v>
      </c>
      <c r="AJ453" s="173"/>
      <c r="AK453" s="218" t="s">
        <v>1011</v>
      </c>
      <c r="AL453"/>
      <c r="AM453" s="115"/>
      <c r="AN453"/>
      <c r="AO453"/>
      <c r="AP453"/>
    </row>
    <row r="454" spans="1:42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219">ROUND(SUM(H443:H453),5)</f>
        <v>8532.3799999999992</v>
      </c>
      <c r="I454" s="75">
        <f t="shared" si="219"/>
        <v>49500</v>
      </c>
      <c r="J454" s="76">
        <f t="shared" si="219"/>
        <v>10517.83</v>
      </c>
      <c r="K454" s="76">
        <f t="shared" si="219"/>
        <v>31000</v>
      </c>
      <c r="L454" s="77">
        <f t="shared" si="219"/>
        <v>18240.97</v>
      </c>
      <c r="M454" s="77">
        <f t="shared" si="219"/>
        <v>51500</v>
      </c>
      <c r="N454" s="78">
        <f t="shared" si="217"/>
        <v>37291.18</v>
      </c>
      <c r="O454" s="78">
        <f t="shared" si="217"/>
        <v>132000</v>
      </c>
      <c r="P454" s="79">
        <f t="shared" si="218"/>
        <v>12430.393333333333</v>
      </c>
      <c r="Q454" s="79">
        <f t="shared" si="218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 t="shared" ref="AB454:AH454" si="220">ROUND(SUM(AB443:AB453),5)</f>
        <v>43300</v>
      </c>
      <c r="AC454" s="88">
        <f t="shared" si="220"/>
        <v>43300</v>
      </c>
      <c r="AD454" s="88">
        <f t="shared" si="220"/>
        <v>43300</v>
      </c>
      <c r="AE454" s="88">
        <f t="shared" si="220"/>
        <v>48300</v>
      </c>
      <c r="AF454" s="88">
        <f t="shared" si="220"/>
        <v>67450</v>
      </c>
      <c r="AG454" s="88">
        <f t="shared" si="220"/>
        <v>59950</v>
      </c>
      <c r="AH454" s="88">
        <f t="shared" si="220"/>
        <v>59950</v>
      </c>
      <c r="AI454" s="88">
        <f t="shared" ref="AI454" si="221">ROUND(SUM(AI443:AI453),5)</f>
        <v>43300</v>
      </c>
      <c r="AK454" s="191"/>
      <c r="AL454"/>
      <c r="AM454" s="115"/>
      <c r="AN454"/>
      <c r="AO454"/>
      <c r="AP454"/>
    </row>
    <row r="455" spans="1:42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222">ROUND(H442+SUM(H454:H454),5)</f>
        <v>8532.3799999999992</v>
      </c>
      <c r="I455" s="75">
        <f t="shared" si="222"/>
        <v>49500</v>
      </c>
      <c r="J455" s="76">
        <f t="shared" si="222"/>
        <v>10517.83</v>
      </c>
      <c r="K455" s="76">
        <f t="shared" si="222"/>
        <v>31000</v>
      </c>
      <c r="L455" s="77">
        <f t="shared" si="222"/>
        <v>18240.97</v>
      </c>
      <c r="M455" s="77">
        <f t="shared" si="222"/>
        <v>51500</v>
      </c>
      <c r="N455" s="78">
        <f t="shared" si="217"/>
        <v>37291.18</v>
      </c>
      <c r="O455" s="78">
        <f t="shared" si="217"/>
        <v>132000</v>
      </c>
      <c r="P455" s="79">
        <f t="shared" si="218"/>
        <v>12430.393333333333</v>
      </c>
      <c r="Q455" s="79">
        <f t="shared" si="218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 t="shared" ref="AB455:AH455" si="223">ROUND(AB442+SUM(AB454:AB454),5)</f>
        <v>43300</v>
      </c>
      <c r="AC455" s="78">
        <f t="shared" si="223"/>
        <v>43300</v>
      </c>
      <c r="AD455" s="78">
        <f t="shared" si="223"/>
        <v>43300</v>
      </c>
      <c r="AE455" s="78">
        <f t="shared" si="223"/>
        <v>48300</v>
      </c>
      <c r="AF455" s="78">
        <f t="shared" si="223"/>
        <v>67450</v>
      </c>
      <c r="AG455" s="78">
        <f t="shared" si="223"/>
        <v>59950</v>
      </c>
      <c r="AH455" s="78">
        <f t="shared" si="223"/>
        <v>59950</v>
      </c>
      <c r="AI455" s="78">
        <f t="shared" ref="AI455" si="224">ROUND(AI442+SUM(AI454:AI454),5)</f>
        <v>43300</v>
      </c>
      <c r="AK455" s="191"/>
      <c r="AL455"/>
      <c r="AM455" s="115"/>
      <c r="AN455"/>
      <c r="AO455"/>
      <c r="AP455"/>
    </row>
    <row r="456" spans="1:42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F456" s="66"/>
      <c r="AG456" s="66"/>
      <c r="AH456" s="66"/>
      <c r="AI456" s="66"/>
      <c r="AK456" s="191"/>
      <c r="AL456"/>
      <c r="AM456" s="115"/>
      <c r="AN456"/>
      <c r="AO456"/>
      <c r="AP456"/>
    </row>
    <row r="457" spans="1:42" ht="32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225">ROUND(H457+J457+L457,5)</f>
        <v>9342.6299999999992</v>
      </c>
      <c r="O457" s="66">
        <f t="shared" si="225"/>
        <v>11500</v>
      </c>
      <c r="P457" s="69">
        <f t="shared" si="218"/>
        <v>3114.2099999999996</v>
      </c>
      <c r="Q457" s="69">
        <f t="shared" si="218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6">
        <f>Travel!$T$170</f>
        <v>9250</v>
      </c>
      <c r="AC457" s="66">
        <v>5000</v>
      </c>
      <c r="AD457" s="66">
        <v>5000</v>
      </c>
      <c r="AE457" s="66">
        <v>6700</v>
      </c>
      <c r="AF457" s="66">
        <f>Travel!$T$170</f>
        <v>9250</v>
      </c>
      <c r="AG457" s="66">
        <f>Travel!$T$170+1850</f>
        <v>11100</v>
      </c>
      <c r="AH457" s="66">
        <v>11100</v>
      </c>
      <c r="AI457" s="66">
        <f>Travel!$T$170</f>
        <v>9250</v>
      </c>
      <c r="AK457" s="218" t="s">
        <v>852</v>
      </c>
      <c r="AL457"/>
      <c r="AM457" s="115"/>
      <c r="AN457"/>
      <c r="AO457"/>
      <c r="AP457"/>
    </row>
    <row r="458" spans="1:42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225"/>
        <v>17829.34</v>
      </c>
      <c r="O458" s="66">
        <f t="shared" si="225"/>
        <v>38500</v>
      </c>
      <c r="P458" s="69">
        <f t="shared" si="218"/>
        <v>5943.1133333333337</v>
      </c>
      <c r="Q458" s="69">
        <f t="shared" si="218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G458" s="66">
        <v>16350</v>
      </c>
      <c r="AH458" s="66">
        <v>16350</v>
      </c>
      <c r="AI458" s="66">
        <f>Travel!$T$172</f>
        <v>14500</v>
      </c>
      <c r="AK458" s="231" t="s">
        <v>1009</v>
      </c>
      <c r="AL458"/>
      <c r="AM458" s="115"/>
      <c r="AN458"/>
      <c r="AO458"/>
      <c r="AP458"/>
    </row>
    <row r="459" spans="1:42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225"/>
        <v>27125.43</v>
      </c>
      <c r="O459" s="66">
        <f t="shared" si="225"/>
        <v>30000</v>
      </c>
      <c r="P459" s="69">
        <f t="shared" si="218"/>
        <v>9041.81</v>
      </c>
      <c r="Q459" s="69">
        <f t="shared" si="218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f>Travel!$T$180</f>
        <v>12000</v>
      </c>
      <c r="AG459" s="66">
        <f>Travel!$T$180</f>
        <v>12000</v>
      </c>
      <c r="AH459" s="66">
        <v>12000</v>
      </c>
      <c r="AI459" s="66">
        <f>Travel!$T$180</f>
        <v>12000</v>
      </c>
      <c r="AK459" s="192"/>
      <c r="AL459"/>
      <c r="AM459" s="115"/>
      <c r="AN459"/>
      <c r="AO459"/>
      <c r="AP459"/>
    </row>
    <row r="460" spans="1:42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225"/>
        <v>82292.61</v>
      </c>
      <c r="O460" s="66">
        <f t="shared" si="225"/>
        <v>96550</v>
      </c>
      <c r="P460" s="69">
        <f t="shared" si="218"/>
        <v>27430.87</v>
      </c>
      <c r="Q460" s="69">
        <f t="shared" si="218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f>Travel!$T$200</f>
        <v>46550</v>
      </c>
      <c r="AG460" s="66">
        <f>Travel!$T$200</f>
        <v>46550</v>
      </c>
      <c r="AH460" s="66">
        <v>46550</v>
      </c>
      <c r="AI460" s="66">
        <f>Travel!$T$200</f>
        <v>46550</v>
      </c>
      <c r="AK460" s="191"/>
      <c r="AL460"/>
      <c r="AM460" s="115"/>
      <c r="AN460"/>
      <c r="AO460"/>
      <c r="AP460"/>
    </row>
    <row r="461" spans="1:42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225"/>
        <v>77589.72</v>
      </c>
      <c r="O461" s="66">
        <f t="shared" si="225"/>
        <v>107235</v>
      </c>
      <c r="P461" s="69">
        <f t="shared" si="218"/>
        <v>25863.24</v>
      </c>
      <c r="Q461" s="69">
        <f t="shared" si="218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f>Travel!$T$224</f>
        <v>30000</v>
      </c>
      <c r="AG461" s="66">
        <f>Travel!$T$224</f>
        <v>30000</v>
      </c>
      <c r="AH461" s="66">
        <v>30000</v>
      </c>
      <c r="AI461" s="66">
        <f>Travel!$T$224</f>
        <v>30000</v>
      </c>
      <c r="AK461" s="191"/>
      <c r="AL461"/>
      <c r="AM461" s="115"/>
      <c r="AN461"/>
      <c r="AO461"/>
      <c r="AP461"/>
    </row>
    <row r="462" spans="1:42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225"/>
        <v>8410.5499999999993</v>
      </c>
      <c r="O462" s="66">
        <f t="shared" si="225"/>
        <v>9500</v>
      </c>
      <c r="P462" s="69">
        <f t="shared" si="218"/>
        <v>2803.5166666666664</v>
      </c>
      <c r="Q462" s="69">
        <f t="shared" si="218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G462" s="66">
        <f>Travel!$T$226+1850</f>
        <v>5550</v>
      </c>
      <c r="AH462" s="66">
        <v>5550</v>
      </c>
      <c r="AI462" s="66">
        <f>Travel!$T$226</f>
        <v>3700</v>
      </c>
      <c r="AK462" s="191"/>
      <c r="AL462"/>
      <c r="AM462" s="115"/>
      <c r="AN462"/>
      <c r="AO462"/>
      <c r="AP462"/>
    </row>
    <row r="463" spans="1:42" ht="16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225"/>
        <v>1939.64</v>
      </c>
      <c r="O463" s="66">
        <f t="shared" si="225"/>
        <v>16500</v>
      </c>
      <c r="P463" s="69">
        <f t="shared" si="218"/>
        <v>646.54666666666674</v>
      </c>
      <c r="Q463" s="69">
        <f t="shared" si="218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6">
        <v>9000</v>
      </c>
      <c r="AC463" s="66">
        <v>5000</v>
      </c>
      <c r="AD463" s="66">
        <v>5000</v>
      </c>
      <c r="AE463" s="66">
        <v>5000</v>
      </c>
      <c r="AF463" s="66">
        <v>5000</v>
      </c>
      <c r="AG463" s="66">
        <v>10850</v>
      </c>
      <c r="AH463" s="66">
        <v>10850</v>
      </c>
      <c r="AI463" s="66">
        <f>Travel!$T$164</f>
        <v>7150</v>
      </c>
      <c r="AK463" s="191"/>
      <c r="AL463"/>
      <c r="AM463" s="115"/>
      <c r="AN463"/>
      <c r="AO463"/>
      <c r="AP463"/>
    </row>
    <row r="464" spans="1:42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226">ROUND(SUM(H456:H463),5)</f>
        <v>68157.66</v>
      </c>
      <c r="I464" s="75">
        <f t="shared" si="226"/>
        <v>97000</v>
      </c>
      <c r="J464" s="76">
        <f t="shared" si="226"/>
        <v>75651.53</v>
      </c>
      <c r="K464" s="76">
        <f t="shared" si="226"/>
        <v>88000</v>
      </c>
      <c r="L464" s="77">
        <f t="shared" si="226"/>
        <v>80720.73</v>
      </c>
      <c r="M464" s="77">
        <f t="shared" si="226"/>
        <v>124785</v>
      </c>
      <c r="N464" s="78">
        <f t="shared" si="225"/>
        <v>224529.92000000001</v>
      </c>
      <c r="O464" s="78">
        <f t="shared" si="225"/>
        <v>309785</v>
      </c>
      <c r="P464" s="79">
        <f t="shared" si="218"/>
        <v>74843.306666666671</v>
      </c>
      <c r="Q464" s="79">
        <f t="shared" si="218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 t="shared" ref="AB464:AG464" si="227">ROUND(SUM(AB456:AB463),5)</f>
        <v>125000</v>
      </c>
      <c r="AC464" s="91">
        <f t="shared" si="227"/>
        <v>105700</v>
      </c>
      <c r="AD464" s="91">
        <f t="shared" si="227"/>
        <v>105700</v>
      </c>
      <c r="AE464" s="91">
        <f t="shared" si="227"/>
        <v>114900</v>
      </c>
      <c r="AF464" s="91">
        <f t="shared" si="227"/>
        <v>121000</v>
      </c>
      <c r="AG464" s="91">
        <f t="shared" si="227"/>
        <v>132400</v>
      </c>
      <c r="AH464" s="91">
        <v>132400</v>
      </c>
      <c r="AI464" s="91">
        <f t="shared" ref="AI464" si="228">ROUND(SUM(AI456:AI463),5)</f>
        <v>123150</v>
      </c>
      <c r="AK464" s="191"/>
      <c r="AL464"/>
      <c r="AM464" s="115"/>
      <c r="AN464"/>
      <c r="AO464"/>
      <c r="AP464"/>
    </row>
    <row r="465" spans="1:42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218"/>
        <v>0</v>
      </c>
      <c r="Q465" s="69">
        <f t="shared" si="218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F465" s="66"/>
      <c r="AG465" s="66"/>
      <c r="AH465" s="66"/>
      <c r="AI465" s="66"/>
      <c r="AK465" s="191"/>
      <c r="AL465"/>
      <c r="AM465" s="115"/>
      <c r="AN465"/>
      <c r="AO465"/>
      <c r="AP465"/>
    </row>
    <row r="466" spans="1:42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229">ROUND(H466+J466+L466,5)</f>
        <v>0</v>
      </c>
      <c r="O466" s="66">
        <f t="shared" si="229"/>
        <v>4350</v>
      </c>
      <c r="P466" s="69">
        <f t="shared" si="218"/>
        <v>0</v>
      </c>
      <c r="Q466" s="69">
        <f t="shared" si="218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6">
        <f>Travel!$T$228</f>
        <v>1300</v>
      </c>
      <c r="AC466" s="66">
        <f>Travel!$T$228</f>
        <v>1300</v>
      </c>
      <c r="AD466" s="66">
        <f>Travel!$T$228</f>
        <v>1300</v>
      </c>
      <c r="AE466" s="66">
        <f>Travel!$T$228</f>
        <v>1300</v>
      </c>
      <c r="AF466" s="66">
        <f>Travel!$T$228</f>
        <v>1300</v>
      </c>
      <c r="AG466" s="66">
        <f>Travel!$T$228</f>
        <v>1300</v>
      </c>
      <c r="AH466" s="66">
        <f>Travel!$T$228</f>
        <v>1300</v>
      </c>
      <c r="AI466" s="66">
        <f>Travel!$T$228</f>
        <v>1300</v>
      </c>
      <c r="AK466" s="191"/>
      <c r="AL466"/>
      <c r="AM466" s="115"/>
      <c r="AN466"/>
      <c r="AO466"/>
      <c r="AP466"/>
    </row>
    <row r="467" spans="1:42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229"/>
        <v>6468.36</v>
      </c>
      <c r="O467" s="66">
        <f t="shared" si="229"/>
        <v>27000</v>
      </c>
      <c r="P467" s="69">
        <f t="shared" si="218"/>
        <v>2156.12</v>
      </c>
      <c r="Q467" s="69">
        <f t="shared" si="218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6">
        <f>Travel!$T$233</f>
        <v>18000</v>
      </c>
      <c r="AC467" s="66">
        <v>5000</v>
      </c>
      <c r="AD467" s="66">
        <v>5000</v>
      </c>
      <c r="AE467" s="66">
        <v>5000</v>
      </c>
      <c r="AF467" s="66">
        <f>Travel!$T$233</f>
        <v>18000</v>
      </c>
      <c r="AG467" s="66">
        <f>Travel!$T$233</f>
        <v>18000</v>
      </c>
      <c r="AH467" s="66">
        <f>Travel!$T$233</f>
        <v>18000</v>
      </c>
      <c r="AI467" s="66">
        <f>Travel!$T$233</f>
        <v>18000</v>
      </c>
      <c r="AJ467" s="233" t="s">
        <v>1000</v>
      </c>
      <c r="AK467" s="219" t="s">
        <v>964</v>
      </c>
      <c r="AL467"/>
      <c r="AM467" s="115">
        <v>6000</v>
      </c>
      <c r="AN467"/>
      <c r="AO467"/>
      <c r="AP467"/>
    </row>
    <row r="468" spans="1:42" ht="16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229"/>
        <v>1454.32</v>
      </c>
      <c r="O468" s="73">
        <f t="shared" si="229"/>
        <v>7100</v>
      </c>
      <c r="P468" s="74">
        <f t="shared" si="218"/>
        <v>484.77333333333331</v>
      </c>
      <c r="Q468" s="74">
        <f t="shared" si="218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6">
        <f>Travel!$T$237</f>
        <v>0</v>
      </c>
      <c r="AC468" s="66">
        <f>Travel!$T$237</f>
        <v>0</v>
      </c>
      <c r="AD468" s="66">
        <f>Travel!$T$237</f>
        <v>0</v>
      </c>
      <c r="AE468" s="66">
        <v>2600</v>
      </c>
      <c r="AF468" s="66">
        <v>2600</v>
      </c>
      <c r="AG468" s="66">
        <f>Travel!$T$237</f>
        <v>0</v>
      </c>
      <c r="AH468" s="66">
        <f>Travel!$T$237</f>
        <v>0</v>
      </c>
      <c r="AI468" s="66">
        <f>Travel!$T$237</f>
        <v>0</v>
      </c>
      <c r="AK468"/>
      <c r="AL468"/>
      <c r="AM468" s="115"/>
      <c r="AN468"/>
      <c r="AO468"/>
      <c r="AP468"/>
    </row>
    <row r="469" spans="1:42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230">ROUND(SUM(H465:H468),5)</f>
        <v>2517.89</v>
      </c>
      <c r="I469" s="63">
        <f t="shared" si="230"/>
        <v>15000</v>
      </c>
      <c r="J469" s="64">
        <f t="shared" si="230"/>
        <v>3142.66</v>
      </c>
      <c r="K469" s="64">
        <f t="shared" si="230"/>
        <v>12550</v>
      </c>
      <c r="L469" s="65">
        <f t="shared" si="230"/>
        <v>2262.13</v>
      </c>
      <c r="M469" s="65">
        <f t="shared" si="230"/>
        <v>10900</v>
      </c>
      <c r="N469" s="66">
        <f t="shared" si="229"/>
        <v>7922.68</v>
      </c>
      <c r="O469" s="66">
        <f t="shared" si="229"/>
        <v>38450</v>
      </c>
      <c r="P469" s="69">
        <f t="shared" si="218"/>
        <v>2640.8933333333334</v>
      </c>
      <c r="Q469" s="69">
        <f t="shared" si="218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 t="shared" ref="AB469:AH469" si="231">ROUND(SUM(AB465:AB468),5)</f>
        <v>19300</v>
      </c>
      <c r="AC469" s="91">
        <f t="shared" si="231"/>
        <v>6300</v>
      </c>
      <c r="AD469" s="91">
        <f t="shared" si="231"/>
        <v>6300</v>
      </c>
      <c r="AE469" s="91">
        <f t="shared" si="231"/>
        <v>8900</v>
      </c>
      <c r="AF469" s="91">
        <f t="shared" si="231"/>
        <v>21900</v>
      </c>
      <c r="AG469" s="91">
        <f t="shared" si="231"/>
        <v>19300</v>
      </c>
      <c r="AH469" s="91">
        <f t="shared" si="231"/>
        <v>19300</v>
      </c>
      <c r="AI469" s="91">
        <f t="shared" ref="AI469" si="232">ROUND(SUM(AI465:AI468),5)</f>
        <v>19300</v>
      </c>
      <c r="AK469" s="191"/>
      <c r="AL469"/>
      <c r="AM469" s="115"/>
      <c r="AN469"/>
      <c r="AO469"/>
      <c r="AP469"/>
    </row>
    <row r="470" spans="1:42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F470" s="66"/>
      <c r="AG470" s="66"/>
      <c r="AH470" s="66"/>
      <c r="AI470" s="66"/>
      <c r="AK470" s="191"/>
      <c r="AL470"/>
      <c r="AM470" s="115"/>
      <c r="AN470"/>
      <c r="AO470"/>
      <c r="AP470"/>
    </row>
    <row r="471" spans="1:42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233">ROUND(H471+J471+L471,5)</f>
        <v>40121.949999999997</v>
      </c>
      <c r="O471" s="66">
        <f t="shared" si="233"/>
        <v>50000</v>
      </c>
      <c r="P471" s="69">
        <f t="shared" si="218"/>
        <v>13373.983333333332</v>
      </c>
      <c r="Q471" s="69">
        <f t="shared" si="218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6">
        <f>Travel!$T$248</f>
        <v>18000</v>
      </c>
      <c r="AC471" s="66">
        <v>20000</v>
      </c>
      <c r="AD471" s="66">
        <v>20000</v>
      </c>
      <c r="AE471" s="66">
        <v>20000</v>
      </c>
      <c r="AF471" s="66">
        <f>Travel!$T$248</f>
        <v>18000</v>
      </c>
      <c r="AG471" s="66">
        <f>Travel!$T$248</f>
        <v>18000</v>
      </c>
      <c r="AH471" s="66">
        <f>Travel!$T$248</f>
        <v>18000</v>
      </c>
      <c r="AI471" s="66">
        <f>Travel!$T$248</f>
        <v>18000</v>
      </c>
      <c r="AK471" s="191"/>
      <c r="AL471"/>
      <c r="AM471" s="115"/>
      <c r="AN471"/>
      <c r="AO471"/>
      <c r="AP471"/>
    </row>
    <row r="472" spans="1:42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233"/>
        <v>298044.73</v>
      </c>
      <c r="O472" s="66">
        <f t="shared" si="233"/>
        <v>298300</v>
      </c>
      <c r="P472" s="69">
        <f t="shared" si="218"/>
        <v>99348.243333333332</v>
      </c>
      <c r="Q472" s="69">
        <f t="shared" si="218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6">
        <f>Travel!$T$262</f>
        <v>92000</v>
      </c>
      <c r="AC472" s="66">
        <v>85000</v>
      </c>
      <c r="AD472" s="66">
        <v>85000</v>
      </c>
      <c r="AE472" s="66">
        <v>85000</v>
      </c>
      <c r="AF472" s="66">
        <f>Travel!$T$262</f>
        <v>92000</v>
      </c>
      <c r="AG472" s="66">
        <f>Travel!$T$262</f>
        <v>92000</v>
      </c>
      <c r="AH472" s="66">
        <f>Travel!$T$262</f>
        <v>92000</v>
      </c>
      <c r="AI472" s="66">
        <f>Travel!$T$262</f>
        <v>92000</v>
      </c>
      <c r="AK472" s="191"/>
      <c r="AL472"/>
      <c r="AM472" s="115"/>
      <c r="AN472"/>
      <c r="AO472"/>
      <c r="AP472"/>
    </row>
    <row r="473" spans="1:42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233"/>
        <v>91427.03</v>
      </c>
      <c r="O473" s="66">
        <f t="shared" si="233"/>
        <v>71500</v>
      </c>
      <c r="P473" s="69">
        <f t="shared" si="218"/>
        <v>30475.676666666666</v>
      </c>
      <c r="Q473" s="69">
        <f t="shared" si="218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6">
        <f>Travel!$T$289</f>
        <v>29500</v>
      </c>
      <c r="AC473" s="66">
        <v>27000</v>
      </c>
      <c r="AD473" s="66">
        <v>27000</v>
      </c>
      <c r="AE473" s="66">
        <v>30000</v>
      </c>
      <c r="AF473" s="66">
        <f>Travel!$T$289</f>
        <v>29500</v>
      </c>
      <c r="AG473" s="66">
        <f>Travel!$T$289</f>
        <v>29500</v>
      </c>
      <c r="AH473" s="66">
        <f>Travel!$T$289</f>
        <v>29500</v>
      </c>
      <c r="AI473" s="66">
        <f>Travel!$T$289</f>
        <v>29500</v>
      </c>
      <c r="AK473" s="191"/>
      <c r="AL473"/>
      <c r="AM473" s="115"/>
      <c r="AN473"/>
      <c r="AO473"/>
      <c r="AP473"/>
    </row>
    <row r="474" spans="1:42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233"/>
        <v>3636.89</v>
      </c>
      <c r="O474" s="66">
        <f t="shared" si="233"/>
        <v>16000</v>
      </c>
      <c r="P474" s="69">
        <f t="shared" si="218"/>
        <v>1212.2966666666666</v>
      </c>
      <c r="Q474" s="69">
        <f t="shared" si="218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6">
        <f>Travel!$T$290</f>
        <v>3000</v>
      </c>
      <c r="AC474" s="66">
        <f>Travel!$T$290</f>
        <v>3000</v>
      </c>
      <c r="AD474" s="66">
        <f>Travel!$T$290</f>
        <v>3000</v>
      </c>
      <c r="AE474" s="66">
        <f>Travel!$T$290</f>
        <v>3000</v>
      </c>
      <c r="AF474" s="66">
        <f>Travel!$T$290</f>
        <v>3000</v>
      </c>
      <c r="AG474" s="66">
        <f>Travel!$T$290</f>
        <v>3000</v>
      </c>
      <c r="AH474" s="66">
        <f>Travel!$T$290</f>
        <v>3000</v>
      </c>
      <c r="AI474" s="66">
        <f>Travel!$T$290</f>
        <v>3000</v>
      </c>
      <c r="AK474" s="191"/>
      <c r="AL474"/>
      <c r="AM474" s="115"/>
      <c r="AN474"/>
      <c r="AO474"/>
      <c r="AP474"/>
    </row>
    <row r="475" spans="1:42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233"/>
        <v>1704.48</v>
      </c>
      <c r="O475" s="66">
        <f t="shared" si="233"/>
        <v>13000</v>
      </c>
      <c r="P475" s="69">
        <f t="shared" si="218"/>
        <v>568.16</v>
      </c>
      <c r="Q475" s="69">
        <f t="shared" si="218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6">
        <f>Travel!$T$291</f>
        <v>9000</v>
      </c>
      <c r="AC475" s="66">
        <f>Travel!$T$291</f>
        <v>9000</v>
      </c>
      <c r="AD475" s="66">
        <f>Travel!$T$291</f>
        <v>9000</v>
      </c>
      <c r="AE475" s="66">
        <f>Travel!$T$291</f>
        <v>9000</v>
      </c>
      <c r="AF475" s="66">
        <v>3000</v>
      </c>
      <c r="AG475" s="66">
        <f>Travel!$T$291</f>
        <v>9000</v>
      </c>
      <c r="AH475" s="66">
        <f>Travel!$T$291</f>
        <v>9000</v>
      </c>
      <c r="AI475" s="66">
        <f>Travel!$T$291</f>
        <v>9000</v>
      </c>
      <c r="AK475" s="191"/>
      <c r="AL475"/>
      <c r="AM475" s="115"/>
      <c r="AN475"/>
      <c r="AO475"/>
      <c r="AP475"/>
    </row>
    <row r="476" spans="1:42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233"/>
        <v>323010.53999999998</v>
      </c>
      <c r="O476" s="66">
        <f t="shared" si="233"/>
        <v>333639</v>
      </c>
      <c r="P476" s="69">
        <f t="shared" si="218"/>
        <v>107670.18</v>
      </c>
      <c r="Q476" s="69">
        <f t="shared" si="218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6">
        <f>Travel!$AE$34</f>
        <v>138650</v>
      </c>
      <c r="AC476" s="66">
        <v>110000</v>
      </c>
      <c r="AD476" s="66">
        <v>110000</v>
      </c>
      <c r="AE476" s="66">
        <v>110000</v>
      </c>
      <c r="AF476" s="66">
        <f>Travel!$AE$34</f>
        <v>138650</v>
      </c>
      <c r="AG476" s="66">
        <f>Travel!$AE$34</f>
        <v>138650</v>
      </c>
      <c r="AH476" s="66">
        <f>Travel!$AE$34</f>
        <v>138650</v>
      </c>
      <c r="AI476" s="66">
        <f>Travel!$AE$34</f>
        <v>138650</v>
      </c>
      <c r="AJ476" s="206" t="s">
        <v>1000</v>
      </c>
      <c r="AK476" s="191"/>
      <c r="AL476"/>
      <c r="AM476" s="115"/>
      <c r="AN476"/>
      <c r="AO476"/>
      <c r="AP476"/>
    </row>
    <row r="477" spans="1:42" ht="29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233"/>
        <v>38757.58</v>
      </c>
      <c r="O477" s="66">
        <f t="shared" si="233"/>
        <v>20000</v>
      </c>
      <c r="P477" s="69">
        <f t="shared" si="218"/>
        <v>12919.193333333335</v>
      </c>
      <c r="Q477" s="69">
        <f t="shared" si="218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6">
        <f>Travel!$T$292</f>
        <v>17500</v>
      </c>
      <c r="AC477" s="66">
        <f>Travel!$T$292</f>
        <v>17500</v>
      </c>
      <c r="AD477" s="66">
        <f>Travel!$T$292</f>
        <v>17500</v>
      </c>
      <c r="AE477" s="66">
        <f>Travel!$T$292</f>
        <v>17500</v>
      </c>
      <c r="AF477" s="66">
        <f>Travel!$T$292</f>
        <v>17500</v>
      </c>
      <c r="AG477" s="66">
        <f>Travel!$T$292</f>
        <v>17500</v>
      </c>
      <c r="AH477" s="66">
        <f>Travel!$T$292</f>
        <v>17500</v>
      </c>
      <c r="AI477" s="66">
        <f>Travel!$T$292</f>
        <v>17500</v>
      </c>
      <c r="AJ477" s="206" t="s">
        <v>1000</v>
      </c>
      <c r="AK477" s="219" t="s">
        <v>978</v>
      </c>
      <c r="AL477"/>
      <c r="AM477" s="115">
        <v>7500</v>
      </c>
      <c r="AN477"/>
      <c r="AO477"/>
      <c r="AP477"/>
    </row>
    <row r="478" spans="1:42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233"/>
        <v>9458.01</v>
      </c>
      <c r="O478" s="66">
        <f t="shared" si="233"/>
        <v>15000</v>
      </c>
      <c r="P478" s="69">
        <f t="shared" si="218"/>
        <v>3152.67</v>
      </c>
      <c r="Q478" s="69">
        <f t="shared" si="218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6">
        <f>Travel!$T$293</f>
        <v>5000</v>
      </c>
      <c r="AC478" s="66">
        <f>Travel!$T$293</f>
        <v>5000</v>
      </c>
      <c r="AD478" s="66">
        <f>Travel!$T$293</f>
        <v>5000</v>
      </c>
      <c r="AE478" s="66">
        <f>Travel!$T$293</f>
        <v>5000</v>
      </c>
      <c r="AF478" s="66">
        <f>Travel!$T$293</f>
        <v>5000</v>
      </c>
      <c r="AG478" s="66">
        <f>Travel!$T$293</f>
        <v>5000</v>
      </c>
      <c r="AH478" s="66">
        <f>Travel!$T$293</f>
        <v>5000</v>
      </c>
      <c r="AI478" s="66">
        <f>Travel!$T$293</f>
        <v>5000</v>
      </c>
      <c r="AK478" s="191"/>
      <c r="AL478"/>
      <c r="AM478" s="115"/>
      <c r="AN478"/>
      <c r="AO478"/>
      <c r="AP478"/>
    </row>
    <row r="479" spans="1:42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234">ROUND(SUM(H470:H478),5)</f>
        <v>239537.82</v>
      </c>
      <c r="I479" s="75">
        <f t="shared" si="234"/>
        <v>266000</v>
      </c>
      <c r="J479" s="76">
        <f t="shared" si="234"/>
        <v>275471.45</v>
      </c>
      <c r="K479" s="76">
        <f t="shared" si="234"/>
        <v>278000</v>
      </c>
      <c r="L479" s="77">
        <f t="shared" si="234"/>
        <v>291151.94</v>
      </c>
      <c r="M479" s="77">
        <f t="shared" si="234"/>
        <v>273439</v>
      </c>
      <c r="N479" s="78">
        <f t="shared" si="233"/>
        <v>806161.21</v>
      </c>
      <c r="O479" s="78">
        <f t="shared" si="233"/>
        <v>817439</v>
      </c>
      <c r="P479" s="79">
        <f t="shared" si="218"/>
        <v>268720.40333333332</v>
      </c>
      <c r="Q479" s="79">
        <f t="shared" si="218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 t="shared" ref="AB479:AH479" si="235">ROUND(SUM(AB470:AB478),5)</f>
        <v>312650</v>
      </c>
      <c r="AC479" s="91">
        <f t="shared" si="235"/>
        <v>276500</v>
      </c>
      <c r="AD479" s="91">
        <f t="shared" si="235"/>
        <v>276500</v>
      </c>
      <c r="AE479" s="91">
        <f t="shared" si="235"/>
        <v>279500</v>
      </c>
      <c r="AF479" s="91">
        <f t="shared" si="235"/>
        <v>306650</v>
      </c>
      <c r="AG479" s="91">
        <f t="shared" si="235"/>
        <v>312650</v>
      </c>
      <c r="AH479" s="91">
        <f t="shared" si="235"/>
        <v>312650</v>
      </c>
      <c r="AI479" s="91">
        <f t="shared" ref="AI479" si="236">ROUND(SUM(AI470:AI478),5)</f>
        <v>312650</v>
      </c>
      <c r="AK479" s="191"/>
      <c r="AL479"/>
      <c r="AM479" s="115">
        <f>SUM(AM454:AM477)</f>
        <v>13500</v>
      </c>
      <c r="AN479"/>
      <c r="AO479"/>
      <c r="AP479"/>
    </row>
    <row r="480" spans="1:42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F480" s="66"/>
      <c r="AG480" s="66"/>
      <c r="AH480" s="66"/>
      <c r="AI480" s="66"/>
      <c r="AK480" s="191"/>
      <c r="AL480"/>
      <c r="AM480" s="115"/>
      <c r="AN480"/>
      <c r="AO480"/>
      <c r="AP480"/>
    </row>
    <row r="481" spans="1:42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237">ROUND(H481+J481+L481,5)</f>
        <v>20687.05</v>
      </c>
      <c r="O481" s="66">
        <f t="shared" si="237"/>
        <v>17200</v>
      </c>
      <c r="P481" s="69">
        <f t="shared" si="218"/>
        <v>6895.6833333333334</v>
      </c>
      <c r="Q481" s="69">
        <f t="shared" si="218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6">
        <f>Travel!$T$300</f>
        <v>10500</v>
      </c>
      <c r="AC481" s="66">
        <f>Travel!$T$300</f>
        <v>10500</v>
      </c>
      <c r="AD481" s="66">
        <f>Travel!$T$300</f>
        <v>10500</v>
      </c>
      <c r="AE481" s="66">
        <f>Travel!$T$300</f>
        <v>10500</v>
      </c>
      <c r="AF481" s="66">
        <f>Travel!$T$300</f>
        <v>10500</v>
      </c>
      <c r="AG481" s="66">
        <f>Travel!$T$300</f>
        <v>10500</v>
      </c>
      <c r="AH481" s="66">
        <f>Travel!$T$300</f>
        <v>10500</v>
      </c>
      <c r="AI481" s="66">
        <f>Travel!$T$300</f>
        <v>10500</v>
      </c>
      <c r="AK481" s="191"/>
      <c r="AL481"/>
      <c r="AM481" s="115"/>
      <c r="AN481"/>
      <c r="AO481"/>
      <c r="AP481"/>
    </row>
    <row r="482" spans="1:42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237"/>
        <v>57727.78</v>
      </c>
      <c r="O482" s="66">
        <f t="shared" si="237"/>
        <v>41100</v>
      </c>
      <c r="P482" s="69">
        <f t="shared" si="218"/>
        <v>19242.593333333334</v>
      </c>
      <c r="Q482" s="69">
        <f t="shared" si="218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6">
        <f>Travel!$T$312</f>
        <v>18300</v>
      </c>
      <c r="AC482" s="66">
        <v>15000</v>
      </c>
      <c r="AD482" s="66">
        <v>15000</v>
      </c>
      <c r="AE482" s="66">
        <v>15000</v>
      </c>
      <c r="AF482" s="66">
        <f>Travel!$T$312</f>
        <v>18300</v>
      </c>
      <c r="AG482" s="66">
        <f>Travel!$T$312</f>
        <v>18300</v>
      </c>
      <c r="AH482" s="66">
        <f>Travel!$T$312</f>
        <v>18300</v>
      </c>
      <c r="AI482" s="66">
        <f>Travel!$T$312</f>
        <v>18300</v>
      </c>
      <c r="AK482" s="191"/>
      <c r="AL482"/>
      <c r="AM482" s="115"/>
      <c r="AN482"/>
      <c r="AO482"/>
      <c r="AP482"/>
    </row>
    <row r="483" spans="1:42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237"/>
        <v>70814.95</v>
      </c>
      <c r="O483" s="66">
        <f t="shared" si="237"/>
        <v>78000</v>
      </c>
      <c r="P483" s="69">
        <f t="shared" si="218"/>
        <v>23604.983333333334</v>
      </c>
      <c r="Q483" s="69">
        <f t="shared" si="218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6">
        <f>Travel!$T$332</f>
        <v>30500</v>
      </c>
      <c r="AC483" s="66">
        <v>25000</v>
      </c>
      <c r="AD483" s="66">
        <v>25000</v>
      </c>
      <c r="AE483" s="66">
        <v>25000</v>
      </c>
      <c r="AF483" s="66">
        <f>Travel!$T$332</f>
        <v>30500</v>
      </c>
      <c r="AG483" s="66">
        <f>Travel!$T$332</f>
        <v>30500</v>
      </c>
      <c r="AH483" s="66">
        <f>Travel!$T$332</f>
        <v>30500</v>
      </c>
      <c r="AI483" s="66">
        <f>Travel!$T$332</f>
        <v>30500</v>
      </c>
      <c r="AK483" s="191"/>
      <c r="AL483"/>
      <c r="AM483" s="115"/>
      <c r="AN483"/>
      <c r="AO483"/>
      <c r="AP483"/>
    </row>
    <row r="484" spans="1:42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237"/>
        <v>4458.2</v>
      </c>
      <c r="O484" s="66">
        <f t="shared" si="237"/>
        <v>14615</v>
      </c>
      <c r="P484" s="69">
        <f t="shared" si="218"/>
        <v>1486.0666666666666</v>
      </c>
      <c r="Q484" s="69">
        <f t="shared" si="218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6">
        <f>Travel!$T$336</f>
        <v>5000</v>
      </c>
      <c r="AC484" s="66">
        <f>Travel!$T$336</f>
        <v>5000</v>
      </c>
      <c r="AD484" s="66">
        <f>Travel!$T$336</f>
        <v>5000</v>
      </c>
      <c r="AE484" s="66">
        <f>Travel!$T$336</f>
        <v>5000</v>
      </c>
      <c r="AF484" s="66">
        <f>Travel!$T$336</f>
        <v>5000</v>
      </c>
      <c r="AG484" s="66">
        <f>Travel!$T$336</f>
        <v>5000</v>
      </c>
      <c r="AH484" s="66">
        <f>Travel!$T$336</f>
        <v>5000</v>
      </c>
      <c r="AI484" s="66">
        <f>Travel!$T$336</f>
        <v>5000</v>
      </c>
      <c r="AK484" s="191"/>
      <c r="AL484"/>
      <c r="AM484" s="115"/>
      <c r="AN484"/>
      <c r="AO484"/>
      <c r="AP484"/>
    </row>
    <row r="485" spans="1:42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237"/>
        <v>10610.4</v>
      </c>
      <c r="O485" s="66">
        <f t="shared" si="237"/>
        <v>61200</v>
      </c>
      <c r="P485" s="69">
        <f t="shared" si="218"/>
        <v>3536.7999999999997</v>
      </c>
      <c r="Q485" s="69">
        <f t="shared" si="218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6">
        <f>Travel!$T$352</f>
        <v>21000</v>
      </c>
      <c r="AC485" s="66">
        <v>15000</v>
      </c>
      <c r="AD485" s="66">
        <v>15000</v>
      </c>
      <c r="AE485" s="66">
        <v>15000</v>
      </c>
      <c r="AF485" s="66">
        <f>Travel!$T$352</f>
        <v>21000</v>
      </c>
      <c r="AG485" s="66">
        <f>Travel!$T$352</f>
        <v>21000</v>
      </c>
      <c r="AH485" s="66">
        <f>Travel!$T$352</f>
        <v>21000</v>
      </c>
      <c r="AI485" s="66">
        <f>Travel!$T$352</f>
        <v>21000</v>
      </c>
      <c r="AK485" s="191"/>
      <c r="AL485"/>
      <c r="AM485" s="115"/>
      <c r="AN485"/>
      <c r="AO485"/>
      <c r="AP485"/>
    </row>
    <row r="486" spans="1:42" ht="32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237"/>
        <v>81544.240000000005</v>
      </c>
      <c r="O486" s="66">
        <f t="shared" si="237"/>
        <v>84000</v>
      </c>
      <c r="P486" s="69">
        <f t="shared" si="218"/>
        <v>27181.413333333334</v>
      </c>
      <c r="Q486" s="69">
        <f t="shared" si="218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6">
        <f>Travel!$T$361</f>
        <v>39999.994999999995</v>
      </c>
      <c r="AC486" s="66">
        <v>30000</v>
      </c>
      <c r="AD486" s="66">
        <v>30000</v>
      </c>
      <c r="AE486" s="66">
        <v>30000</v>
      </c>
      <c r="AF486" s="66">
        <f>Travel!$T$361</f>
        <v>39999.994999999995</v>
      </c>
      <c r="AG486" s="66">
        <f>Travel!$T$361</f>
        <v>39999.994999999995</v>
      </c>
      <c r="AH486" s="66">
        <f>Travel!$T$361</f>
        <v>39999.994999999995</v>
      </c>
      <c r="AI486" s="66">
        <f>Travel!$T$361</f>
        <v>39999.994999999995</v>
      </c>
      <c r="AJ486" s="206" t="s">
        <v>1000</v>
      </c>
      <c r="AK486" s="218" t="s">
        <v>1010</v>
      </c>
      <c r="AL486"/>
      <c r="AM486" s="115">
        <v>5000</v>
      </c>
      <c r="AN486"/>
      <c r="AO486"/>
      <c r="AP486"/>
    </row>
    <row r="487" spans="1:42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237"/>
        <v>2890.95</v>
      </c>
      <c r="O487" s="66">
        <f t="shared" si="237"/>
        <v>5000</v>
      </c>
      <c r="P487" s="69">
        <f t="shared" si="218"/>
        <v>963.65</v>
      </c>
      <c r="Q487" s="69">
        <f t="shared" si="218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6">
        <f>Travel!$T$362</f>
        <v>5000</v>
      </c>
      <c r="AC487" s="66">
        <f>Travel!$T$362</f>
        <v>5000</v>
      </c>
      <c r="AD487" s="66">
        <f>Travel!$T$362</f>
        <v>5000</v>
      </c>
      <c r="AE487" s="66">
        <f>Travel!$T$362</f>
        <v>5000</v>
      </c>
      <c r="AF487" s="66">
        <f>Travel!$T$362</f>
        <v>5000</v>
      </c>
      <c r="AG487" s="66">
        <f>Travel!$T$362</f>
        <v>5000</v>
      </c>
      <c r="AH487" s="66">
        <f>Travel!$T$362</f>
        <v>5000</v>
      </c>
      <c r="AI487" s="66">
        <f>Travel!$T$362</f>
        <v>5000</v>
      </c>
      <c r="AK487" s="191"/>
      <c r="AL487"/>
      <c r="AM487" s="115"/>
      <c r="AN487"/>
      <c r="AO487"/>
      <c r="AP487"/>
    </row>
    <row r="488" spans="1:42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238">ROUND(SUM(H480:H487),5)</f>
        <v>59874.94</v>
      </c>
      <c r="I488" s="75">
        <f t="shared" si="238"/>
        <v>92500</v>
      </c>
      <c r="J488" s="76">
        <f t="shared" si="238"/>
        <v>75252.66</v>
      </c>
      <c r="K488" s="76">
        <f t="shared" si="238"/>
        <v>95000</v>
      </c>
      <c r="L488" s="77">
        <f t="shared" si="238"/>
        <v>113605.97</v>
      </c>
      <c r="M488" s="77">
        <f t="shared" si="238"/>
        <v>113615</v>
      </c>
      <c r="N488" s="78">
        <f t="shared" si="237"/>
        <v>248733.57</v>
      </c>
      <c r="O488" s="78">
        <f t="shared" si="237"/>
        <v>301115</v>
      </c>
      <c r="P488" s="79">
        <f t="shared" si="218"/>
        <v>82911.19</v>
      </c>
      <c r="Q488" s="79">
        <f t="shared" si="218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 t="shared" ref="AB488:AH488" si="239">ROUND(SUM(AB480:AB487),5)</f>
        <v>130299.995</v>
      </c>
      <c r="AC488" s="91">
        <f t="shared" si="239"/>
        <v>105500</v>
      </c>
      <c r="AD488" s="91">
        <f t="shared" si="239"/>
        <v>105500</v>
      </c>
      <c r="AE488" s="91">
        <f t="shared" si="239"/>
        <v>105500</v>
      </c>
      <c r="AF488" s="91">
        <f t="shared" si="239"/>
        <v>130299.995</v>
      </c>
      <c r="AG488" s="91">
        <f t="shared" si="239"/>
        <v>130299.995</v>
      </c>
      <c r="AH488" s="91">
        <f t="shared" si="239"/>
        <v>130299.995</v>
      </c>
      <c r="AI488" s="91">
        <f t="shared" ref="AI488" si="240">ROUND(SUM(AI480:AI487),5)</f>
        <v>130299.995</v>
      </c>
      <c r="AK488" s="191"/>
      <c r="AL488"/>
      <c r="AM488" s="115"/>
      <c r="AN488"/>
      <c r="AO488"/>
      <c r="AP488"/>
    </row>
    <row r="489" spans="1:42" ht="1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241">ROUND(H429+H441+H455+H464+H469+H479+SUM(H488:H488),5)</f>
        <v>418230.26</v>
      </c>
      <c r="I489" s="75">
        <f t="shared" si="241"/>
        <v>595000</v>
      </c>
      <c r="J489" s="76">
        <f t="shared" si="241"/>
        <v>490473.05</v>
      </c>
      <c r="K489" s="76">
        <f t="shared" si="241"/>
        <v>579550</v>
      </c>
      <c r="L489" s="77">
        <f t="shared" si="241"/>
        <v>559533.9</v>
      </c>
      <c r="M489" s="77">
        <f t="shared" si="241"/>
        <v>649239</v>
      </c>
      <c r="N489" s="78">
        <f t="shared" si="237"/>
        <v>1468237.21</v>
      </c>
      <c r="O489" s="78">
        <f t="shared" si="237"/>
        <v>1823789</v>
      </c>
      <c r="P489" s="79">
        <f t="shared" si="218"/>
        <v>489412.40333333332</v>
      </c>
      <c r="Q489" s="79">
        <f t="shared" si="218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 t="shared" ref="AB489:AH489" si="242">ROUND(AB429+AB441+AB455+AB464+AB469+AB479+SUM(AB488:AB488),5)</f>
        <v>720549.995</v>
      </c>
      <c r="AC489" s="78">
        <f t="shared" si="242"/>
        <v>605300</v>
      </c>
      <c r="AD489" s="78">
        <f t="shared" si="242"/>
        <v>625300</v>
      </c>
      <c r="AE489" s="78">
        <f t="shared" si="242"/>
        <v>647100</v>
      </c>
      <c r="AF489" s="78">
        <f t="shared" si="242"/>
        <v>737299.995</v>
      </c>
      <c r="AG489" s="78">
        <f t="shared" si="242"/>
        <v>744599.995</v>
      </c>
      <c r="AH489" s="78">
        <f t="shared" si="242"/>
        <v>744599.995</v>
      </c>
      <c r="AI489" s="78">
        <f t="shared" ref="AI489" si="243">ROUND(AI429+AI441+AI455+AI464+AI469+AI479+SUM(AI488:AI488),5)</f>
        <v>718699.995</v>
      </c>
      <c r="AK489" s="191"/>
      <c r="AL489"/>
      <c r="AM489" s="115"/>
      <c r="AN489"/>
      <c r="AO489"/>
      <c r="AP489"/>
    </row>
    <row r="490" spans="1:42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218"/>
        <v>0</v>
      </c>
      <c r="Q490" s="69">
        <f t="shared" si="218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F490" s="66"/>
      <c r="AG490" s="66"/>
      <c r="AH490" s="66"/>
      <c r="AI490" s="66"/>
      <c r="AK490" s="191"/>
      <c r="AL490"/>
      <c r="AM490" s="115"/>
      <c r="AN490"/>
      <c r="AO490"/>
      <c r="AP490"/>
    </row>
    <row r="491" spans="1:42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4" si="244">ROUND(H491+J491+L491,5)</f>
        <v>10042.5</v>
      </c>
      <c r="O491" s="66">
        <f t="shared" si="244"/>
        <v>30000</v>
      </c>
      <c r="P491" s="69">
        <f t="shared" si="218"/>
        <v>3347.5</v>
      </c>
      <c r="Q491" s="69">
        <f t="shared" si="218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H491" s="66">
        <v>0</v>
      </c>
      <c r="AI491" s="66">
        <v>0</v>
      </c>
      <c r="AK491" s="191"/>
      <c r="AL491"/>
      <c r="AM491" s="115"/>
      <c r="AN491"/>
      <c r="AO491"/>
      <c r="AP491"/>
    </row>
    <row r="492" spans="1:42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244"/>
        <v>7205.43</v>
      </c>
      <c r="O492" s="66">
        <f t="shared" si="244"/>
        <v>8000</v>
      </c>
      <c r="P492" s="69">
        <f t="shared" si="218"/>
        <v>2401.81</v>
      </c>
      <c r="Q492" s="69">
        <f t="shared" si="218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G492" s="66">
        <v>2500</v>
      </c>
      <c r="AH492" s="66">
        <v>2500</v>
      </c>
      <c r="AI492" s="66">
        <v>2500</v>
      </c>
      <c r="AK492" s="191"/>
      <c r="AL492"/>
      <c r="AM492" s="115"/>
      <c r="AN492"/>
      <c r="AO492"/>
      <c r="AP492"/>
    </row>
    <row r="493" spans="1:42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244"/>
        <v>15127.94</v>
      </c>
      <c r="O493" s="66">
        <f t="shared" si="244"/>
        <v>16500</v>
      </c>
      <c r="P493" s="69">
        <f t="shared" si="218"/>
        <v>5042.6466666666665</v>
      </c>
      <c r="Q493" s="69">
        <f t="shared" si="218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6">
        <v>6000</v>
      </c>
      <c r="AC493" s="66">
        <v>6000</v>
      </c>
      <c r="AD493" s="66">
        <v>6000</v>
      </c>
      <c r="AE493" s="66">
        <v>6000</v>
      </c>
      <c r="AF493" s="66">
        <v>6000</v>
      </c>
      <c r="AG493" s="66">
        <v>6000</v>
      </c>
      <c r="AH493" s="66">
        <v>6000</v>
      </c>
      <c r="AI493" s="66">
        <v>6000</v>
      </c>
      <c r="AK493" s="191"/>
      <c r="AL493"/>
      <c r="AM493" s="115"/>
      <c r="AN493"/>
      <c r="AO493"/>
      <c r="AP493"/>
    </row>
    <row r="494" spans="1:42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244"/>
        <v>13298.77</v>
      </c>
      <c r="O494" s="66">
        <f t="shared" si="244"/>
        <v>7000</v>
      </c>
      <c r="P494" s="69">
        <f t="shared" si="218"/>
        <v>4432.9233333333332</v>
      </c>
      <c r="Q494" s="69">
        <f t="shared" si="218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G494" s="66">
        <v>3000</v>
      </c>
      <c r="AH494" s="66">
        <v>3000</v>
      </c>
      <c r="AI494" s="66">
        <v>3000</v>
      </c>
      <c r="AK494" s="191"/>
      <c r="AL494"/>
      <c r="AM494" s="115"/>
      <c r="AN494"/>
      <c r="AO494"/>
      <c r="AP494"/>
    </row>
    <row r="495" spans="1:42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244"/>
        <v>510268.35</v>
      </c>
      <c r="O495" s="66">
        <f t="shared" si="244"/>
        <v>437243.12</v>
      </c>
      <c r="P495" s="69">
        <f t="shared" si="218"/>
        <v>170089.44999999998</v>
      </c>
      <c r="Q495" s="69">
        <f t="shared" si="218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 t="shared" ref="AB495:AF495" si="245">ROUND(AB220*0.0386, 0)</f>
        <v>205031</v>
      </c>
      <c r="AC495" s="66">
        <f t="shared" si="245"/>
        <v>205031</v>
      </c>
      <c r="AD495" s="66">
        <f t="shared" si="245"/>
        <v>207550</v>
      </c>
      <c r="AE495" s="66">
        <f t="shared" si="245"/>
        <v>206778</v>
      </c>
      <c r="AF495" s="66">
        <f t="shared" si="245"/>
        <v>212691</v>
      </c>
      <c r="AG495" s="66">
        <f>ROUND(AG220*0.0386, 0)</f>
        <v>216120</v>
      </c>
      <c r="AH495" s="66">
        <f>ROUND(AH220*0.0386, 0)</f>
        <v>221717</v>
      </c>
      <c r="AI495" s="66">
        <f>ROUND(AI220*0.0386, 0)</f>
        <v>219170</v>
      </c>
      <c r="AJ495" s="197"/>
      <c r="AK495" s="232" t="s">
        <v>844</v>
      </c>
      <c r="AL495"/>
      <c r="AM495" s="115"/>
      <c r="AN495"/>
      <c r="AO495"/>
      <c r="AP495"/>
    </row>
    <row r="496" spans="1:42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244"/>
        <v>0</v>
      </c>
      <c r="O496" s="66">
        <f>ROUND(I496+K496+M496,5)</f>
        <v>1000</v>
      </c>
      <c r="P496" s="69">
        <f t="shared" si="218"/>
        <v>0</v>
      </c>
      <c r="Q496" s="69">
        <f t="shared" si="218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0</v>
      </c>
      <c r="AI496" s="66">
        <v>0</v>
      </c>
      <c r="AJ496" s="197"/>
      <c r="AK496" s="147"/>
      <c r="AL496"/>
      <c r="AM496" s="115"/>
      <c r="AN496"/>
      <c r="AO496"/>
      <c r="AP496"/>
    </row>
    <row r="497" spans="1:42" x14ac:dyDescent="0.35">
      <c r="A497" s="66"/>
      <c r="B497" s="66"/>
      <c r="C497" s="49"/>
      <c r="D497" s="49"/>
      <c r="E497" s="49"/>
      <c r="F497" s="49"/>
      <c r="G497" s="49"/>
      <c r="H497" s="63"/>
      <c r="I497" s="63"/>
      <c r="J497" s="64"/>
      <c r="K497" s="64"/>
      <c r="L497" s="65"/>
      <c r="M497" s="65"/>
      <c r="N497" s="66"/>
      <c r="O497" s="66"/>
      <c r="P497" s="69"/>
      <c r="Q497" s="69"/>
      <c r="R497" s="54"/>
      <c r="S497" s="49"/>
      <c r="T497" s="49"/>
      <c r="U497" s="49"/>
      <c r="V497" s="49"/>
      <c r="W497" s="49" t="s">
        <v>967</v>
      </c>
      <c r="X497" s="49"/>
      <c r="Y497" s="49"/>
      <c r="Z497" s="66"/>
      <c r="AA497" s="140"/>
      <c r="AB497" s="66"/>
      <c r="AC497" s="66"/>
      <c r="AD497" s="66"/>
      <c r="AE497" s="66"/>
      <c r="AF497" s="66"/>
      <c r="AG497" s="66"/>
      <c r="AH497" s="66"/>
      <c r="AI497" s="66"/>
      <c r="AJ497" s="197"/>
      <c r="AK497" s="147"/>
      <c r="AL497"/>
      <c r="AM497" s="115"/>
      <c r="AN497"/>
      <c r="AO497"/>
      <c r="AP497"/>
    </row>
    <row r="498" spans="1:42" ht="16" x14ac:dyDescent="0.35">
      <c r="A498" s="66"/>
      <c r="B498" s="66"/>
      <c r="C498" s="49"/>
      <c r="D498" s="49"/>
      <c r="E498" s="49" t="s">
        <v>493</v>
      </c>
      <c r="F498" s="49"/>
      <c r="G498" s="49"/>
      <c r="H498" s="63">
        <v>3322.5</v>
      </c>
      <c r="I498" s="63">
        <v>6000</v>
      </c>
      <c r="J498" s="64">
        <v>5750.2</v>
      </c>
      <c r="K498" s="64">
        <v>4000</v>
      </c>
      <c r="L498" s="65">
        <v>26568.75</v>
      </c>
      <c r="M498" s="65">
        <v>4000</v>
      </c>
      <c r="N498" s="66">
        <f t="shared" si="244"/>
        <v>35641.449999999997</v>
      </c>
      <c r="O498" s="66">
        <f t="shared" si="244"/>
        <v>14000</v>
      </c>
      <c r="P498" s="69">
        <f t="shared" si="218"/>
        <v>11880.483333333332</v>
      </c>
      <c r="Q498" s="69">
        <f t="shared" si="218"/>
        <v>4666.666666666667</v>
      </c>
      <c r="R498" s="54"/>
      <c r="S498" s="49"/>
      <c r="T498" s="49"/>
      <c r="U498" s="49"/>
      <c r="V498" s="49"/>
      <c r="W498" s="49" t="s">
        <v>493</v>
      </c>
      <c r="X498" s="49"/>
      <c r="Y498" s="49"/>
      <c r="Z498" s="66">
        <v>37500</v>
      </c>
      <c r="AA498" s="140"/>
      <c r="AB498" s="66">
        <v>24000</v>
      </c>
      <c r="AC498" s="66">
        <v>24000</v>
      </c>
      <c r="AD498" s="66">
        <v>24000</v>
      </c>
      <c r="AE498" s="66">
        <v>24000</v>
      </c>
      <c r="AF498" s="66">
        <v>24000</v>
      </c>
      <c r="AG498" s="66">
        <v>15000</v>
      </c>
      <c r="AH498" s="66">
        <v>15000</v>
      </c>
      <c r="AI498" s="66">
        <v>15000</v>
      </c>
      <c r="AK498" s="191"/>
      <c r="AL498"/>
      <c r="AM498" s="115"/>
      <c r="AN498"/>
      <c r="AO498"/>
      <c r="AP498"/>
    </row>
    <row r="499" spans="1:42" ht="16" x14ac:dyDescent="0.35">
      <c r="A499" s="66"/>
      <c r="B499" s="66"/>
      <c r="C499" s="49"/>
      <c r="D499" s="49"/>
      <c r="E499" s="49" t="s">
        <v>494</v>
      </c>
      <c r="F499" s="49"/>
      <c r="G499" s="49"/>
      <c r="H499" s="63">
        <v>2934</v>
      </c>
      <c r="I499" s="63">
        <v>5607</v>
      </c>
      <c r="J499" s="64">
        <v>0</v>
      </c>
      <c r="K499" s="64">
        <v>0</v>
      </c>
      <c r="L499" s="65">
        <v>0</v>
      </c>
      <c r="M499" s="65">
        <v>0</v>
      </c>
      <c r="N499" s="66">
        <f t="shared" si="244"/>
        <v>2934</v>
      </c>
      <c r="O499" s="66">
        <f t="shared" si="244"/>
        <v>5607</v>
      </c>
      <c r="P499" s="69">
        <f t="shared" si="218"/>
        <v>978</v>
      </c>
      <c r="Q499" s="69">
        <f t="shared" si="218"/>
        <v>1869</v>
      </c>
      <c r="R499" s="54"/>
      <c r="S499" s="49"/>
      <c r="T499" s="49"/>
      <c r="U499" s="49"/>
      <c r="V499" s="49"/>
      <c r="W499" s="49" t="s">
        <v>494</v>
      </c>
      <c r="X499" s="49"/>
      <c r="Y499" s="49"/>
      <c r="Z499" s="66">
        <v>0</v>
      </c>
      <c r="AA499" s="140"/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0</v>
      </c>
      <c r="AI499" s="66">
        <v>0</v>
      </c>
      <c r="AK499" s="191"/>
      <c r="AL499"/>
      <c r="AM499" s="115"/>
      <c r="AN499"/>
      <c r="AO499"/>
      <c r="AP499"/>
    </row>
    <row r="500" spans="1:42" ht="29" x14ac:dyDescent="0.35">
      <c r="A500" s="66"/>
      <c r="B500" s="66"/>
      <c r="C500" s="49"/>
      <c r="D500" s="49"/>
      <c r="E500" s="49" t="s">
        <v>495</v>
      </c>
      <c r="F500" s="49"/>
      <c r="G500" s="49"/>
      <c r="H500" s="63">
        <v>74809.66</v>
      </c>
      <c r="I500" s="63">
        <v>105600</v>
      </c>
      <c r="J500" s="64">
        <v>52243.49</v>
      </c>
      <c r="K500" s="64">
        <v>53000</v>
      </c>
      <c r="L500" s="65">
        <v>51678.79</v>
      </c>
      <c r="M500" s="65">
        <v>70507</v>
      </c>
      <c r="N500" s="66">
        <f t="shared" si="244"/>
        <v>178731.94</v>
      </c>
      <c r="O500" s="66">
        <f t="shared" si="244"/>
        <v>229107</v>
      </c>
      <c r="P500" s="69">
        <f t="shared" si="218"/>
        <v>59577.313333333332</v>
      </c>
      <c r="Q500" s="69">
        <f t="shared" si="218"/>
        <v>76369</v>
      </c>
      <c r="R500" s="54"/>
      <c r="S500" s="49"/>
      <c r="T500" s="49"/>
      <c r="U500" s="49"/>
      <c r="V500" s="49"/>
      <c r="W500" s="49" t="s">
        <v>495</v>
      </c>
      <c r="X500" s="49"/>
      <c r="Y500" s="49"/>
      <c r="Z500" s="66">
        <v>74122.820000000007</v>
      </c>
      <c r="AA500" s="140"/>
      <c r="AB500" s="66">
        <v>109482.14</v>
      </c>
      <c r="AC500" s="66">
        <v>109482.14</v>
      </c>
      <c r="AD500" s="66">
        <v>109482.14</v>
      </c>
      <c r="AE500" s="66">
        <v>109482.14</v>
      </c>
      <c r="AF500" s="66">
        <f>ROUND(135482.14, 0)</f>
        <v>135482</v>
      </c>
      <c r="AG500" s="66">
        <f>ROUND(145282.14, 0)</f>
        <v>145282</v>
      </c>
      <c r="AH500" s="66">
        <v>121979.63</v>
      </c>
      <c r="AI500" s="66">
        <v>121979.63</v>
      </c>
      <c r="AJ500" s="206" t="s">
        <v>1000</v>
      </c>
      <c r="AK500" s="231" t="s">
        <v>969</v>
      </c>
      <c r="AL500"/>
      <c r="AM500" s="115"/>
      <c r="AN500"/>
      <c r="AO500"/>
      <c r="AP500"/>
    </row>
    <row r="501" spans="1:42" ht="16" x14ac:dyDescent="0.35">
      <c r="A501" s="66"/>
      <c r="B501" s="66"/>
      <c r="C501" s="49"/>
      <c r="D501" s="49"/>
      <c r="E501" s="49" t="s">
        <v>496</v>
      </c>
      <c r="F501" s="49"/>
      <c r="G501" s="49"/>
      <c r="H501" s="63">
        <v>2727.19</v>
      </c>
      <c r="I501" s="63">
        <v>4500</v>
      </c>
      <c r="J501" s="64">
        <v>4935.63</v>
      </c>
      <c r="K501" s="64">
        <v>4500</v>
      </c>
      <c r="L501" s="65">
        <v>6253.02</v>
      </c>
      <c r="M501" s="65">
        <v>4025</v>
      </c>
      <c r="N501" s="66">
        <f t="shared" si="244"/>
        <v>13915.84</v>
      </c>
      <c r="O501" s="66">
        <f t="shared" si="244"/>
        <v>13025</v>
      </c>
      <c r="P501" s="69">
        <f t="shared" si="218"/>
        <v>4638.6133333333337</v>
      </c>
      <c r="Q501" s="69">
        <f t="shared" si="218"/>
        <v>4341.666666666667</v>
      </c>
      <c r="R501" s="54"/>
      <c r="S501" s="49"/>
      <c r="T501" s="49"/>
      <c r="U501" s="49"/>
      <c r="V501" s="49"/>
      <c r="W501" s="49" t="s">
        <v>496</v>
      </c>
      <c r="X501" s="49"/>
      <c r="Y501" s="49"/>
      <c r="Z501" s="66">
        <v>8352</v>
      </c>
      <c r="AA501" s="140"/>
      <c r="AB501" s="66">
        <v>4563</v>
      </c>
      <c r="AC501" s="66">
        <v>4563</v>
      </c>
      <c r="AD501" s="66">
        <v>4563</v>
      </c>
      <c r="AE501" s="66">
        <v>4563</v>
      </c>
      <c r="AF501" s="66">
        <v>4563</v>
      </c>
      <c r="AG501" s="66">
        <v>4563</v>
      </c>
      <c r="AH501" s="66">
        <v>4563</v>
      </c>
      <c r="AI501" s="66">
        <v>4563</v>
      </c>
      <c r="AK501" s="191"/>
      <c r="AL501"/>
      <c r="AM501" s="115"/>
      <c r="AN501"/>
      <c r="AO501"/>
      <c r="AP501"/>
    </row>
    <row r="502" spans="1:42" ht="16" x14ac:dyDescent="0.35">
      <c r="A502" s="66"/>
      <c r="B502" s="66"/>
      <c r="C502" s="49"/>
      <c r="D502" s="49"/>
      <c r="E502" s="49" t="s">
        <v>497</v>
      </c>
      <c r="F502" s="49"/>
      <c r="G502" s="49"/>
      <c r="H502" s="63">
        <v>3590</v>
      </c>
      <c r="I502" s="63">
        <v>4608</v>
      </c>
      <c r="J502" s="64">
        <v>3588</v>
      </c>
      <c r="K502" s="64">
        <v>3700</v>
      </c>
      <c r="L502" s="65">
        <v>689</v>
      </c>
      <c r="M502" s="65">
        <v>3600</v>
      </c>
      <c r="N502" s="66">
        <f t="shared" si="244"/>
        <v>7867</v>
      </c>
      <c r="O502" s="66">
        <f t="shared" si="244"/>
        <v>11908</v>
      </c>
      <c r="P502" s="69">
        <f t="shared" si="218"/>
        <v>2622.3333333333335</v>
      </c>
      <c r="Q502" s="69">
        <f t="shared" si="218"/>
        <v>3969.3333333333335</v>
      </c>
      <c r="R502" s="54"/>
      <c r="S502" s="49"/>
      <c r="T502" s="49"/>
      <c r="U502" s="49"/>
      <c r="V502" s="49"/>
      <c r="W502" s="49" t="s">
        <v>497</v>
      </c>
      <c r="X502" s="49"/>
      <c r="Y502" s="49"/>
      <c r="Z502" s="66">
        <v>2000</v>
      </c>
      <c r="AA502" s="140"/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0</v>
      </c>
      <c r="AI502" s="66">
        <v>0</v>
      </c>
      <c r="AK502" s="191"/>
      <c r="AL502"/>
      <c r="AM502" s="115"/>
      <c r="AN502"/>
      <c r="AO502"/>
      <c r="AP502"/>
    </row>
    <row r="503" spans="1:42" ht="16" x14ac:dyDescent="0.35">
      <c r="A503" s="66"/>
      <c r="B503" s="66"/>
      <c r="C503" s="49"/>
      <c r="D503" s="49"/>
      <c r="E503" s="49" t="s">
        <v>498</v>
      </c>
      <c r="F503" s="49"/>
      <c r="G503" s="49"/>
      <c r="H503" s="63">
        <v>12597.17</v>
      </c>
      <c r="I503" s="63">
        <v>12766</v>
      </c>
      <c r="J503" s="64">
        <v>11637.22</v>
      </c>
      <c r="K503" s="64">
        <v>12771.48</v>
      </c>
      <c r="L503" s="65">
        <v>11300</v>
      </c>
      <c r="M503" s="65">
        <v>11832</v>
      </c>
      <c r="N503" s="66">
        <f t="shared" si="244"/>
        <v>35534.39</v>
      </c>
      <c r="O503" s="66">
        <f t="shared" si="244"/>
        <v>37369.480000000003</v>
      </c>
      <c r="P503" s="69">
        <f t="shared" si="218"/>
        <v>11844.796666666667</v>
      </c>
      <c r="Q503" s="69">
        <f t="shared" si="218"/>
        <v>12456.493333333334</v>
      </c>
      <c r="R503" s="54"/>
      <c r="S503" s="49"/>
      <c r="T503" s="49"/>
      <c r="U503" s="49"/>
      <c r="V503" s="49"/>
      <c r="W503" s="49" t="s">
        <v>498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G503" s="66">
        <v>11767.5</v>
      </c>
      <c r="AH503" s="66">
        <v>11767.5</v>
      </c>
      <c r="AI503" s="66">
        <v>11767.5</v>
      </c>
      <c r="AK503" s="191"/>
      <c r="AL503"/>
      <c r="AM503" s="115"/>
      <c r="AN503"/>
      <c r="AO503"/>
      <c r="AP503"/>
    </row>
    <row r="504" spans="1:42" ht="16" x14ac:dyDescent="0.35">
      <c r="A504" s="66"/>
      <c r="B504" s="66"/>
      <c r="C504" s="49"/>
      <c r="D504" s="49"/>
      <c r="E504" s="49" t="s">
        <v>499</v>
      </c>
      <c r="F504" s="49"/>
      <c r="G504" s="49"/>
      <c r="H504" s="63">
        <v>12597.14</v>
      </c>
      <c r="I504" s="63">
        <v>12766</v>
      </c>
      <c r="J504" s="64">
        <v>11637.22</v>
      </c>
      <c r="K504" s="64">
        <v>12771.35</v>
      </c>
      <c r="L504" s="65">
        <v>11300</v>
      </c>
      <c r="M504" s="65">
        <v>11832</v>
      </c>
      <c r="N504" s="66">
        <f t="shared" si="244"/>
        <v>35534.36</v>
      </c>
      <c r="O504" s="66">
        <f t="shared" si="244"/>
        <v>37369.35</v>
      </c>
      <c r="P504" s="69">
        <f t="shared" si="218"/>
        <v>11844.786666666667</v>
      </c>
      <c r="Q504" s="69">
        <f t="shared" si="218"/>
        <v>12456.449999999999</v>
      </c>
      <c r="R504" s="54"/>
      <c r="S504" s="49"/>
      <c r="T504" s="49"/>
      <c r="U504" s="49"/>
      <c r="V504" s="49"/>
      <c r="W504" s="49" t="s">
        <v>499</v>
      </c>
      <c r="X504" s="49"/>
      <c r="Y504" s="49"/>
      <c r="Z504" s="66">
        <v>12424</v>
      </c>
      <c r="AA504" s="140"/>
      <c r="AB504" s="66">
        <v>11767.5</v>
      </c>
      <c r="AC504" s="66">
        <v>11767.5</v>
      </c>
      <c r="AD504" s="66">
        <v>11767.5</v>
      </c>
      <c r="AE504" s="66">
        <v>11767.5</v>
      </c>
      <c r="AF504" s="66">
        <v>11767.5</v>
      </c>
      <c r="AG504" s="66">
        <v>11767.5</v>
      </c>
      <c r="AH504" s="66">
        <v>11767.5</v>
      </c>
      <c r="AI504" s="66">
        <v>11767.5</v>
      </c>
      <c r="AK504" s="191"/>
      <c r="AL504"/>
      <c r="AM504" s="115"/>
      <c r="AN504"/>
      <c r="AO504"/>
      <c r="AP504"/>
    </row>
    <row r="505" spans="1:42" ht="16" x14ac:dyDescent="0.35">
      <c r="A505" s="66"/>
      <c r="B505" s="66"/>
      <c r="C505" s="49"/>
      <c r="D505" s="49"/>
      <c r="E505" s="49" t="s">
        <v>500</v>
      </c>
      <c r="F505" s="49"/>
      <c r="G505" s="49"/>
      <c r="H505" s="63">
        <v>4694</v>
      </c>
      <c r="I505" s="63">
        <v>4807</v>
      </c>
      <c r="J505" s="64">
        <v>5020.5</v>
      </c>
      <c r="K505" s="64">
        <v>4700</v>
      </c>
      <c r="L505" s="65">
        <v>5177.16</v>
      </c>
      <c r="M505" s="65">
        <v>5244</v>
      </c>
      <c r="N505" s="66">
        <f t="shared" si="244"/>
        <v>14891.66</v>
      </c>
      <c r="O505" s="66">
        <f t="shared" si="244"/>
        <v>14751</v>
      </c>
      <c r="P505" s="69">
        <f t="shared" si="218"/>
        <v>4963.8866666666663</v>
      </c>
      <c r="Q505" s="69">
        <f t="shared" si="218"/>
        <v>4917</v>
      </c>
      <c r="R505" s="54"/>
      <c r="S505" s="49"/>
      <c r="T505" s="49"/>
      <c r="U505" s="49"/>
      <c r="V505" s="49"/>
      <c r="W505" s="49" t="s">
        <v>500</v>
      </c>
      <c r="X505" s="49"/>
      <c r="Y505" s="49"/>
      <c r="Z505" s="66">
        <v>5411</v>
      </c>
      <c r="AA505" s="140"/>
      <c r="AB505" s="66">
        <f t="shared" ref="AB505:AI505" si="246">ROUND(7535.85, 0)</f>
        <v>7536</v>
      </c>
      <c r="AC505" s="66">
        <f t="shared" si="246"/>
        <v>7536</v>
      </c>
      <c r="AD505" s="66">
        <f t="shared" si="246"/>
        <v>7536</v>
      </c>
      <c r="AE505" s="66">
        <f t="shared" si="246"/>
        <v>7536</v>
      </c>
      <c r="AF505" s="66">
        <f t="shared" si="246"/>
        <v>7536</v>
      </c>
      <c r="AG505" s="66">
        <f t="shared" si="246"/>
        <v>7536</v>
      </c>
      <c r="AH505" s="66">
        <f t="shared" si="246"/>
        <v>7536</v>
      </c>
      <c r="AI505" s="66">
        <f t="shared" si="246"/>
        <v>7536</v>
      </c>
      <c r="AK505" s="218" t="s">
        <v>992</v>
      </c>
      <c r="AL505"/>
      <c r="AM505" s="115"/>
      <c r="AN505"/>
      <c r="AO505"/>
      <c r="AP505"/>
    </row>
    <row r="506" spans="1:42" ht="16" x14ac:dyDescent="0.35">
      <c r="A506" s="66"/>
      <c r="B506" s="66"/>
      <c r="C506" s="49"/>
      <c r="D506" s="49"/>
      <c r="E506" s="49" t="s">
        <v>501</v>
      </c>
      <c r="F506" s="49"/>
      <c r="G506" s="49"/>
      <c r="H506" s="63">
        <v>0</v>
      </c>
      <c r="I506" s="63">
        <v>0</v>
      </c>
      <c r="J506" s="64">
        <v>14469.34</v>
      </c>
      <c r="K506" s="64">
        <v>2000</v>
      </c>
      <c r="L506" s="65">
        <v>16282.95</v>
      </c>
      <c r="M506" s="65">
        <v>2000</v>
      </c>
      <c r="N506" s="66">
        <f t="shared" si="244"/>
        <v>30752.29</v>
      </c>
      <c r="O506" s="66">
        <f t="shared" si="244"/>
        <v>4000</v>
      </c>
      <c r="P506" s="69">
        <f t="shared" si="218"/>
        <v>10250.763333333334</v>
      </c>
      <c r="Q506" s="69">
        <f t="shared" si="218"/>
        <v>1333.3333333333333</v>
      </c>
      <c r="R506" s="54"/>
      <c r="S506" s="49"/>
      <c r="T506" s="49"/>
      <c r="U506" s="49"/>
      <c r="V506" s="49"/>
      <c r="W506" s="49" t="s">
        <v>501</v>
      </c>
      <c r="X506" s="49"/>
      <c r="Y506" s="49"/>
      <c r="Z506" s="66">
        <v>2000</v>
      </c>
      <c r="AA506" s="140"/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H506" s="66">
        <v>0</v>
      </c>
      <c r="AI506" s="66">
        <v>0</v>
      </c>
      <c r="AK506" s="191"/>
      <c r="AL506"/>
      <c r="AM506" s="115"/>
      <c r="AN506"/>
      <c r="AO506"/>
      <c r="AP506"/>
    </row>
    <row r="507" spans="1:42" ht="29" x14ac:dyDescent="0.35">
      <c r="A507" s="66"/>
      <c r="B507" s="66"/>
      <c r="C507" s="49"/>
      <c r="D507" s="49"/>
      <c r="E507" s="49" t="s">
        <v>502</v>
      </c>
      <c r="F507" s="49"/>
      <c r="G507" s="49"/>
      <c r="H507" s="63">
        <v>15158.69</v>
      </c>
      <c r="I507" s="63">
        <v>50000</v>
      </c>
      <c r="J507" s="64">
        <v>5299.22</v>
      </c>
      <c r="K507" s="64">
        <v>10000</v>
      </c>
      <c r="L507" s="65">
        <v>10963.76</v>
      </c>
      <c r="M507" s="65">
        <v>45000</v>
      </c>
      <c r="N507" s="66">
        <f t="shared" si="244"/>
        <v>31421.67</v>
      </c>
      <c r="O507" s="66">
        <f t="shared" si="244"/>
        <v>105000</v>
      </c>
      <c r="P507" s="69">
        <f t="shared" si="218"/>
        <v>10473.89</v>
      </c>
      <c r="Q507" s="69">
        <f t="shared" si="218"/>
        <v>35000</v>
      </c>
      <c r="R507" s="54"/>
      <c r="S507" s="49"/>
      <c r="T507" s="49"/>
      <c r="U507" s="49"/>
      <c r="V507" s="49"/>
      <c r="W507" s="49" t="s">
        <v>502</v>
      </c>
      <c r="X507" s="49"/>
      <c r="Y507" s="49"/>
      <c r="Z507" s="66">
        <v>20000</v>
      </c>
      <c r="AA507" s="140"/>
      <c r="AB507" s="66">
        <v>20000</v>
      </c>
      <c r="AC507" s="66">
        <v>10000</v>
      </c>
      <c r="AD507" s="66">
        <v>10000</v>
      </c>
      <c r="AE507" s="66">
        <v>10000</v>
      </c>
      <c r="AF507" s="66">
        <v>20000</v>
      </c>
      <c r="AG507" s="66">
        <f>20000+5000</f>
        <v>25000</v>
      </c>
      <c r="AH507" s="66">
        <f>20000+5000</f>
        <v>25000</v>
      </c>
      <c r="AI507" s="66">
        <f>20000+5000</f>
        <v>25000</v>
      </c>
      <c r="AJ507" s="206" t="s">
        <v>1000</v>
      </c>
      <c r="AK507" s="221" t="s">
        <v>1012</v>
      </c>
      <c r="AL507"/>
      <c r="AM507" s="115"/>
      <c r="AN507"/>
      <c r="AO507"/>
      <c r="AP507"/>
    </row>
    <row r="508" spans="1:42" x14ac:dyDescent="0.35">
      <c r="A508" s="66"/>
      <c r="B508" s="66"/>
      <c r="C508" s="49"/>
      <c r="D508" s="49"/>
      <c r="E508" s="49" t="s">
        <v>503</v>
      </c>
      <c r="F508" s="49"/>
      <c r="G508" s="49"/>
      <c r="H508" s="63">
        <v>1942.71</v>
      </c>
      <c r="I508" s="63">
        <v>0</v>
      </c>
      <c r="J508" s="64">
        <v>1701.44</v>
      </c>
      <c r="K508" s="64">
        <v>1500</v>
      </c>
      <c r="L508" s="65">
        <v>1553.27</v>
      </c>
      <c r="M508" s="65">
        <v>1650</v>
      </c>
      <c r="N508" s="66">
        <f t="shared" si="244"/>
        <v>5197.42</v>
      </c>
      <c r="O508" s="66">
        <f t="shared" si="244"/>
        <v>3150</v>
      </c>
      <c r="P508" s="69">
        <f t="shared" si="218"/>
        <v>1732.4733333333334</v>
      </c>
      <c r="Q508" s="69">
        <f t="shared" si="218"/>
        <v>1050</v>
      </c>
      <c r="R508" s="54"/>
      <c r="S508" s="49"/>
      <c r="T508" s="49"/>
      <c r="U508" s="49"/>
      <c r="V508" s="49"/>
      <c r="W508" s="49" t="s">
        <v>503</v>
      </c>
      <c r="X508" s="49"/>
      <c r="Y508" s="49"/>
      <c r="Z508" s="66">
        <v>1650</v>
      </c>
      <c r="AA508" s="140"/>
      <c r="AB508" s="66">
        <v>1600</v>
      </c>
      <c r="AC508" s="66">
        <v>1600</v>
      </c>
      <c r="AD508" s="66">
        <v>1600</v>
      </c>
      <c r="AE508" s="66">
        <v>1600</v>
      </c>
      <c r="AF508" s="66">
        <v>1600</v>
      </c>
      <c r="AG508" s="66">
        <v>1600</v>
      </c>
      <c r="AH508" s="66">
        <v>1600</v>
      </c>
      <c r="AI508" s="66">
        <v>1600</v>
      </c>
      <c r="AL508"/>
      <c r="AM508" s="115"/>
      <c r="AN508"/>
      <c r="AO508"/>
      <c r="AP508"/>
    </row>
    <row r="509" spans="1:42" x14ac:dyDescent="0.35">
      <c r="A509" s="66"/>
      <c r="B509" s="66"/>
      <c r="C509" s="49"/>
      <c r="D509" s="49"/>
      <c r="E509" s="49" t="s">
        <v>504</v>
      </c>
      <c r="F509" s="49"/>
      <c r="G509" s="49"/>
      <c r="H509" s="63">
        <v>43056.86</v>
      </c>
      <c r="I509" s="63">
        <v>43200</v>
      </c>
      <c r="J509" s="64">
        <v>49577.21</v>
      </c>
      <c r="K509" s="64">
        <v>40000</v>
      </c>
      <c r="L509" s="65">
        <v>49198.66</v>
      </c>
      <c r="M509" s="65">
        <v>43000</v>
      </c>
      <c r="N509" s="66">
        <f t="shared" si="244"/>
        <v>141832.73000000001</v>
      </c>
      <c r="O509" s="66">
        <f t="shared" si="244"/>
        <v>126200</v>
      </c>
      <c r="P509" s="69">
        <f t="shared" si="218"/>
        <v>47277.576666666668</v>
      </c>
      <c r="Q509" s="69">
        <f t="shared" si="218"/>
        <v>42066.666666666664</v>
      </c>
      <c r="R509" s="54"/>
      <c r="S509" s="49"/>
      <c r="T509" s="49"/>
      <c r="U509" s="49"/>
      <c r="V509" s="49"/>
      <c r="W509" s="49" t="s">
        <v>504</v>
      </c>
      <c r="X509" s="49"/>
      <c r="Y509" s="49"/>
      <c r="Z509" s="66">
        <v>53400</v>
      </c>
      <c r="AA509" s="140"/>
      <c r="AB509" s="66">
        <v>50400</v>
      </c>
      <c r="AC509" s="66">
        <v>50400</v>
      </c>
      <c r="AD509" s="66">
        <v>50400</v>
      </c>
      <c r="AE509" s="66">
        <v>50400</v>
      </c>
      <c r="AF509" s="66">
        <v>50400</v>
      </c>
      <c r="AG509" s="66">
        <v>50400</v>
      </c>
      <c r="AH509" s="66">
        <v>50400</v>
      </c>
      <c r="AI509" s="66">
        <v>50400</v>
      </c>
      <c r="AK509" s="182"/>
      <c r="AL509"/>
      <c r="AM509" s="115"/>
      <c r="AN509"/>
      <c r="AO509"/>
      <c r="AP509"/>
    </row>
    <row r="510" spans="1:42" x14ac:dyDescent="0.35">
      <c r="A510" s="66"/>
      <c r="B510" s="66"/>
      <c r="C510" s="49"/>
      <c r="D510" s="49"/>
      <c r="E510" s="49" t="s">
        <v>505</v>
      </c>
      <c r="F510" s="49"/>
      <c r="G510" s="49"/>
      <c r="H510" s="63">
        <v>29693.03</v>
      </c>
      <c r="I510" s="63">
        <v>25200</v>
      </c>
      <c r="J510" s="64">
        <v>29633.54</v>
      </c>
      <c r="K510" s="64">
        <v>26000</v>
      </c>
      <c r="L510" s="65">
        <v>30299.87</v>
      </c>
      <c r="M510" s="65">
        <v>30000</v>
      </c>
      <c r="N510" s="66">
        <f t="shared" si="244"/>
        <v>89626.44</v>
      </c>
      <c r="O510" s="66">
        <f t="shared" si="244"/>
        <v>81200</v>
      </c>
      <c r="P510" s="69">
        <f t="shared" ref="P510:Q571" si="247">N510/3</f>
        <v>29875.48</v>
      </c>
      <c r="Q510" s="69">
        <f t="shared" si="247"/>
        <v>27066.666666666668</v>
      </c>
      <c r="R510" s="54"/>
      <c r="S510" s="49"/>
      <c r="T510" s="49"/>
      <c r="U510" s="49"/>
      <c r="V510" s="49"/>
      <c r="W510" s="49" t="s">
        <v>505</v>
      </c>
      <c r="X510" s="49"/>
      <c r="Y510" s="49"/>
      <c r="Z510" s="66">
        <v>32964</v>
      </c>
      <c r="AA510" s="140"/>
      <c r="AB510" s="66">
        <v>29886</v>
      </c>
      <c r="AC510" s="66">
        <v>29886</v>
      </c>
      <c r="AD510" s="66">
        <v>29886</v>
      </c>
      <c r="AE510" s="66">
        <v>29886</v>
      </c>
      <c r="AF510" s="66">
        <v>29886</v>
      </c>
      <c r="AG510" s="66">
        <v>31436</v>
      </c>
      <c r="AH510" s="66">
        <v>31436</v>
      </c>
      <c r="AI510" s="66">
        <v>31436</v>
      </c>
      <c r="AK510" s="190"/>
      <c r="AL510"/>
      <c r="AM510" s="115"/>
      <c r="AN510"/>
      <c r="AO510"/>
      <c r="AP510"/>
    </row>
    <row r="511" spans="1:42" x14ac:dyDescent="0.35">
      <c r="A511" s="66"/>
      <c r="B511" s="66"/>
      <c r="C511" s="49"/>
      <c r="D511" s="49"/>
      <c r="E511" s="49" t="s">
        <v>506</v>
      </c>
      <c r="F511" s="49"/>
      <c r="G511" s="49"/>
      <c r="H511" s="63">
        <v>0</v>
      </c>
      <c r="I511" s="63">
        <v>700</v>
      </c>
      <c r="J511" s="64">
        <v>0</v>
      </c>
      <c r="K511" s="64">
        <v>500</v>
      </c>
      <c r="L511" s="65">
        <v>0</v>
      </c>
      <c r="M511" s="65">
        <v>575</v>
      </c>
      <c r="N511" s="66">
        <f t="shared" si="244"/>
        <v>0</v>
      </c>
      <c r="O511" s="66">
        <f t="shared" si="244"/>
        <v>1775</v>
      </c>
      <c r="P511" s="69">
        <f t="shared" si="247"/>
        <v>0</v>
      </c>
      <c r="Q511" s="69">
        <f t="shared" si="247"/>
        <v>591.66666666666663</v>
      </c>
      <c r="R511" s="54"/>
      <c r="S511" s="49"/>
      <c r="T511" s="49"/>
      <c r="U511" s="49"/>
      <c r="V511" s="49"/>
      <c r="W511" s="49" t="s">
        <v>506</v>
      </c>
      <c r="X511" s="49"/>
      <c r="Y511" s="49"/>
      <c r="Z511" s="66">
        <v>700</v>
      </c>
      <c r="AA511" s="140"/>
      <c r="AB511" s="66">
        <v>700</v>
      </c>
      <c r="AC511" s="66">
        <v>700</v>
      </c>
      <c r="AD511" s="66">
        <v>700</v>
      </c>
      <c r="AE511" s="66">
        <v>700</v>
      </c>
      <c r="AF511" s="66">
        <v>700</v>
      </c>
      <c r="AG511" s="66">
        <v>700</v>
      </c>
      <c r="AH511" s="66">
        <v>700</v>
      </c>
      <c r="AI511" s="66">
        <v>700</v>
      </c>
      <c r="AL511"/>
      <c r="AM511" s="115"/>
      <c r="AN511"/>
      <c r="AO511"/>
      <c r="AP511"/>
    </row>
    <row r="512" spans="1:42" x14ac:dyDescent="0.35">
      <c r="A512" s="66"/>
      <c r="B512" s="66"/>
      <c r="C512" s="49"/>
      <c r="D512" s="49"/>
      <c r="E512" s="49" t="s">
        <v>507</v>
      </c>
      <c r="F512" s="49"/>
      <c r="G512" s="49"/>
      <c r="H512" s="63">
        <v>11143.42</v>
      </c>
      <c r="I512" s="63">
        <v>11688</v>
      </c>
      <c r="J512" s="64">
        <v>11624.25</v>
      </c>
      <c r="K512" s="64">
        <v>10368</v>
      </c>
      <c r="L512" s="65">
        <v>11804</v>
      </c>
      <c r="M512" s="65">
        <v>11238</v>
      </c>
      <c r="N512" s="66">
        <f t="shared" si="244"/>
        <v>34571.67</v>
      </c>
      <c r="O512" s="66">
        <f t="shared" si="244"/>
        <v>33294</v>
      </c>
      <c r="P512" s="69">
        <f t="shared" si="247"/>
        <v>11523.89</v>
      </c>
      <c r="Q512" s="69">
        <f t="shared" si="247"/>
        <v>11098</v>
      </c>
      <c r="R512" s="54"/>
      <c r="S512" s="49"/>
      <c r="T512" s="49"/>
      <c r="U512" s="49"/>
      <c r="V512" s="49"/>
      <c r="W512" s="49" t="s">
        <v>507</v>
      </c>
      <c r="X512" s="49"/>
      <c r="Y512" s="49"/>
      <c r="Z512" s="66">
        <v>10173</v>
      </c>
      <c r="AA512" s="140"/>
      <c r="AB512" s="66">
        <v>13488</v>
      </c>
      <c r="AC512" s="66">
        <v>13488</v>
      </c>
      <c r="AD512" s="66">
        <v>13488</v>
      </c>
      <c r="AE512" s="66">
        <v>13488</v>
      </c>
      <c r="AF512" s="66">
        <v>13488</v>
      </c>
      <c r="AG512" s="66">
        <v>13000</v>
      </c>
      <c r="AH512" s="66">
        <v>13000</v>
      </c>
      <c r="AI512" s="66">
        <v>13000</v>
      </c>
      <c r="AL512"/>
      <c r="AM512" s="115"/>
      <c r="AN512"/>
      <c r="AO512"/>
      <c r="AP512"/>
    </row>
    <row r="513" spans="1:42" x14ac:dyDescent="0.35">
      <c r="A513" s="66"/>
      <c r="B513" s="66"/>
      <c r="C513" s="49"/>
      <c r="D513" s="49"/>
      <c r="E513" s="49" t="s">
        <v>508</v>
      </c>
      <c r="F513" s="49"/>
      <c r="G513" s="49"/>
      <c r="H513" s="63">
        <v>23426.28</v>
      </c>
      <c r="I513" s="63">
        <v>12424</v>
      </c>
      <c r="J513" s="64">
        <v>25016.84</v>
      </c>
      <c r="K513" s="64">
        <v>23200</v>
      </c>
      <c r="L513" s="65">
        <v>28552.11</v>
      </c>
      <c r="M513" s="65">
        <v>26073</v>
      </c>
      <c r="N513" s="66">
        <f t="shared" si="244"/>
        <v>76995.23</v>
      </c>
      <c r="O513" s="66">
        <f t="shared" si="244"/>
        <v>61697</v>
      </c>
      <c r="P513" s="69">
        <f t="shared" si="247"/>
        <v>25665.076666666664</v>
      </c>
      <c r="Q513" s="69">
        <f t="shared" si="247"/>
        <v>20565.666666666668</v>
      </c>
      <c r="R513" s="54"/>
      <c r="S513" s="49"/>
      <c r="T513" s="49"/>
      <c r="U513" s="49"/>
      <c r="V513" s="49"/>
      <c r="W513" s="49" t="s">
        <v>508</v>
      </c>
      <c r="X513" s="49"/>
      <c r="Y513" s="49"/>
      <c r="Z513" s="66">
        <v>29969</v>
      </c>
      <c r="AA513" s="140"/>
      <c r="AB513" s="66">
        <v>0</v>
      </c>
      <c r="AC513" s="66">
        <v>0</v>
      </c>
      <c r="AD513" s="66">
        <v>0</v>
      </c>
      <c r="AE513" s="66">
        <v>0</v>
      </c>
      <c r="AF513" s="66">
        <v>0</v>
      </c>
      <c r="AG513" s="66">
        <v>31650</v>
      </c>
      <c r="AH513" s="66">
        <v>31650</v>
      </c>
      <c r="AI513" s="66">
        <v>31650</v>
      </c>
      <c r="AL513"/>
      <c r="AM513" s="115"/>
      <c r="AN513"/>
      <c r="AO513"/>
      <c r="AP513"/>
    </row>
    <row r="514" spans="1:42" ht="16" x14ac:dyDescent="0.35">
      <c r="A514" s="66"/>
      <c r="B514" s="66"/>
      <c r="C514" s="49"/>
      <c r="D514" s="49"/>
      <c r="E514" s="49" t="s">
        <v>509</v>
      </c>
      <c r="F514" s="49"/>
      <c r="G514" s="49"/>
      <c r="H514" s="63">
        <v>32596.51</v>
      </c>
      <c r="I514" s="63">
        <v>32227.24</v>
      </c>
      <c r="J514" s="64">
        <v>35370.050000000003</v>
      </c>
      <c r="K514" s="64">
        <v>32800</v>
      </c>
      <c r="L514" s="65">
        <v>38961.4</v>
      </c>
      <c r="M514" s="65">
        <v>35599</v>
      </c>
      <c r="N514" s="66">
        <f t="shared" si="244"/>
        <v>106927.96</v>
      </c>
      <c r="O514" s="66">
        <f t="shared" si="244"/>
        <v>100626.24000000001</v>
      </c>
      <c r="P514" s="69">
        <f t="shared" si="247"/>
        <v>35642.653333333335</v>
      </c>
      <c r="Q514" s="69">
        <f t="shared" si="247"/>
        <v>33542.080000000002</v>
      </c>
      <c r="R514" s="54"/>
      <c r="S514" s="49"/>
      <c r="T514" s="49"/>
      <c r="U514" s="49"/>
      <c r="V514" s="49"/>
      <c r="W514" s="49" t="s">
        <v>509</v>
      </c>
      <c r="X514" s="49"/>
      <c r="Y514" s="49"/>
      <c r="Z514" s="66">
        <v>50578</v>
      </c>
      <c r="AA514" s="140"/>
      <c r="AB514" s="66">
        <v>49805</v>
      </c>
      <c r="AC514" s="66">
        <v>49805</v>
      </c>
      <c r="AD514" s="66">
        <v>49805</v>
      </c>
      <c r="AE514" s="66">
        <v>49805</v>
      </c>
      <c r="AF514" s="66">
        <v>49805</v>
      </c>
      <c r="AG514" s="66">
        <f>ROUND(55578.03, -2)</f>
        <v>55600</v>
      </c>
      <c r="AH514" s="66">
        <f>ROUND(55578.03, -2)</f>
        <v>55600</v>
      </c>
      <c r="AI514" s="66">
        <f>ROUND(55578.03, -2)</f>
        <v>55600</v>
      </c>
      <c r="AJ514" s="206" t="s">
        <v>1000</v>
      </c>
      <c r="AK514" s="221" t="s">
        <v>980</v>
      </c>
      <c r="AL514"/>
      <c r="AM514" s="115"/>
      <c r="AN514"/>
      <c r="AO514"/>
      <c r="AP514"/>
    </row>
    <row r="515" spans="1:42" x14ac:dyDescent="0.35">
      <c r="A515" s="66"/>
      <c r="B515" s="66"/>
      <c r="C515" s="49"/>
      <c r="D515" s="49"/>
      <c r="E515" s="49" t="s">
        <v>510</v>
      </c>
      <c r="F515" s="49"/>
      <c r="G515" s="49"/>
      <c r="H515" s="63"/>
      <c r="I515" s="63"/>
      <c r="J515" s="64"/>
      <c r="K515" s="64"/>
      <c r="L515" s="65"/>
      <c r="M515" s="65"/>
      <c r="N515" s="66"/>
      <c r="O515" s="66"/>
      <c r="P515" s="69"/>
      <c r="Q515" s="69"/>
      <c r="R515" s="54"/>
      <c r="S515" s="49"/>
      <c r="T515" s="49"/>
      <c r="U515" s="49"/>
      <c r="V515" s="49"/>
      <c r="W515" s="49" t="s">
        <v>510</v>
      </c>
      <c r="X515" s="49"/>
      <c r="Y515" s="49"/>
      <c r="Z515" s="66"/>
      <c r="AA515" s="140"/>
      <c r="AB515" s="66"/>
      <c r="AC515" s="66"/>
      <c r="AD515" s="66"/>
      <c r="AE515" s="66"/>
      <c r="AF515" s="66"/>
      <c r="AL515"/>
      <c r="AM515" s="115"/>
      <c r="AN515"/>
      <c r="AO515"/>
      <c r="AP515"/>
    </row>
    <row r="516" spans="1:42" x14ac:dyDescent="0.35">
      <c r="A516" s="66"/>
      <c r="B516" s="66"/>
      <c r="C516" s="49"/>
      <c r="D516" s="49"/>
      <c r="E516" s="49"/>
      <c r="F516" s="49" t="s">
        <v>511</v>
      </c>
      <c r="G516" s="49"/>
      <c r="H516" s="63">
        <v>8700</v>
      </c>
      <c r="I516" s="63">
        <v>15000</v>
      </c>
      <c r="J516" s="64">
        <v>24061</v>
      </c>
      <c r="K516" s="64">
        <v>25000</v>
      </c>
      <c r="L516" s="65">
        <v>24976</v>
      </c>
      <c r="M516" s="65">
        <v>25000</v>
      </c>
      <c r="N516" s="66">
        <f t="shared" ref="N516:O532" si="248">ROUND(H516+J516+L516,5)</f>
        <v>57737</v>
      </c>
      <c r="O516" s="66">
        <f t="shared" si="248"/>
        <v>65000</v>
      </c>
      <c r="P516" s="69">
        <f t="shared" si="247"/>
        <v>19245.666666666668</v>
      </c>
      <c r="Q516" s="69">
        <f t="shared" si="247"/>
        <v>21666.666666666668</v>
      </c>
      <c r="R516" s="54"/>
      <c r="S516" s="49"/>
      <c r="T516" s="49"/>
      <c r="U516" s="49"/>
      <c r="V516" s="49"/>
      <c r="W516" s="49"/>
      <c r="X516" s="49" t="s">
        <v>511</v>
      </c>
      <c r="Y516" s="49"/>
      <c r="Z516" s="66">
        <v>25000</v>
      </c>
      <c r="AA516" s="140"/>
      <c r="AB516" s="66">
        <v>25000</v>
      </c>
      <c r="AC516" s="66">
        <v>20000</v>
      </c>
      <c r="AD516" s="66">
        <v>20000</v>
      </c>
      <c r="AE516" s="66">
        <v>20000</v>
      </c>
      <c r="AF516" s="66">
        <v>25000</v>
      </c>
      <c r="AG516" s="66">
        <v>25000</v>
      </c>
      <c r="AH516" s="66">
        <v>25000</v>
      </c>
      <c r="AI516" s="66">
        <v>25000</v>
      </c>
      <c r="AL516"/>
      <c r="AM516" s="115"/>
      <c r="AN516"/>
      <c r="AO516"/>
      <c r="AP516"/>
    </row>
    <row r="517" spans="1:42" ht="29" x14ac:dyDescent="0.35">
      <c r="A517" s="66"/>
      <c r="B517" s="66"/>
      <c r="C517" s="49"/>
      <c r="D517" s="49"/>
      <c r="E517" s="49"/>
      <c r="F517" s="49" t="s">
        <v>512</v>
      </c>
      <c r="G517" s="49"/>
      <c r="H517" s="63">
        <v>968.76</v>
      </c>
      <c r="I517" s="63">
        <v>40000</v>
      </c>
      <c r="J517" s="64">
        <v>11604.98</v>
      </c>
      <c r="K517" s="64">
        <v>18000</v>
      </c>
      <c r="L517" s="65">
        <v>9768.11</v>
      </c>
      <c r="M517" s="65">
        <v>30000</v>
      </c>
      <c r="N517" s="66">
        <f t="shared" si="248"/>
        <v>22341.85</v>
      </c>
      <c r="O517" s="66">
        <f t="shared" si="248"/>
        <v>88000</v>
      </c>
      <c r="P517" s="69">
        <f t="shared" si="247"/>
        <v>7447.2833333333328</v>
      </c>
      <c r="Q517" s="69">
        <f t="shared" si="247"/>
        <v>29333.333333333332</v>
      </c>
      <c r="R517" s="54"/>
      <c r="S517" s="49"/>
      <c r="T517" s="49"/>
      <c r="U517" s="49"/>
      <c r="V517" s="49"/>
      <c r="W517" s="49"/>
      <c r="X517" s="49" t="s">
        <v>512</v>
      </c>
      <c r="Y517" s="49"/>
      <c r="Z517" s="66">
        <v>35000</v>
      </c>
      <c r="AA517" s="140"/>
      <c r="AB517" s="66">
        <v>20000</v>
      </c>
      <c r="AC517" s="66">
        <v>15000</v>
      </c>
      <c r="AD517" s="66">
        <v>15000</v>
      </c>
      <c r="AE517" s="66">
        <v>15000</v>
      </c>
      <c r="AF517" s="66">
        <v>20000</v>
      </c>
      <c r="AG517" s="66">
        <f>20000+3500</f>
        <v>23500</v>
      </c>
      <c r="AH517" s="66">
        <f>20000+3500</f>
        <v>23500</v>
      </c>
      <c r="AI517" s="66">
        <f>20000+3500</f>
        <v>23500</v>
      </c>
      <c r="AJ517" s="206" t="s">
        <v>1000</v>
      </c>
      <c r="AK517" s="221" t="s">
        <v>968</v>
      </c>
      <c r="AL517"/>
      <c r="AM517" s="115"/>
      <c r="AN517"/>
      <c r="AO517"/>
      <c r="AP517"/>
    </row>
    <row r="518" spans="1:42" ht="16.5" thickBot="1" x14ac:dyDescent="0.4">
      <c r="A518" s="66"/>
      <c r="B518" s="66"/>
      <c r="C518" s="49"/>
      <c r="D518" s="49"/>
      <c r="E518" s="49"/>
      <c r="F518" s="49" t="s">
        <v>513</v>
      </c>
      <c r="G518" s="49"/>
      <c r="H518" s="70">
        <v>18640.98</v>
      </c>
      <c r="I518" s="70">
        <v>20000</v>
      </c>
      <c r="J518" s="71">
        <v>34056.79</v>
      </c>
      <c r="K518" s="71">
        <v>15000</v>
      </c>
      <c r="L518" s="72">
        <v>41936.720000000001</v>
      </c>
      <c r="M518" s="72">
        <v>20000</v>
      </c>
      <c r="N518" s="73">
        <f t="shared" si="248"/>
        <v>94634.49</v>
      </c>
      <c r="O518" s="73">
        <f t="shared" si="248"/>
        <v>55000</v>
      </c>
      <c r="P518" s="74">
        <f t="shared" si="247"/>
        <v>31544.83</v>
      </c>
      <c r="Q518" s="74">
        <f t="shared" si="247"/>
        <v>18333.333333333332</v>
      </c>
      <c r="R518" s="54"/>
      <c r="S518" s="49"/>
      <c r="T518" s="49"/>
      <c r="U518" s="49"/>
      <c r="V518" s="49"/>
      <c r="W518" s="49"/>
      <c r="X518" s="49" t="s">
        <v>513</v>
      </c>
      <c r="Y518" s="49"/>
      <c r="Z518" s="66">
        <v>30000</v>
      </c>
      <c r="AA518" s="140"/>
      <c r="AB518" s="66">
        <v>35000</v>
      </c>
      <c r="AC518" s="66">
        <v>30000</v>
      </c>
      <c r="AD518" s="66">
        <v>30000</v>
      </c>
      <c r="AE518" s="66">
        <v>30000</v>
      </c>
      <c r="AF518" s="66">
        <v>35000</v>
      </c>
      <c r="AG518" s="66">
        <f>35000+7000</f>
        <v>42000</v>
      </c>
      <c r="AH518" s="66">
        <f>35000+7000</f>
        <v>42000</v>
      </c>
      <c r="AI518" s="66">
        <f>35000+7000</f>
        <v>42000</v>
      </c>
      <c r="AJ518" s="206" t="s">
        <v>1000</v>
      </c>
      <c r="AK518" s="221" t="s">
        <v>982</v>
      </c>
      <c r="AL518"/>
      <c r="AM518" s="115"/>
      <c r="AN518"/>
      <c r="AO518"/>
      <c r="AP518"/>
    </row>
    <row r="519" spans="1:42" ht="16.5" thickBot="1" x14ac:dyDescent="0.4">
      <c r="A519" s="66"/>
      <c r="B519" s="66"/>
      <c r="C519" s="49"/>
      <c r="D519" s="49"/>
      <c r="E519" s="49"/>
      <c r="F519" s="49"/>
      <c r="G519" s="49"/>
      <c r="H519" s="63"/>
      <c r="I519" s="63"/>
      <c r="J519" s="64"/>
      <c r="K519" s="64"/>
      <c r="L519" s="65"/>
      <c r="M519" s="65"/>
      <c r="N519" s="66"/>
      <c r="O519" s="66"/>
      <c r="P519" s="69"/>
      <c r="Q519" s="69"/>
      <c r="R519" s="54"/>
      <c r="S519" s="49"/>
      <c r="T519" s="49"/>
      <c r="U519" s="49"/>
      <c r="V519" s="49"/>
      <c r="W519" s="49"/>
      <c r="X519" s="49" t="s">
        <v>986</v>
      </c>
      <c r="Y519" s="49"/>
      <c r="Z519" s="73">
        <v>0</v>
      </c>
      <c r="AA519" s="140"/>
      <c r="AB519" s="73">
        <v>0</v>
      </c>
      <c r="AC519" s="73">
        <v>0</v>
      </c>
      <c r="AD519" s="73">
        <v>0</v>
      </c>
      <c r="AE519" s="73">
        <v>0</v>
      </c>
      <c r="AF519" s="73">
        <v>0</v>
      </c>
      <c r="AG519" s="73">
        <v>10000</v>
      </c>
      <c r="AH519" s="73">
        <v>10000</v>
      </c>
      <c r="AI519" s="73">
        <v>10000</v>
      </c>
      <c r="AJ519" s="206" t="s">
        <v>1000</v>
      </c>
      <c r="AK519" s="221" t="s">
        <v>981</v>
      </c>
      <c r="AL519"/>
      <c r="AM519" s="115">
        <v>10000</v>
      </c>
      <c r="AN519"/>
      <c r="AO519"/>
      <c r="AP519"/>
    </row>
    <row r="520" spans="1:42" x14ac:dyDescent="0.35">
      <c r="A520" s="66"/>
      <c r="B520" s="66"/>
      <c r="C520" s="49"/>
      <c r="D520" s="49"/>
      <c r="E520" s="49" t="s">
        <v>514</v>
      </c>
      <c r="F520" s="49"/>
      <c r="G520" s="49"/>
      <c r="H520" s="63">
        <f t="shared" ref="H520:M520" si="249">ROUND(SUM(H515:H518),5)</f>
        <v>28309.74</v>
      </c>
      <c r="I520" s="63">
        <f t="shared" si="249"/>
        <v>75000</v>
      </c>
      <c r="J520" s="64">
        <f t="shared" si="249"/>
        <v>69722.77</v>
      </c>
      <c r="K520" s="64">
        <f t="shared" si="249"/>
        <v>58000</v>
      </c>
      <c r="L520" s="65">
        <f t="shared" si="249"/>
        <v>76680.83</v>
      </c>
      <c r="M520" s="65">
        <f t="shared" si="249"/>
        <v>75000</v>
      </c>
      <c r="N520" s="66">
        <f t="shared" si="248"/>
        <v>174713.34</v>
      </c>
      <c r="O520" s="66">
        <f t="shared" si="248"/>
        <v>208000</v>
      </c>
      <c r="P520" s="69">
        <f t="shared" si="247"/>
        <v>58237.78</v>
      </c>
      <c r="Q520" s="69">
        <f t="shared" si="247"/>
        <v>69333.333333333328</v>
      </c>
      <c r="R520" s="54"/>
      <c r="S520" s="49"/>
      <c r="T520" s="49"/>
      <c r="U520" s="49"/>
      <c r="V520" s="49"/>
      <c r="W520" s="49" t="s">
        <v>514</v>
      </c>
      <c r="X520" s="49"/>
      <c r="Y520" s="49"/>
      <c r="Z520" s="66">
        <f>ROUND(SUM(Z515:Z518),5)</f>
        <v>90000</v>
      </c>
      <c r="AA520" s="140"/>
      <c r="AB520" s="66">
        <f t="shared" ref="AB520:AF520" si="250">ROUND(SUM(AB515:AB519),5)</f>
        <v>80000</v>
      </c>
      <c r="AC520" s="66">
        <f t="shared" si="250"/>
        <v>65000</v>
      </c>
      <c r="AD520" s="66">
        <f t="shared" si="250"/>
        <v>65000</v>
      </c>
      <c r="AE520" s="66">
        <f t="shared" si="250"/>
        <v>65000</v>
      </c>
      <c r="AF520" s="66">
        <f t="shared" si="250"/>
        <v>80000</v>
      </c>
      <c r="AG520" s="66">
        <f>ROUND(SUM(AG516:AG519),5)</f>
        <v>100500</v>
      </c>
      <c r="AH520" s="66">
        <f>ROUND(SUM(AH516:AH519),5)</f>
        <v>100500</v>
      </c>
      <c r="AI520" s="66">
        <f>ROUND(SUM(AI516:AI519),5)</f>
        <v>100500</v>
      </c>
      <c r="AL520"/>
      <c r="AM520" s="115"/>
      <c r="AN520"/>
      <c r="AO520"/>
      <c r="AP520"/>
    </row>
    <row r="521" spans="1:42" x14ac:dyDescent="0.35">
      <c r="A521" s="66"/>
      <c r="B521" s="66"/>
      <c r="C521" s="49"/>
      <c r="D521" s="49"/>
      <c r="E521" s="49" t="s">
        <v>515</v>
      </c>
      <c r="F521" s="49"/>
      <c r="G521" s="49"/>
      <c r="H521" s="63">
        <v>4964.49</v>
      </c>
      <c r="I521" s="63">
        <v>2000</v>
      </c>
      <c r="J521" s="64">
        <v>2885.14</v>
      </c>
      <c r="K521" s="64">
        <v>2880</v>
      </c>
      <c r="L521" s="65">
        <v>670.2</v>
      </c>
      <c r="M521" s="65">
        <v>3000</v>
      </c>
      <c r="N521" s="66">
        <f t="shared" si="248"/>
        <v>8519.83</v>
      </c>
      <c r="O521" s="66">
        <f t="shared" si="248"/>
        <v>7880</v>
      </c>
      <c r="P521" s="69">
        <f t="shared" si="247"/>
        <v>2839.9433333333332</v>
      </c>
      <c r="Q521" s="69">
        <f t="shared" si="247"/>
        <v>2626.6666666666665</v>
      </c>
      <c r="R521" s="54"/>
      <c r="S521" s="49"/>
      <c r="T521" s="49"/>
      <c r="U521" s="49"/>
      <c r="V521" s="49"/>
      <c r="W521" s="49" t="s">
        <v>515</v>
      </c>
      <c r="X521" s="49"/>
      <c r="Y521" s="49"/>
      <c r="Z521" s="66">
        <v>8000</v>
      </c>
      <c r="AA521" s="140"/>
      <c r="AB521" s="66">
        <v>2000</v>
      </c>
      <c r="AC521" s="66">
        <v>2000</v>
      </c>
      <c r="AD521" s="66">
        <v>2000</v>
      </c>
      <c r="AE521" s="66">
        <v>2000</v>
      </c>
      <c r="AF521" s="66">
        <v>2000</v>
      </c>
      <c r="AG521" s="66">
        <v>2000</v>
      </c>
      <c r="AH521" s="66">
        <v>2000</v>
      </c>
      <c r="AI521" s="66">
        <v>2000</v>
      </c>
      <c r="AL521"/>
      <c r="AM521" s="115"/>
      <c r="AN521"/>
      <c r="AO521"/>
      <c r="AP521"/>
    </row>
    <row r="522" spans="1:42" ht="16" x14ac:dyDescent="0.35">
      <c r="A522" s="66"/>
      <c r="B522" s="66"/>
      <c r="C522" s="49"/>
      <c r="D522" s="49"/>
      <c r="E522" s="49" t="s">
        <v>516</v>
      </c>
      <c r="F522" s="49"/>
      <c r="G522" s="49"/>
      <c r="H522" s="63">
        <v>47274.94</v>
      </c>
      <c r="I522" s="63">
        <v>28524</v>
      </c>
      <c r="J522" s="64">
        <v>40863.71</v>
      </c>
      <c r="K522" s="64">
        <v>43665</v>
      </c>
      <c r="L522" s="65">
        <v>42646.15</v>
      </c>
      <c r="M522" s="65">
        <v>44757</v>
      </c>
      <c r="N522" s="66">
        <f t="shared" si="248"/>
        <v>130784.8</v>
      </c>
      <c r="O522" s="66">
        <f t="shared" si="248"/>
        <v>116946</v>
      </c>
      <c r="P522" s="69">
        <f t="shared" si="247"/>
        <v>43594.933333333334</v>
      </c>
      <c r="Q522" s="69">
        <f t="shared" si="247"/>
        <v>38982</v>
      </c>
      <c r="R522" s="54"/>
      <c r="S522" s="49"/>
      <c r="T522" s="49"/>
      <c r="U522" s="49"/>
      <c r="V522" s="49"/>
      <c r="W522" s="49" t="s">
        <v>516</v>
      </c>
      <c r="X522" s="49"/>
      <c r="Y522" s="49"/>
      <c r="Z522" s="66">
        <v>49516</v>
      </c>
      <c r="AA522" s="140"/>
      <c r="AB522" s="66">
        <v>82667.42</v>
      </c>
      <c r="AC522" s="66">
        <v>82667.42</v>
      </c>
      <c r="AD522" s="66">
        <v>82667.42</v>
      </c>
      <c r="AE522" s="66">
        <v>82667.42</v>
      </c>
      <c r="AF522" s="66">
        <v>82667.42</v>
      </c>
      <c r="AG522" s="66">
        <f>ROUND(82667.42, 0)</f>
        <v>82667</v>
      </c>
      <c r="AH522" s="66">
        <f>ROUND(82667.42, 0)</f>
        <v>82667</v>
      </c>
      <c r="AI522" s="66">
        <f>ROUND(82667.42, 0)</f>
        <v>82667</v>
      </c>
      <c r="AJ522" s="206" t="s">
        <v>1000</v>
      </c>
      <c r="AK522" s="221" t="s">
        <v>1001</v>
      </c>
      <c r="AL522"/>
      <c r="AM522" s="115"/>
      <c r="AN522"/>
      <c r="AO522"/>
      <c r="AP522"/>
    </row>
    <row r="523" spans="1:42" ht="16" x14ac:dyDescent="0.35">
      <c r="A523" s="66"/>
      <c r="B523" s="66"/>
      <c r="C523" s="49"/>
      <c r="D523" s="49"/>
      <c r="E523" s="49" t="s">
        <v>517</v>
      </c>
      <c r="F523" s="49"/>
      <c r="G523" s="49"/>
      <c r="H523" s="63">
        <v>4530.93</v>
      </c>
      <c r="I523" s="63">
        <v>3000</v>
      </c>
      <c r="J523" s="64">
        <v>2569.27</v>
      </c>
      <c r="K523" s="64">
        <v>5000</v>
      </c>
      <c r="L523" s="65">
        <v>3451.72</v>
      </c>
      <c r="M523" s="65">
        <v>0</v>
      </c>
      <c r="N523" s="66">
        <f t="shared" si="248"/>
        <v>10551.92</v>
      </c>
      <c r="O523" s="66">
        <f t="shared" si="248"/>
        <v>8000</v>
      </c>
      <c r="P523" s="69">
        <f t="shared" si="247"/>
        <v>3517.3066666666668</v>
      </c>
      <c r="Q523" s="69">
        <f t="shared" si="247"/>
        <v>2666.6666666666665</v>
      </c>
      <c r="R523" s="54"/>
      <c r="S523" s="49"/>
      <c r="T523" s="49"/>
      <c r="U523" s="49"/>
      <c r="V523" s="49"/>
      <c r="W523" s="49" t="s">
        <v>517</v>
      </c>
      <c r="X523" s="49"/>
      <c r="Y523" s="49"/>
      <c r="Z523" s="66">
        <v>3000</v>
      </c>
      <c r="AA523" s="140"/>
      <c r="AB523" s="66">
        <v>2000</v>
      </c>
      <c r="AC523" s="66">
        <v>2000</v>
      </c>
      <c r="AD523" s="66">
        <v>2000</v>
      </c>
      <c r="AE523" s="66">
        <v>0</v>
      </c>
      <c r="AF523" s="66">
        <v>0</v>
      </c>
      <c r="AG523" s="66">
        <v>3000</v>
      </c>
      <c r="AH523" s="66">
        <v>3000</v>
      </c>
      <c r="AI523" s="66">
        <v>3000</v>
      </c>
      <c r="AJ523" s="206" t="s">
        <v>1000</v>
      </c>
      <c r="AL523"/>
      <c r="AM523" s="115"/>
      <c r="AN523"/>
      <c r="AO523"/>
      <c r="AP523"/>
    </row>
    <row r="524" spans="1:42" x14ac:dyDescent="0.35">
      <c r="A524" s="66"/>
      <c r="B524" s="66"/>
      <c r="C524" s="49"/>
      <c r="D524" s="49"/>
      <c r="E524" s="49" t="s">
        <v>518</v>
      </c>
      <c r="F524" s="49"/>
      <c r="G524" s="49"/>
      <c r="H524" s="63">
        <v>898.07</v>
      </c>
      <c r="I524" s="63">
        <v>2000</v>
      </c>
      <c r="J524" s="64">
        <v>386.15</v>
      </c>
      <c r="K524" s="64">
        <v>1000</v>
      </c>
      <c r="L524" s="65">
        <v>324.02999999999997</v>
      </c>
      <c r="M524" s="65">
        <v>1000</v>
      </c>
      <c r="N524" s="66">
        <f t="shared" si="248"/>
        <v>1608.25</v>
      </c>
      <c r="O524" s="66">
        <f t="shared" si="248"/>
        <v>4000</v>
      </c>
      <c r="P524" s="69">
        <f t="shared" si="247"/>
        <v>536.08333333333337</v>
      </c>
      <c r="Q524" s="69">
        <f t="shared" si="247"/>
        <v>1333.3333333333333</v>
      </c>
      <c r="R524" s="54"/>
      <c r="S524" s="49"/>
      <c r="T524" s="49"/>
      <c r="U524" s="49"/>
      <c r="V524" s="49"/>
      <c r="W524" s="49" t="s">
        <v>518</v>
      </c>
      <c r="X524" s="49"/>
      <c r="Y524" s="49"/>
      <c r="Z524" s="66">
        <v>1000</v>
      </c>
      <c r="AA524" s="140"/>
      <c r="AB524" s="66">
        <v>1000</v>
      </c>
      <c r="AC524" s="66">
        <v>1000</v>
      </c>
      <c r="AD524" s="66">
        <v>1000</v>
      </c>
      <c r="AE524" s="66">
        <v>1000</v>
      </c>
      <c r="AF524" s="66">
        <v>1000</v>
      </c>
      <c r="AG524" s="66">
        <v>1000</v>
      </c>
      <c r="AH524" s="66">
        <v>1000</v>
      </c>
      <c r="AI524" s="66">
        <v>1000</v>
      </c>
      <c r="AL524"/>
      <c r="AM524" s="115"/>
      <c r="AN524"/>
      <c r="AO524"/>
      <c r="AP524"/>
    </row>
    <row r="525" spans="1:42" x14ac:dyDescent="0.35">
      <c r="A525" s="66"/>
      <c r="B525" s="66"/>
      <c r="C525" s="49"/>
      <c r="D525" s="49"/>
      <c r="E525" s="49" t="s">
        <v>519</v>
      </c>
      <c r="F525" s="49"/>
      <c r="G525" s="49"/>
      <c r="H525" s="63">
        <v>0</v>
      </c>
      <c r="I525" s="63"/>
      <c r="J525" s="64">
        <v>0</v>
      </c>
      <c r="K525" s="64"/>
      <c r="L525" s="65">
        <v>86.03</v>
      </c>
      <c r="M525" s="65"/>
      <c r="N525" s="66">
        <f t="shared" si="248"/>
        <v>86.03</v>
      </c>
      <c r="O525" s="66"/>
      <c r="P525" s="69">
        <f t="shared" si="247"/>
        <v>28.676666666666666</v>
      </c>
      <c r="Q525" s="69">
        <f t="shared" si="247"/>
        <v>0</v>
      </c>
      <c r="R525" s="54"/>
      <c r="S525" s="49"/>
      <c r="T525" s="49"/>
      <c r="U525" s="49"/>
      <c r="V525" s="49"/>
      <c r="W525" s="49" t="s">
        <v>519</v>
      </c>
      <c r="X525" s="49"/>
      <c r="Y525" s="49"/>
      <c r="Z525" s="66">
        <v>0</v>
      </c>
      <c r="AA525" s="140"/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H525" s="66">
        <v>0</v>
      </c>
      <c r="AI525" s="66">
        <v>0</v>
      </c>
      <c r="AL525"/>
      <c r="AM525" s="115"/>
      <c r="AN525"/>
      <c r="AO525"/>
      <c r="AP525"/>
    </row>
    <row r="526" spans="1:42" x14ac:dyDescent="0.35">
      <c r="A526" s="66"/>
      <c r="B526" s="66"/>
      <c r="C526" s="49"/>
      <c r="D526" s="49"/>
      <c r="E526" s="49" t="s">
        <v>520</v>
      </c>
      <c r="F526" s="49"/>
      <c r="G526" s="49"/>
      <c r="H526" s="63">
        <v>22781.57</v>
      </c>
      <c r="I526" s="63">
        <v>20000</v>
      </c>
      <c r="J526" s="64">
        <v>23123.1</v>
      </c>
      <c r="K526" s="64">
        <v>15000</v>
      </c>
      <c r="L526" s="65">
        <v>27051.87</v>
      </c>
      <c r="M526" s="65">
        <v>15000</v>
      </c>
      <c r="N526" s="66">
        <f t="shared" si="248"/>
        <v>72956.539999999994</v>
      </c>
      <c r="O526" s="66">
        <f t="shared" si="248"/>
        <v>50000</v>
      </c>
      <c r="P526" s="69">
        <f t="shared" si="247"/>
        <v>24318.846666666665</v>
      </c>
      <c r="Q526" s="69">
        <f t="shared" si="247"/>
        <v>16666.666666666668</v>
      </c>
      <c r="R526" s="54"/>
      <c r="S526" s="49"/>
      <c r="T526" s="49"/>
      <c r="U526" s="49"/>
      <c r="V526" s="49"/>
      <c r="W526" s="49" t="s">
        <v>520</v>
      </c>
      <c r="X526" s="49"/>
      <c r="Y526" s="49"/>
      <c r="Z526" s="66">
        <v>17000</v>
      </c>
      <c r="AA526" s="140"/>
      <c r="AB526" s="66">
        <v>22000</v>
      </c>
      <c r="AC526" s="66">
        <v>22000</v>
      </c>
      <c r="AD526" s="66">
        <v>22000</v>
      </c>
      <c r="AE526" s="66">
        <v>22000</v>
      </c>
      <c r="AF526" s="66">
        <v>22000</v>
      </c>
      <c r="AG526" s="66">
        <v>22000</v>
      </c>
      <c r="AH526" s="66">
        <v>22000</v>
      </c>
      <c r="AI526" s="66">
        <v>22000</v>
      </c>
      <c r="AL526"/>
      <c r="AM526" s="115"/>
      <c r="AN526"/>
      <c r="AO526"/>
      <c r="AP526"/>
    </row>
    <row r="527" spans="1:42" x14ac:dyDescent="0.35">
      <c r="A527" s="66"/>
      <c r="B527" s="66"/>
      <c r="C527" s="49"/>
      <c r="D527" s="49"/>
      <c r="E527" s="49" t="s">
        <v>521</v>
      </c>
      <c r="F527" s="49"/>
      <c r="G527" s="49"/>
      <c r="H527" s="63">
        <v>207.16</v>
      </c>
      <c r="I527" s="63">
        <v>1700</v>
      </c>
      <c r="J527" s="64">
        <v>485.58</v>
      </c>
      <c r="K527" s="64">
        <v>1100</v>
      </c>
      <c r="L527" s="65">
        <v>90.48</v>
      </c>
      <c r="M527" s="65">
        <v>1000</v>
      </c>
      <c r="N527" s="66">
        <f t="shared" si="248"/>
        <v>783.22</v>
      </c>
      <c r="O527" s="66">
        <f t="shared" si="248"/>
        <v>3800</v>
      </c>
      <c r="P527" s="69">
        <f t="shared" si="247"/>
        <v>261.07333333333332</v>
      </c>
      <c r="Q527" s="69">
        <f t="shared" si="247"/>
        <v>1266.6666666666667</v>
      </c>
      <c r="R527" s="54"/>
      <c r="S527" s="49"/>
      <c r="T527" s="49"/>
      <c r="U527" s="49"/>
      <c r="V527" s="49"/>
      <c r="W527" s="49" t="s">
        <v>521</v>
      </c>
      <c r="X527" s="49"/>
      <c r="Y527" s="49"/>
      <c r="Z527" s="66">
        <v>1000</v>
      </c>
      <c r="AA527" s="140"/>
      <c r="AB527" s="66">
        <v>1000</v>
      </c>
      <c r="AC527" s="66">
        <v>1000</v>
      </c>
      <c r="AD527" s="66">
        <v>1000</v>
      </c>
      <c r="AE527" s="66">
        <v>1000</v>
      </c>
      <c r="AF527" s="66">
        <v>1000</v>
      </c>
      <c r="AG527" s="66">
        <v>1000</v>
      </c>
      <c r="AH527" s="66">
        <v>1000</v>
      </c>
      <c r="AI527" s="66">
        <v>1000</v>
      </c>
      <c r="AL527"/>
      <c r="AM527" s="115"/>
      <c r="AN527"/>
      <c r="AO527"/>
      <c r="AP527"/>
    </row>
    <row r="528" spans="1:42" x14ac:dyDescent="0.35">
      <c r="A528" s="66"/>
      <c r="B528" s="66"/>
      <c r="C528" s="49"/>
      <c r="D528" s="49"/>
      <c r="E528" s="49" t="s">
        <v>522</v>
      </c>
      <c r="F528" s="49"/>
      <c r="G528" s="49"/>
      <c r="H528" s="63">
        <v>39999.96</v>
      </c>
      <c r="I528" s="63">
        <v>40000</v>
      </c>
      <c r="J528" s="64">
        <v>39999.96</v>
      </c>
      <c r="K528" s="64">
        <v>37800</v>
      </c>
      <c r="L528" s="65">
        <v>39999.96</v>
      </c>
      <c r="M528" s="65">
        <v>41000</v>
      </c>
      <c r="N528" s="66">
        <f t="shared" si="248"/>
        <v>119999.88</v>
      </c>
      <c r="O528" s="66">
        <f t="shared" si="248"/>
        <v>118800</v>
      </c>
      <c r="P528" s="69">
        <f t="shared" si="247"/>
        <v>39999.96</v>
      </c>
      <c r="Q528" s="69">
        <f t="shared" si="247"/>
        <v>39600</v>
      </c>
      <c r="R528" s="54"/>
      <c r="S528" s="49"/>
      <c r="T528" s="49"/>
      <c r="U528" s="49"/>
      <c r="V528" s="49"/>
      <c r="W528" s="49" t="s">
        <v>522</v>
      </c>
      <c r="X528" s="49"/>
      <c r="Y528" s="49"/>
      <c r="Z528" s="66">
        <v>42000</v>
      </c>
      <c r="AA528" s="140"/>
      <c r="AB528" s="66">
        <v>42000</v>
      </c>
      <c r="AC528" s="66">
        <v>42000</v>
      </c>
      <c r="AD528" s="66">
        <v>42000</v>
      </c>
      <c r="AE528" s="66">
        <v>42000</v>
      </c>
      <c r="AF528" s="66">
        <v>42000</v>
      </c>
      <c r="AG528" s="66">
        <v>42000</v>
      </c>
      <c r="AH528" s="66">
        <v>42000</v>
      </c>
      <c r="AI528" s="66">
        <v>42000</v>
      </c>
      <c r="AL528"/>
      <c r="AM528" s="115"/>
      <c r="AN528"/>
      <c r="AO528"/>
      <c r="AP528"/>
    </row>
    <row r="529" spans="1:42" x14ac:dyDescent="0.35">
      <c r="A529" s="66"/>
      <c r="B529" s="66"/>
      <c r="C529" s="49"/>
      <c r="D529" s="49"/>
      <c r="E529" s="49" t="s">
        <v>523</v>
      </c>
      <c r="F529" s="49"/>
      <c r="G529" s="49"/>
      <c r="H529" s="63">
        <v>2400</v>
      </c>
      <c r="I529" s="63">
        <v>2580</v>
      </c>
      <c r="J529" s="64">
        <v>3000</v>
      </c>
      <c r="K529" s="64">
        <v>2200</v>
      </c>
      <c r="L529" s="65">
        <v>2250</v>
      </c>
      <c r="M529" s="65">
        <v>3000</v>
      </c>
      <c r="N529" s="66">
        <f t="shared" si="248"/>
        <v>7650</v>
      </c>
      <c r="O529" s="66">
        <f t="shared" si="248"/>
        <v>7780</v>
      </c>
      <c r="P529" s="69">
        <f t="shared" si="247"/>
        <v>2550</v>
      </c>
      <c r="Q529" s="69">
        <f t="shared" si="247"/>
        <v>2593.3333333333335</v>
      </c>
      <c r="R529" s="54"/>
      <c r="S529" s="49"/>
      <c r="T529" s="49"/>
      <c r="U529" s="49"/>
      <c r="V529" s="49"/>
      <c r="W529" s="49" t="s">
        <v>523</v>
      </c>
      <c r="X529" s="49"/>
      <c r="Y529" s="49"/>
      <c r="Z529" s="66">
        <v>3000</v>
      </c>
      <c r="AA529" s="140"/>
      <c r="AB529" s="66">
        <v>2500</v>
      </c>
      <c r="AC529" s="66">
        <v>2500</v>
      </c>
      <c r="AD529" s="66">
        <v>2500</v>
      </c>
      <c r="AE529" s="66">
        <v>2500</v>
      </c>
      <c r="AF529" s="66">
        <v>2500</v>
      </c>
      <c r="AG529" s="66">
        <v>2500</v>
      </c>
      <c r="AH529" s="66">
        <v>2500</v>
      </c>
      <c r="AI529" s="66">
        <v>2500</v>
      </c>
      <c r="AL529"/>
      <c r="AM529" s="115"/>
      <c r="AN529"/>
      <c r="AO529"/>
      <c r="AP529"/>
    </row>
    <row r="530" spans="1:42" x14ac:dyDescent="0.35">
      <c r="A530" s="66"/>
      <c r="B530" s="66"/>
      <c r="C530" s="49"/>
      <c r="D530" s="49"/>
      <c r="E530" s="49" t="s">
        <v>524</v>
      </c>
      <c r="F530" s="49"/>
      <c r="G530" s="49"/>
      <c r="H530" s="63">
        <v>1650</v>
      </c>
      <c r="I530" s="63">
        <v>10000</v>
      </c>
      <c r="J530" s="64">
        <v>3475.37</v>
      </c>
      <c r="K530" s="64">
        <v>5000</v>
      </c>
      <c r="L530" s="65">
        <v>2086.8000000000002</v>
      </c>
      <c r="M530" s="65">
        <v>3000</v>
      </c>
      <c r="N530" s="66">
        <f t="shared" si="248"/>
        <v>7212.17</v>
      </c>
      <c r="O530" s="66">
        <f t="shared" si="248"/>
        <v>18000</v>
      </c>
      <c r="P530" s="69">
        <f t="shared" si="247"/>
        <v>2404.0566666666668</v>
      </c>
      <c r="Q530" s="69">
        <f t="shared" si="247"/>
        <v>6000</v>
      </c>
      <c r="R530" s="54"/>
      <c r="S530" s="49"/>
      <c r="T530" s="49"/>
      <c r="U530" s="49"/>
      <c r="V530" s="49"/>
      <c r="W530" s="49" t="s">
        <v>524</v>
      </c>
      <c r="X530" s="49"/>
      <c r="Y530" s="49"/>
      <c r="Z530" s="66">
        <v>3000</v>
      </c>
      <c r="AA530" s="140"/>
      <c r="AB530" s="66">
        <v>3000</v>
      </c>
      <c r="AC530" s="66">
        <v>3000</v>
      </c>
      <c r="AD530" s="66">
        <v>3000</v>
      </c>
      <c r="AE530" s="66">
        <v>3000</v>
      </c>
      <c r="AF530" s="66">
        <v>3000</v>
      </c>
      <c r="AG530" s="66">
        <v>3000</v>
      </c>
      <c r="AH530" s="66">
        <v>3000</v>
      </c>
      <c r="AI530" s="66">
        <v>3000</v>
      </c>
      <c r="AK530" s="110" t="s">
        <v>851</v>
      </c>
      <c r="AL530"/>
      <c r="AM530" s="115"/>
      <c r="AN530"/>
      <c r="AO530"/>
      <c r="AP530"/>
    </row>
    <row r="531" spans="1:42" x14ac:dyDescent="0.35">
      <c r="A531" s="66"/>
      <c r="B531" s="66"/>
      <c r="C531" s="49"/>
      <c r="D531" s="49"/>
      <c r="E531" s="49" t="s">
        <v>525</v>
      </c>
      <c r="F531" s="49"/>
      <c r="G531" s="49"/>
      <c r="H531" s="63">
        <v>5295.35</v>
      </c>
      <c r="I531" s="63">
        <v>17000</v>
      </c>
      <c r="J531" s="64">
        <v>0</v>
      </c>
      <c r="K531" s="64">
        <v>0</v>
      </c>
      <c r="L531" s="65">
        <v>0</v>
      </c>
      <c r="M531" s="65"/>
      <c r="N531" s="66">
        <f t="shared" si="248"/>
        <v>5295.35</v>
      </c>
      <c r="O531" s="66">
        <f t="shared" si="248"/>
        <v>17000</v>
      </c>
      <c r="P531" s="69">
        <f t="shared" si="247"/>
        <v>1765.1166666666668</v>
      </c>
      <c r="Q531" s="69">
        <f t="shared" si="247"/>
        <v>5666.666666666667</v>
      </c>
      <c r="R531" s="54"/>
      <c r="S531" s="49"/>
      <c r="T531" s="49"/>
      <c r="U531" s="49"/>
      <c r="V531" s="49"/>
      <c r="W531" s="49" t="s">
        <v>525</v>
      </c>
      <c r="X531" s="49"/>
      <c r="Y531" s="49"/>
      <c r="Z531" s="66">
        <v>0</v>
      </c>
      <c r="AA531" s="140"/>
      <c r="AB531" s="66">
        <v>0</v>
      </c>
      <c r="AC531" s="66">
        <v>0</v>
      </c>
      <c r="AD531" s="66">
        <v>0</v>
      </c>
      <c r="AE531" s="66">
        <v>0</v>
      </c>
      <c r="AF531" s="66">
        <v>0</v>
      </c>
      <c r="AG531" s="66">
        <v>0</v>
      </c>
      <c r="AH531" s="66">
        <v>0</v>
      </c>
      <c r="AI531" s="66">
        <v>0</v>
      </c>
      <c r="AL531"/>
      <c r="AM531" s="115"/>
      <c r="AN531"/>
      <c r="AO531"/>
      <c r="AP531"/>
    </row>
    <row r="532" spans="1:42" x14ac:dyDescent="0.35">
      <c r="A532" s="66"/>
      <c r="B532" s="66"/>
      <c r="C532" s="49"/>
      <c r="D532" s="49"/>
      <c r="E532" s="49" t="s">
        <v>526</v>
      </c>
      <c r="F532" s="49"/>
      <c r="G532" s="49"/>
      <c r="H532" s="63">
        <v>65498.5</v>
      </c>
      <c r="I532" s="63">
        <v>38325</v>
      </c>
      <c r="J532" s="64">
        <v>65504.98</v>
      </c>
      <c r="K532" s="64">
        <v>55000</v>
      </c>
      <c r="L532" s="65">
        <v>112725.58</v>
      </c>
      <c r="M532" s="65">
        <v>69540</v>
      </c>
      <c r="N532" s="66">
        <f t="shared" si="248"/>
        <v>243729.06</v>
      </c>
      <c r="O532" s="66">
        <f t="shared" si="248"/>
        <v>162865</v>
      </c>
      <c r="P532" s="69">
        <f t="shared" si="247"/>
        <v>81243.02</v>
      </c>
      <c r="Q532" s="69">
        <f t="shared" si="247"/>
        <v>54288.333333333336</v>
      </c>
      <c r="R532" s="54"/>
      <c r="S532" s="49"/>
      <c r="T532" s="49"/>
      <c r="U532" s="49"/>
      <c r="V532" s="49"/>
      <c r="W532" s="49" t="s">
        <v>906</v>
      </c>
      <c r="X532" s="49"/>
      <c r="Y532" s="49"/>
      <c r="Z532" s="66">
        <v>45000</v>
      </c>
      <c r="AA532" s="140"/>
      <c r="AB532" s="66">
        <f t="shared" ref="AB532:AI532" si="251">ROUND(42665.15, 0)</f>
        <v>42665</v>
      </c>
      <c r="AC532" s="66">
        <f t="shared" si="251"/>
        <v>42665</v>
      </c>
      <c r="AD532" s="66">
        <f t="shared" si="251"/>
        <v>42665</v>
      </c>
      <c r="AE532" s="66">
        <f t="shared" si="251"/>
        <v>42665</v>
      </c>
      <c r="AF532" s="66">
        <f t="shared" si="251"/>
        <v>42665</v>
      </c>
      <c r="AG532" s="66">
        <f t="shared" si="251"/>
        <v>42665</v>
      </c>
      <c r="AH532" s="66">
        <f t="shared" si="251"/>
        <v>42665</v>
      </c>
      <c r="AI532" s="66">
        <f t="shared" si="251"/>
        <v>42665</v>
      </c>
      <c r="AL532"/>
      <c r="AM532" s="115"/>
      <c r="AN532"/>
      <c r="AO532"/>
      <c r="AP532"/>
    </row>
    <row r="533" spans="1:42" x14ac:dyDescent="0.35">
      <c r="A533" s="66"/>
      <c r="B533" s="66"/>
      <c r="C533" s="49"/>
      <c r="D533" s="49"/>
      <c r="E533" s="49" t="s">
        <v>527</v>
      </c>
      <c r="F533" s="49"/>
      <c r="G533" s="49"/>
      <c r="H533" s="63">
        <v>4664.29</v>
      </c>
      <c r="I533" s="63">
        <v>2716.8</v>
      </c>
      <c r="J533" s="64">
        <v>3018.33</v>
      </c>
      <c r="K533" s="64">
        <v>4360</v>
      </c>
      <c r="L533" s="65">
        <v>4947.66</v>
      </c>
      <c r="M533" s="65">
        <v>5328</v>
      </c>
      <c r="N533" s="66">
        <f t="shared" ref="N533:O544" si="252">ROUND(H533+J533+L533,5)</f>
        <v>12630.28</v>
      </c>
      <c r="O533" s="66">
        <f t="shared" si="252"/>
        <v>12404.8</v>
      </c>
      <c r="P533" s="69">
        <f t="shared" si="247"/>
        <v>4210.0933333333332</v>
      </c>
      <c r="Q533" s="69">
        <f t="shared" si="247"/>
        <v>4134.9333333333334</v>
      </c>
      <c r="R533" s="54"/>
      <c r="S533" s="49"/>
      <c r="T533" s="49"/>
      <c r="U533" s="49"/>
      <c r="V533" s="49"/>
      <c r="W533" s="49" t="s">
        <v>527</v>
      </c>
      <c r="X533" s="49"/>
      <c r="Y533" s="49"/>
      <c r="Z533" s="66">
        <v>5027</v>
      </c>
      <c r="AA533" s="140"/>
      <c r="AB533" s="66">
        <v>6033.32</v>
      </c>
      <c r="AC533" s="66">
        <v>6033.32</v>
      </c>
      <c r="AD533" s="66">
        <v>6033.32</v>
      </c>
      <c r="AE533" s="66">
        <v>6033.32</v>
      </c>
      <c r="AF533" s="66">
        <v>6033.32</v>
      </c>
      <c r="AG533" s="66">
        <f>ROUND(6033.32, 0)</f>
        <v>6033</v>
      </c>
      <c r="AH533" s="66">
        <f>ROUND(6033.32, 0)</f>
        <v>6033</v>
      </c>
      <c r="AI533" s="66">
        <f>ROUND(6033.32, 0)</f>
        <v>6033</v>
      </c>
      <c r="AL533"/>
      <c r="AM533" s="115"/>
      <c r="AN533"/>
      <c r="AO533"/>
      <c r="AP533"/>
    </row>
    <row r="534" spans="1:42" ht="29" x14ac:dyDescent="0.35">
      <c r="A534" s="66"/>
      <c r="B534" s="66"/>
      <c r="C534" s="49"/>
      <c r="D534" s="49"/>
      <c r="E534" s="49" t="s">
        <v>528</v>
      </c>
      <c r="F534" s="49"/>
      <c r="G534" s="49"/>
      <c r="H534" s="63">
        <v>4727</v>
      </c>
      <c r="I534" s="63">
        <v>4572</v>
      </c>
      <c r="J534" s="64">
        <v>5187</v>
      </c>
      <c r="K534" s="64">
        <v>4900</v>
      </c>
      <c r="L534" s="65">
        <v>3671</v>
      </c>
      <c r="M534" s="65">
        <v>5431</v>
      </c>
      <c r="N534" s="66">
        <f t="shared" si="252"/>
        <v>13585</v>
      </c>
      <c r="O534" s="66">
        <f t="shared" si="252"/>
        <v>14903</v>
      </c>
      <c r="P534" s="69">
        <f t="shared" si="247"/>
        <v>4528.333333333333</v>
      </c>
      <c r="Q534" s="69">
        <f t="shared" si="247"/>
        <v>4967.666666666667</v>
      </c>
      <c r="R534" s="54"/>
      <c r="S534" s="49"/>
      <c r="T534" s="49"/>
      <c r="U534" s="49"/>
      <c r="V534" s="49"/>
      <c r="W534" s="49" t="s">
        <v>528</v>
      </c>
      <c r="X534" s="49"/>
      <c r="Y534" s="49"/>
      <c r="Z534" s="66">
        <v>3132</v>
      </c>
      <c r="AA534" s="140"/>
      <c r="AB534" s="66">
        <f t="shared" ref="AB534:AF534" si="253">ROUND(3414.6, 0)</f>
        <v>3415</v>
      </c>
      <c r="AC534" s="66">
        <f t="shared" si="253"/>
        <v>3415</v>
      </c>
      <c r="AD534" s="66">
        <f t="shared" si="253"/>
        <v>3415</v>
      </c>
      <c r="AE534" s="66">
        <f t="shared" si="253"/>
        <v>3415</v>
      </c>
      <c r="AF534" s="66">
        <f t="shared" si="253"/>
        <v>3415</v>
      </c>
      <c r="AG534" s="66">
        <v>3415</v>
      </c>
      <c r="AH534" s="66">
        <v>3415</v>
      </c>
      <c r="AI534" s="66">
        <v>3415</v>
      </c>
      <c r="AK534" s="220" t="s">
        <v>993</v>
      </c>
      <c r="AL534"/>
      <c r="AM534" s="115"/>
      <c r="AN534"/>
      <c r="AO534"/>
      <c r="AP534"/>
    </row>
    <row r="535" spans="1:42" x14ac:dyDescent="0.35">
      <c r="A535" s="66"/>
      <c r="B535" s="66"/>
      <c r="C535" s="49"/>
      <c r="D535" s="49"/>
      <c r="E535" s="49" t="s">
        <v>529</v>
      </c>
      <c r="F535" s="49"/>
      <c r="G535" s="49"/>
      <c r="H535" s="63">
        <v>89.42</v>
      </c>
      <c r="I535" s="63">
        <v>5000</v>
      </c>
      <c r="J535" s="64">
        <v>12728.53</v>
      </c>
      <c r="K535" s="64">
        <v>0</v>
      </c>
      <c r="L535" s="65">
        <v>0</v>
      </c>
      <c r="M535" s="65">
        <v>0</v>
      </c>
      <c r="N535" s="66">
        <f t="shared" si="252"/>
        <v>12817.95</v>
      </c>
      <c r="O535" s="66">
        <f t="shared" si="252"/>
        <v>5000</v>
      </c>
      <c r="P535" s="69">
        <f t="shared" si="247"/>
        <v>4272.6500000000005</v>
      </c>
      <c r="Q535" s="69">
        <f t="shared" si="247"/>
        <v>1666.6666666666667</v>
      </c>
      <c r="R535" s="54"/>
      <c r="S535" s="49"/>
      <c r="T535" s="49"/>
      <c r="U535" s="49"/>
      <c r="V535" s="49"/>
      <c r="W535" s="49" t="s">
        <v>529</v>
      </c>
      <c r="X535" s="49"/>
      <c r="Y535" s="49"/>
      <c r="Z535" s="66">
        <v>5000</v>
      </c>
      <c r="AA535" s="140"/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0</v>
      </c>
      <c r="AI535" s="66">
        <v>0</v>
      </c>
      <c r="AK535" s="220" t="s">
        <v>983</v>
      </c>
      <c r="AL535"/>
      <c r="AM535" s="115"/>
      <c r="AN535"/>
      <c r="AO535"/>
      <c r="AP535"/>
    </row>
    <row r="536" spans="1:42" x14ac:dyDescent="0.35">
      <c r="A536" s="66"/>
      <c r="B536" s="66"/>
      <c r="C536" s="49"/>
      <c r="D536" s="49"/>
      <c r="E536" s="49" t="s">
        <v>530</v>
      </c>
      <c r="F536" s="49"/>
      <c r="G536" s="49"/>
      <c r="H536" s="63">
        <v>3574.34</v>
      </c>
      <c r="I536" s="63">
        <v>4992</v>
      </c>
      <c r="J536" s="64">
        <v>3364.92</v>
      </c>
      <c r="K536" s="64">
        <v>5562</v>
      </c>
      <c r="L536" s="65">
        <v>2926.66</v>
      </c>
      <c r="M536" s="65">
        <v>5000</v>
      </c>
      <c r="N536" s="66">
        <f t="shared" si="252"/>
        <v>9865.92</v>
      </c>
      <c r="O536" s="66">
        <f t="shared" si="252"/>
        <v>15554</v>
      </c>
      <c r="P536" s="69">
        <f t="shared" si="247"/>
        <v>3288.64</v>
      </c>
      <c r="Q536" s="69">
        <f t="shared" si="247"/>
        <v>5184.666666666667</v>
      </c>
      <c r="R536" s="54"/>
      <c r="S536" s="49"/>
      <c r="T536" s="49"/>
      <c r="U536" s="49"/>
      <c r="V536" s="49"/>
      <c r="W536" s="49" t="s">
        <v>530</v>
      </c>
      <c r="X536" s="49"/>
      <c r="Y536" s="49"/>
      <c r="Z536" s="66">
        <v>5000</v>
      </c>
      <c r="AA536" s="140"/>
      <c r="AB536" s="66">
        <v>4000</v>
      </c>
      <c r="AC536" s="66">
        <v>4000</v>
      </c>
      <c r="AD536" s="66">
        <v>4000</v>
      </c>
      <c r="AE536" s="66">
        <v>4000</v>
      </c>
      <c r="AF536" s="66">
        <v>4000</v>
      </c>
      <c r="AG536" s="66">
        <v>4000</v>
      </c>
      <c r="AH536" s="66">
        <v>4000</v>
      </c>
      <c r="AI536" s="66">
        <v>4000</v>
      </c>
      <c r="AL536"/>
      <c r="AM536" s="115"/>
      <c r="AN536"/>
      <c r="AO536"/>
      <c r="AP536"/>
    </row>
    <row r="537" spans="1:42" x14ac:dyDescent="0.35">
      <c r="A537" s="66"/>
      <c r="B537" s="66"/>
      <c r="C537" s="49"/>
      <c r="D537" s="49"/>
      <c r="E537" s="49" t="s">
        <v>531</v>
      </c>
      <c r="F537" s="49"/>
      <c r="G537" s="49"/>
      <c r="H537" s="63">
        <v>10575.38</v>
      </c>
      <c r="I537" s="63">
        <v>11000</v>
      </c>
      <c r="J537" s="64">
        <v>7582.88</v>
      </c>
      <c r="K537" s="64">
        <v>11700</v>
      </c>
      <c r="L537" s="65">
        <v>8602.8799999999992</v>
      </c>
      <c r="M537" s="65">
        <v>10000</v>
      </c>
      <c r="N537" s="66">
        <f t="shared" si="252"/>
        <v>26761.14</v>
      </c>
      <c r="O537" s="66">
        <f t="shared" si="252"/>
        <v>32700</v>
      </c>
      <c r="P537" s="69">
        <f t="shared" si="247"/>
        <v>8920.3799999999992</v>
      </c>
      <c r="Q537" s="69">
        <f t="shared" si="247"/>
        <v>10900</v>
      </c>
      <c r="R537" s="54"/>
      <c r="S537" s="49"/>
      <c r="T537" s="49"/>
      <c r="U537" s="49"/>
      <c r="V537" s="49"/>
      <c r="W537" s="49" t="s">
        <v>531</v>
      </c>
      <c r="X537" s="49"/>
      <c r="Y537" s="49"/>
      <c r="Z537" s="66">
        <v>10000</v>
      </c>
      <c r="AA537" s="140"/>
      <c r="AB537" s="66">
        <v>9000</v>
      </c>
      <c r="AC537" s="66">
        <v>9000</v>
      </c>
      <c r="AD537" s="66">
        <v>9000</v>
      </c>
      <c r="AE537" s="66">
        <v>9000</v>
      </c>
      <c r="AF537" s="66">
        <v>9000</v>
      </c>
      <c r="AG537" s="66">
        <v>9000</v>
      </c>
      <c r="AH537" s="66">
        <v>9000</v>
      </c>
      <c r="AI537" s="66">
        <v>9000</v>
      </c>
      <c r="AL537"/>
      <c r="AM537" s="115"/>
      <c r="AN537"/>
      <c r="AO537"/>
      <c r="AP537"/>
    </row>
    <row r="538" spans="1:42" x14ac:dyDescent="0.35">
      <c r="A538" s="66"/>
      <c r="B538" s="66"/>
      <c r="C538" s="49"/>
      <c r="D538" s="49"/>
      <c r="E538" s="49" t="s">
        <v>532</v>
      </c>
      <c r="F538" s="49"/>
      <c r="G538" s="49"/>
      <c r="H538" s="63">
        <v>3539.31</v>
      </c>
      <c r="I538" s="63">
        <v>3645</v>
      </c>
      <c r="J538" s="64">
        <v>3316.13</v>
      </c>
      <c r="K538" s="64">
        <v>3200</v>
      </c>
      <c r="L538" s="65">
        <v>3381.09</v>
      </c>
      <c r="M538" s="65">
        <v>3250</v>
      </c>
      <c r="N538" s="66">
        <f t="shared" si="252"/>
        <v>10236.530000000001</v>
      </c>
      <c r="O538" s="66">
        <f t="shared" si="252"/>
        <v>10095</v>
      </c>
      <c r="P538" s="69">
        <f t="shared" si="247"/>
        <v>3412.1766666666667</v>
      </c>
      <c r="Q538" s="69">
        <f t="shared" si="247"/>
        <v>3365</v>
      </c>
      <c r="R538" s="54"/>
      <c r="S538" s="49"/>
      <c r="T538" s="49"/>
      <c r="U538" s="49"/>
      <c r="V538" s="49"/>
      <c r="W538" s="49" t="s">
        <v>532</v>
      </c>
      <c r="X538" s="49"/>
      <c r="Y538" s="49"/>
      <c r="Z538" s="66">
        <v>3405</v>
      </c>
      <c r="AA538" s="140"/>
      <c r="AB538" s="66">
        <v>3050</v>
      </c>
      <c r="AC538" s="66">
        <v>3050</v>
      </c>
      <c r="AD538" s="66">
        <v>3050</v>
      </c>
      <c r="AE538" s="66">
        <v>3050</v>
      </c>
      <c r="AF538" s="66">
        <v>3050</v>
      </c>
      <c r="AG538" s="66">
        <v>3050</v>
      </c>
      <c r="AH538" s="66">
        <v>3050</v>
      </c>
      <c r="AI538" s="66">
        <v>3050</v>
      </c>
      <c r="AL538"/>
      <c r="AM538" s="115"/>
      <c r="AN538"/>
      <c r="AO538"/>
      <c r="AP538"/>
    </row>
    <row r="539" spans="1:42" x14ac:dyDescent="0.35">
      <c r="A539" s="66"/>
      <c r="B539" s="66"/>
      <c r="C539" s="49"/>
      <c r="D539" s="49"/>
      <c r="E539" s="49" t="s">
        <v>533</v>
      </c>
      <c r="F539" s="49"/>
      <c r="G539" s="49"/>
      <c r="H539" s="63">
        <v>8875.7999999999993</v>
      </c>
      <c r="I539" s="63">
        <v>9376</v>
      </c>
      <c r="J539" s="64">
        <v>6026.59</v>
      </c>
      <c r="K539" s="64">
        <v>8800</v>
      </c>
      <c r="L539" s="65">
        <v>0</v>
      </c>
      <c r="M539" s="65">
        <v>0</v>
      </c>
      <c r="N539" s="66">
        <f t="shared" si="252"/>
        <v>14902.39</v>
      </c>
      <c r="O539" s="66">
        <f t="shared" si="252"/>
        <v>18176</v>
      </c>
      <c r="P539" s="69">
        <f t="shared" si="247"/>
        <v>4967.4633333333331</v>
      </c>
      <c r="Q539" s="69">
        <f t="shared" si="247"/>
        <v>6058.666666666667</v>
      </c>
      <c r="R539" s="54"/>
      <c r="S539" s="49"/>
      <c r="T539" s="49"/>
      <c r="U539" s="49"/>
      <c r="V539" s="49"/>
      <c r="W539" s="49" t="s">
        <v>533</v>
      </c>
      <c r="X539" s="49"/>
      <c r="Y539" s="49"/>
      <c r="Z539" s="66">
        <v>0</v>
      </c>
      <c r="AA539" s="140"/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0</v>
      </c>
      <c r="AI539" s="66">
        <v>0</v>
      </c>
      <c r="AL539"/>
      <c r="AM539" s="115"/>
      <c r="AN539"/>
      <c r="AO539"/>
      <c r="AP539"/>
    </row>
    <row r="540" spans="1:42" x14ac:dyDescent="0.35">
      <c r="A540" s="66"/>
      <c r="B540" s="66"/>
      <c r="C540" s="49"/>
      <c r="D540" s="49"/>
      <c r="E540" s="49" t="s">
        <v>534</v>
      </c>
      <c r="F540" s="49"/>
      <c r="G540" s="49"/>
      <c r="H540" s="63">
        <v>27953.49</v>
      </c>
      <c r="I540" s="63">
        <v>28074</v>
      </c>
      <c r="J540" s="64">
        <v>19873.310000000001</v>
      </c>
      <c r="K540" s="64">
        <v>17150</v>
      </c>
      <c r="L540" s="65">
        <v>19701.16</v>
      </c>
      <c r="M540" s="65">
        <v>19345</v>
      </c>
      <c r="N540" s="66">
        <f t="shared" si="252"/>
        <v>67527.960000000006</v>
      </c>
      <c r="O540" s="66">
        <f t="shared" si="252"/>
        <v>64569</v>
      </c>
      <c r="P540" s="69">
        <f t="shared" si="247"/>
        <v>22509.320000000003</v>
      </c>
      <c r="Q540" s="69">
        <f t="shared" si="247"/>
        <v>21523</v>
      </c>
      <c r="R540" s="54"/>
      <c r="S540" s="49"/>
      <c r="T540" s="49"/>
      <c r="U540" s="49"/>
      <c r="V540" s="49"/>
      <c r="W540" s="49" t="s">
        <v>534</v>
      </c>
      <c r="X540" s="49"/>
      <c r="Y540" s="49"/>
      <c r="Z540" s="66">
        <v>19503</v>
      </c>
      <c r="AA540" s="140"/>
      <c r="AB540" s="66">
        <v>20400</v>
      </c>
      <c r="AC540" s="66">
        <v>20400</v>
      </c>
      <c r="AD540" s="66">
        <v>20400</v>
      </c>
      <c r="AE540" s="66">
        <v>22860</v>
      </c>
      <c r="AF540" s="66">
        <v>22860</v>
      </c>
      <c r="AG540" s="66">
        <v>22860</v>
      </c>
      <c r="AH540" s="66">
        <v>22860</v>
      </c>
      <c r="AI540" s="66">
        <v>22860</v>
      </c>
      <c r="AL540"/>
      <c r="AM540" s="115"/>
      <c r="AN540"/>
      <c r="AO540"/>
      <c r="AP540"/>
    </row>
    <row r="541" spans="1:42" x14ac:dyDescent="0.35">
      <c r="A541" s="66"/>
      <c r="B541" s="66"/>
      <c r="C541" s="49"/>
      <c r="D541" s="49"/>
      <c r="E541" s="49" t="s">
        <v>535</v>
      </c>
      <c r="F541" s="49"/>
      <c r="G541" s="49"/>
      <c r="H541" s="63">
        <v>0</v>
      </c>
      <c r="I541" s="63">
        <v>6000</v>
      </c>
      <c r="J541" s="64">
        <v>21228.95</v>
      </c>
      <c r="K541" s="64">
        <v>0</v>
      </c>
      <c r="L541" s="65">
        <v>47757.3</v>
      </c>
      <c r="M541" s="65">
        <v>3000</v>
      </c>
      <c r="N541" s="66">
        <f t="shared" si="252"/>
        <v>68986.25</v>
      </c>
      <c r="O541" s="66">
        <f t="shared" si="252"/>
        <v>9000</v>
      </c>
      <c r="P541" s="69">
        <f t="shared" si="247"/>
        <v>22995.416666666668</v>
      </c>
      <c r="Q541" s="69">
        <f t="shared" si="247"/>
        <v>3000</v>
      </c>
      <c r="R541" s="54"/>
      <c r="S541" s="49"/>
      <c r="T541" s="49"/>
      <c r="U541" s="49"/>
      <c r="V541" s="49"/>
      <c r="W541" s="49" t="s">
        <v>535</v>
      </c>
      <c r="X541" s="49"/>
      <c r="Y541" s="49"/>
      <c r="Z541" s="66">
        <v>3000</v>
      </c>
      <c r="AA541" s="140"/>
      <c r="AB541" s="66">
        <v>3000</v>
      </c>
      <c r="AC541" s="66">
        <v>3000</v>
      </c>
      <c r="AD541" s="66">
        <v>3000</v>
      </c>
      <c r="AE541" s="66">
        <v>3000</v>
      </c>
      <c r="AF541" s="66">
        <v>3000</v>
      </c>
      <c r="AG541" s="66">
        <v>3000</v>
      </c>
      <c r="AH541" s="66">
        <v>3000</v>
      </c>
      <c r="AI541" s="66">
        <v>3000</v>
      </c>
      <c r="AL541"/>
      <c r="AM541" s="115"/>
      <c r="AN541"/>
      <c r="AO541"/>
      <c r="AP541"/>
    </row>
    <row r="542" spans="1:42" x14ac:dyDescent="0.35">
      <c r="A542" s="66"/>
      <c r="B542" s="66"/>
      <c r="C542" s="49"/>
      <c r="D542" s="49"/>
      <c r="E542" s="49" t="s">
        <v>536</v>
      </c>
      <c r="F542" s="49"/>
      <c r="G542" s="49"/>
      <c r="H542" s="63">
        <v>19982.650000000001</v>
      </c>
      <c r="I542" s="63">
        <v>32500</v>
      </c>
      <c r="J542" s="64">
        <v>16665.71</v>
      </c>
      <c r="K542" s="64">
        <v>34050</v>
      </c>
      <c r="L542" s="65">
        <v>22645.33</v>
      </c>
      <c r="M542" s="65">
        <v>35000</v>
      </c>
      <c r="N542" s="66">
        <f t="shared" si="252"/>
        <v>59293.69</v>
      </c>
      <c r="O542" s="66">
        <f t="shared" si="252"/>
        <v>101550</v>
      </c>
      <c r="P542" s="69">
        <f t="shared" si="247"/>
        <v>19764.563333333335</v>
      </c>
      <c r="Q542" s="69">
        <f t="shared" si="247"/>
        <v>33850</v>
      </c>
      <c r="R542" s="54"/>
      <c r="S542" s="49"/>
      <c r="T542" s="49"/>
      <c r="U542" s="49"/>
      <c r="V542" s="49"/>
      <c r="W542" s="49" t="s">
        <v>536</v>
      </c>
      <c r="X542" s="49"/>
      <c r="Y542" s="49"/>
      <c r="Z542" s="66">
        <v>35000</v>
      </c>
      <c r="AA542" s="140"/>
      <c r="AB542" s="66">
        <v>35000</v>
      </c>
      <c r="AC542" s="66">
        <v>30000</v>
      </c>
      <c r="AD542" s="66">
        <v>30000</v>
      </c>
      <c r="AE542" s="66">
        <v>30000</v>
      </c>
      <c r="AF542" s="66">
        <v>35000</v>
      </c>
      <c r="AG542" s="66">
        <v>35000</v>
      </c>
      <c r="AH542" s="66">
        <v>35000</v>
      </c>
      <c r="AI542" s="66">
        <v>35000</v>
      </c>
      <c r="AL542"/>
      <c r="AM542" s="115"/>
      <c r="AN542"/>
      <c r="AO542"/>
      <c r="AP542"/>
    </row>
    <row r="543" spans="1:42" x14ac:dyDescent="0.35">
      <c r="A543" s="66"/>
      <c r="B543" s="66"/>
      <c r="C543" s="49"/>
      <c r="D543" s="49"/>
      <c r="E543" s="49" t="s">
        <v>537</v>
      </c>
      <c r="F543" s="49"/>
      <c r="G543" s="49"/>
      <c r="H543" s="63">
        <v>0</v>
      </c>
      <c r="I543" s="63"/>
      <c r="J543" s="64">
        <v>0</v>
      </c>
      <c r="K543" s="64"/>
      <c r="L543" s="65">
        <v>0</v>
      </c>
      <c r="M543" s="65"/>
      <c r="N543" s="66">
        <f t="shared" si="252"/>
        <v>0</v>
      </c>
      <c r="O543" s="66"/>
      <c r="P543" s="69">
        <f t="shared" si="247"/>
        <v>0</v>
      </c>
      <c r="Q543" s="69">
        <f t="shared" si="247"/>
        <v>0</v>
      </c>
      <c r="R543" s="54"/>
      <c r="S543" s="49"/>
      <c r="T543" s="49"/>
      <c r="U543" s="49"/>
      <c r="V543" s="49"/>
      <c r="W543" s="49" t="s">
        <v>537</v>
      </c>
      <c r="X543" s="49"/>
      <c r="Y543" s="49"/>
      <c r="Z543" s="66">
        <v>0</v>
      </c>
      <c r="AA543" s="140"/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H543" s="66">
        <v>0</v>
      </c>
      <c r="AI543" s="66">
        <v>0</v>
      </c>
      <c r="AL543"/>
      <c r="AM543" s="115"/>
      <c r="AN543"/>
      <c r="AO543"/>
      <c r="AP543"/>
    </row>
    <row r="544" spans="1:42" x14ac:dyDescent="0.35">
      <c r="A544" s="66"/>
      <c r="B544" s="66"/>
      <c r="C544" s="49"/>
      <c r="D544" s="49"/>
      <c r="E544" s="49" t="s">
        <v>538</v>
      </c>
      <c r="F544" s="49"/>
      <c r="G544" s="49"/>
      <c r="H544" s="63">
        <v>14880.27</v>
      </c>
      <c r="I544" s="63">
        <v>15000</v>
      </c>
      <c r="J544" s="64">
        <v>16092.2</v>
      </c>
      <c r="K544" s="64">
        <v>10000</v>
      </c>
      <c r="L544" s="65">
        <v>-1635.48</v>
      </c>
      <c r="M544" s="65">
        <v>10000</v>
      </c>
      <c r="N544" s="66">
        <f t="shared" si="252"/>
        <v>29336.99</v>
      </c>
      <c r="O544" s="66">
        <f>ROUND(I544+K544+M544,5)</f>
        <v>35000</v>
      </c>
      <c r="P544" s="69">
        <f t="shared" si="247"/>
        <v>9778.9966666666678</v>
      </c>
      <c r="Q544" s="69">
        <f t="shared" si="247"/>
        <v>11666.666666666666</v>
      </c>
      <c r="R544" s="54"/>
      <c r="S544" s="49"/>
      <c r="T544" s="49"/>
      <c r="U544" s="49"/>
      <c r="V544" s="49"/>
      <c r="W544" s="49" t="s">
        <v>538</v>
      </c>
      <c r="X544" s="49"/>
      <c r="Y544" s="49"/>
      <c r="Z544" s="66">
        <v>10000</v>
      </c>
      <c r="AA544" s="140"/>
      <c r="AB544" s="66">
        <v>10000</v>
      </c>
      <c r="AC544" s="66">
        <v>10000</v>
      </c>
      <c r="AD544" s="66">
        <v>10000</v>
      </c>
      <c r="AE544" s="66">
        <v>10000</v>
      </c>
      <c r="AF544" s="66">
        <v>10000</v>
      </c>
      <c r="AG544" s="66">
        <v>10000</v>
      </c>
      <c r="AH544" s="66">
        <v>10000</v>
      </c>
      <c r="AI544" s="66">
        <v>10000</v>
      </c>
      <c r="AL544"/>
      <c r="AM544" s="115"/>
      <c r="AN544"/>
      <c r="AO544"/>
      <c r="AP544"/>
    </row>
    <row r="545" spans="1:42" x14ac:dyDescent="0.35">
      <c r="A545" s="66"/>
      <c r="B545" s="66"/>
      <c r="C545" s="49"/>
      <c r="D545" s="49"/>
      <c r="E545" s="49" t="s">
        <v>539</v>
      </c>
      <c r="F545" s="49"/>
      <c r="G545" s="49"/>
      <c r="H545" s="63"/>
      <c r="I545" s="63"/>
      <c r="J545" s="64"/>
      <c r="K545" s="64"/>
      <c r="L545" s="65"/>
      <c r="M545" s="65"/>
      <c r="N545" s="66"/>
      <c r="O545" s="66"/>
      <c r="P545" s="69"/>
      <c r="Q545" s="69"/>
      <c r="R545" s="54"/>
      <c r="S545" s="49"/>
      <c r="T545" s="49"/>
      <c r="U545" s="49"/>
      <c r="V545" s="49"/>
      <c r="W545" s="49" t="s">
        <v>539</v>
      </c>
      <c r="X545" s="49"/>
      <c r="Y545" s="49"/>
      <c r="Z545" s="66"/>
      <c r="AA545" s="140"/>
      <c r="AB545" s="66"/>
      <c r="AC545" s="66"/>
      <c r="AD545" s="66"/>
      <c r="AE545" s="66"/>
      <c r="AF545" s="66"/>
      <c r="AG545" s="66"/>
      <c r="AH545" s="66"/>
      <c r="AI545" s="66"/>
      <c r="AL545"/>
      <c r="AM545" s="115"/>
      <c r="AN545"/>
      <c r="AO545"/>
      <c r="AP545"/>
    </row>
    <row r="546" spans="1:42" x14ac:dyDescent="0.35">
      <c r="A546" s="66"/>
      <c r="B546" s="66"/>
      <c r="C546" s="49"/>
      <c r="D546" s="49"/>
      <c r="E546" s="49"/>
      <c r="F546" s="49" t="s">
        <v>540</v>
      </c>
      <c r="G546" s="49"/>
      <c r="H546" s="63">
        <v>11400</v>
      </c>
      <c r="I546" s="63">
        <v>11970</v>
      </c>
      <c r="J546" s="64">
        <v>11400</v>
      </c>
      <c r="K546" s="64">
        <v>11400</v>
      </c>
      <c r="L546" s="65">
        <v>11400</v>
      </c>
      <c r="M546" s="65">
        <v>11970</v>
      </c>
      <c r="N546" s="66">
        <f t="shared" ref="N546:O550" si="254">ROUND(H546+J546+L546,5)</f>
        <v>34200</v>
      </c>
      <c r="O546" s="66">
        <f t="shared" si="254"/>
        <v>35340</v>
      </c>
      <c r="P546" s="69">
        <f t="shared" si="247"/>
        <v>11400</v>
      </c>
      <c r="Q546" s="69">
        <f t="shared" si="247"/>
        <v>11780</v>
      </c>
      <c r="R546" s="54"/>
      <c r="S546" s="49"/>
      <c r="T546" s="49"/>
      <c r="U546" s="49"/>
      <c r="V546" s="49"/>
      <c r="W546" s="49"/>
      <c r="X546" s="49" t="s">
        <v>540</v>
      </c>
      <c r="Y546" s="49"/>
      <c r="Z546" s="66">
        <v>11970</v>
      </c>
      <c r="AA546" s="140"/>
      <c r="AB546" s="66">
        <v>11970</v>
      </c>
      <c r="AC546" s="66">
        <v>11970</v>
      </c>
      <c r="AD546" s="66">
        <v>11970</v>
      </c>
      <c r="AE546" s="66">
        <v>11970</v>
      </c>
      <c r="AF546" s="66">
        <v>11970</v>
      </c>
      <c r="AG546" s="66">
        <v>11970</v>
      </c>
      <c r="AH546" s="66">
        <v>11970</v>
      </c>
      <c r="AI546" s="66">
        <v>11970</v>
      </c>
      <c r="AL546"/>
      <c r="AM546" s="115"/>
      <c r="AN546"/>
      <c r="AO546"/>
      <c r="AP546"/>
    </row>
    <row r="547" spans="1:42" x14ac:dyDescent="0.35">
      <c r="A547" s="66"/>
      <c r="B547" s="66"/>
      <c r="C547" s="49"/>
      <c r="D547" s="49"/>
      <c r="E547" s="49"/>
      <c r="F547" s="49" t="s">
        <v>541</v>
      </c>
      <c r="G547" s="49"/>
      <c r="H547" s="63">
        <v>20000</v>
      </c>
      <c r="I547" s="63">
        <v>20000</v>
      </c>
      <c r="J547" s="64">
        <v>20000.04</v>
      </c>
      <c r="K547" s="64">
        <v>20000</v>
      </c>
      <c r="L547" s="65">
        <v>20000.04</v>
      </c>
      <c r="M547" s="65">
        <v>20000</v>
      </c>
      <c r="N547" s="66">
        <f t="shared" si="254"/>
        <v>60000.08</v>
      </c>
      <c r="O547" s="66">
        <f t="shared" si="254"/>
        <v>60000</v>
      </c>
      <c r="P547" s="69">
        <f t="shared" si="247"/>
        <v>20000.026666666668</v>
      </c>
      <c r="Q547" s="69">
        <f t="shared" si="247"/>
        <v>20000</v>
      </c>
      <c r="R547" s="54"/>
      <c r="S547" s="49"/>
      <c r="T547" s="49"/>
      <c r="U547" s="49"/>
      <c r="V547" s="49"/>
      <c r="W547" s="49"/>
      <c r="X547" s="49" t="s">
        <v>541</v>
      </c>
      <c r="Y547" s="49"/>
      <c r="Z547" s="66">
        <v>21000</v>
      </c>
      <c r="AA547" s="140"/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H547" s="66">
        <v>0</v>
      </c>
      <c r="AI547" s="66">
        <v>0</v>
      </c>
      <c r="AK547" s="220" t="s">
        <v>946</v>
      </c>
      <c r="AL547"/>
      <c r="AM547" s="115"/>
      <c r="AN547"/>
      <c r="AO547"/>
      <c r="AP547"/>
    </row>
    <row r="548" spans="1:42" ht="16" thickBot="1" x14ac:dyDescent="0.4">
      <c r="A548" s="66"/>
      <c r="B548" s="66"/>
      <c r="C548" s="49"/>
      <c r="D548" s="49"/>
      <c r="E548" s="49"/>
      <c r="F548" s="49" t="s">
        <v>542</v>
      </c>
      <c r="G548" s="49"/>
      <c r="H548" s="70">
        <v>34792.800000000003</v>
      </c>
      <c r="I548" s="70">
        <v>34464</v>
      </c>
      <c r="J548" s="71">
        <v>36880.32</v>
      </c>
      <c r="K548" s="71">
        <v>32823.360000000001</v>
      </c>
      <c r="L548" s="72">
        <v>39093.120000000003</v>
      </c>
      <c r="M548" s="72">
        <v>38724.339999999997</v>
      </c>
      <c r="N548" s="73">
        <f t="shared" si="254"/>
        <v>110766.24</v>
      </c>
      <c r="O548" s="73">
        <f t="shared" si="254"/>
        <v>106011.7</v>
      </c>
      <c r="P548" s="74">
        <f t="shared" si="247"/>
        <v>36922.080000000002</v>
      </c>
      <c r="Q548" s="74">
        <f t="shared" si="247"/>
        <v>35337.23333333333</v>
      </c>
      <c r="R548" s="54"/>
      <c r="S548" s="49"/>
      <c r="T548" s="49"/>
      <c r="U548" s="49"/>
      <c r="V548" s="49"/>
      <c r="W548" s="49"/>
      <c r="X548" s="49" t="s">
        <v>542</v>
      </c>
      <c r="Y548" s="49"/>
      <c r="Z548" s="73">
        <v>41048</v>
      </c>
      <c r="AA548" s="140"/>
      <c r="AB548" s="73">
        <v>75353.289999999994</v>
      </c>
      <c r="AC548" s="73">
        <v>75353.289999999994</v>
      </c>
      <c r="AD548" s="73">
        <v>75353.289999999994</v>
      </c>
      <c r="AE548" s="73">
        <v>75353.289999999994</v>
      </c>
      <c r="AF548" s="73">
        <v>75353.289999999994</v>
      </c>
      <c r="AG548" s="73">
        <v>43000</v>
      </c>
      <c r="AH548" s="73">
        <v>43000</v>
      </c>
      <c r="AI548" s="73">
        <v>43000</v>
      </c>
      <c r="AL548"/>
      <c r="AM548" s="115"/>
      <c r="AN548"/>
      <c r="AO548"/>
      <c r="AP548"/>
    </row>
    <row r="549" spans="1:42" ht="16" thickBot="1" x14ac:dyDescent="0.4">
      <c r="A549" s="66"/>
      <c r="B549" s="66"/>
      <c r="C549" s="49"/>
      <c r="D549" s="49"/>
      <c r="E549" s="49" t="s">
        <v>543</v>
      </c>
      <c r="F549" s="49"/>
      <c r="G549" s="49"/>
      <c r="H549" s="63">
        <f t="shared" ref="H549:M549" si="255">ROUND(SUM(H545:H548),5)</f>
        <v>66192.800000000003</v>
      </c>
      <c r="I549" s="63">
        <f t="shared" si="255"/>
        <v>66434</v>
      </c>
      <c r="J549" s="64">
        <f t="shared" si="255"/>
        <v>68280.36</v>
      </c>
      <c r="K549" s="64">
        <f t="shared" si="255"/>
        <v>64223.360000000001</v>
      </c>
      <c r="L549" s="65">
        <f t="shared" si="255"/>
        <v>70493.16</v>
      </c>
      <c r="M549" s="65">
        <f t="shared" si="255"/>
        <v>70694.34</v>
      </c>
      <c r="N549" s="66">
        <f t="shared" si="254"/>
        <v>204966.32</v>
      </c>
      <c r="O549" s="66">
        <f t="shared" si="254"/>
        <v>201351.7</v>
      </c>
      <c r="P549" s="69">
        <f t="shared" si="247"/>
        <v>68322.106666666674</v>
      </c>
      <c r="Q549" s="69">
        <f t="shared" si="247"/>
        <v>67117.233333333337</v>
      </c>
      <c r="R549" s="54"/>
      <c r="S549" s="49"/>
      <c r="T549" s="49"/>
      <c r="U549" s="49"/>
      <c r="V549" s="49"/>
      <c r="W549" s="49" t="s">
        <v>543</v>
      </c>
      <c r="X549" s="49"/>
      <c r="Y549" s="49"/>
      <c r="Z549" s="66">
        <f>ROUND(SUM(Z545:Z548),5)</f>
        <v>74018</v>
      </c>
      <c r="AA549" s="140"/>
      <c r="AB549" s="66">
        <f t="shared" ref="AB549:AH549" si="256">ROUND(SUM(AB545:AB548),5)</f>
        <v>87323.29</v>
      </c>
      <c r="AC549" s="66">
        <f t="shared" si="256"/>
        <v>87323.29</v>
      </c>
      <c r="AD549" s="66">
        <f t="shared" si="256"/>
        <v>87323.29</v>
      </c>
      <c r="AE549" s="66">
        <f t="shared" si="256"/>
        <v>87323.29</v>
      </c>
      <c r="AF549" s="66">
        <f t="shared" si="256"/>
        <v>87323.29</v>
      </c>
      <c r="AG549" s="66">
        <f t="shared" si="256"/>
        <v>54970</v>
      </c>
      <c r="AH549" s="66">
        <f t="shared" si="256"/>
        <v>54970</v>
      </c>
      <c r="AI549" s="66">
        <f t="shared" ref="AI549" si="257">ROUND(SUM(AI545:AI548),5)</f>
        <v>54970</v>
      </c>
      <c r="AL549"/>
      <c r="AM549" s="115"/>
      <c r="AN549"/>
      <c r="AO549"/>
      <c r="AP549"/>
    </row>
    <row r="550" spans="1:42" x14ac:dyDescent="0.35">
      <c r="A550" s="66"/>
      <c r="B550" s="66"/>
      <c r="C550" s="49"/>
      <c r="D550" s="49" t="s">
        <v>544</v>
      </c>
      <c r="E550" s="49"/>
      <c r="F550" s="49"/>
      <c r="G550" s="49"/>
      <c r="H550" s="63">
        <f t="shared" ref="H550:M550" si="258">ROUND(SUM(H490:H514)+SUM(H520:H544)+SUM(H549:H549),5)</f>
        <v>820827.03</v>
      </c>
      <c r="I550" s="63">
        <f t="shared" si="258"/>
        <v>933251.5</v>
      </c>
      <c r="J550" s="64">
        <f t="shared" si="258"/>
        <v>885822.56</v>
      </c>
      <c r="K550" s="64">
        <f t="shared" si="258"/>
        <v>789393.59</v>
      </c>
      <c r="L550" s="65">
        <f t="shared" si="258"/>
        <v>1006470.26</v>
      </c>
      <c r="M550" s="65">
        <f t="shared" si="258"/>
        <v>900551.6</v>
      </c>
      <c r="N550" s="66">
        <f t="shared" si="254"/>
        <v>2713119.85</v>
      </c>
      <c r="O550" s="66">
        <f t="shared" si="254"/>
        <v>2623196.69</v>
      </c>
      <c r="P550" s="69">
        <f t="shared" si="247"/>
        <v>904373.28333333333</v>
      </c>
      <c r="Q550" s="69">
        <f t="shared" si="247"/>
        <v>874398.89666666661</v>
      </c>
      <c r="R550" s="54"/>
      <c r="S550" s="49"/>
      <c r="T550" s="49"/>
      <c r="U550" s="49"/>
      <c r="V550" s="49" t="s">
        <v>544</v>
      </c>
      <c r="W550" s="49"/>
      <c r="X550" s="49"/>
      <c r="Y550" s="49"/>
      <c r="Z550" s="78">
        <f>ROUND(SUM(Z490:Z514)+SUM(Z520:Z544)+SUM(Z549:Z549),5)</f>
        <v>979664.82</v>
      </c>
      <c r="AA550" s="140"/>
      <c r="AB550" s="91">
        <f t="shared" ref="AB550:AG550" si="259">ROUND(SUM(AB490:AB514)+SUM(AB520:AB544)+SUM(AB549:AB549),5)</f>
        <v>1013580.17</v>
      </c>
      <c r="AC550" s="91">
        <f t="shared" si="259"/>
        <v>983580.17</v>
      </c>
      <c r="AD550" s="91">
        <f t="shared" si="259"/>
        <v>986099.17</v>
      </c>
      <c r="AE550" s="91">
        <f t="shared" si="259"/>
        <v>985787.17</v>
      </c>
      <c r="AF550" s="91">
        <f t="shared" si="259"/>
        <v>1047700.03</v>
      </c>
      <c r="AG550" s="91">
        <f t="shared" si="259"/>
        <v>1086582</v>
      </c>
      <c r="AH550" s="91">
        <f t="shared" ref="AH550:AI550" si="260">ROUND(SUM(AH490:AH514)+SUM(AH520:AH544)+SUM(AH549:AH549),5)</f>
        <v>1068876.6299999999</v>
      </c>
      <c r="AI550" s="91">
        <f t="shared" si="260"/>
        <v>1066329.6299999999</v>
      </c>
      <c r="AL550"/>
      <c r="AM550" s="115"/>
      <c r="AN550"/>
      <c r="AO550"/>
      <c r="AP550"/>
    </row>
    <row r="551" spans="1:42" x14ac:dyDescent="0.35">
      <c r="A551" s="66"/>
      <c r="B551" s="66"/>
      <c r="C551" s="49"/>
      <c r="D551" s="49" t="s">
        <v>545</v>
      </c>
      <c r="E551" s="49"/>
      <c r="F551" s="49"/>
      <c r="G551" s="49"/>
      <c r="H551" s="63"/>
      <c r="I551" s="63"/>
      <c r="J551" s="64"/>
      <c r="K551" s="64"/>
      <c r="L551" s="65"/>
      <c r="M551" s="65"/>
      <c r="N551" s="66"/>
      <c r="O551" s="66"/>
      <c r="P551" s="69"/>
      <c r="Q551" s="69"/>
      <c r="R551" s="54"/>
      <c r="S551" s="49"/>
      <c r="T551" s="49"/>
      <c r="U551" s="49"/>
      <c r="V551" s="49" t="s">
        <v>545</v>
      </c>
      <c r="W551" s="49"/>
      <c r="X551" s="49"/>
      <c r="Y551" s="49"/>
      <c r="Z551" s="66"/>
      <c r="AA551" s="140"/>
      <c r="AB551" s="66"/>
      <c r="AC551" s="66"/>
      <c r="AD551" s="66"/>
      <c r="AE551" s="66"/>
      <c r="AF551" s="66"/>
      <c r="AG551" s="66"/>
      <c r="AH551" s="66"/>
      <c r="AI551" s="66"/>
    </row>
    <row r="552" spans="1:42" ht="16" thickBot="1" x14ac:dyDescent="0.4">
      <c r="A552" s="66"/>
      <c r="B552" s="66"/>
      <c r="C552" s="49"/>
      <c r="D552" s="49"/>
      <c r="E552" s="49" t="s">
        <v>546</v>
      </c>
      <c r="F552" s="49"/>
      <c r="G552" s="49"/>
      <c r="H552" s="63">
        <v>4568.2</v>
      </c>
      <c r="I552" s="63">
        <v>20000</v>
      </c>
      <c r="J552" s="64">
        <v>4000.49</v>
      </c>
      <c r="K552" s="64">
        <v>30000</v>
      </c>
      <c r="L552" s="65">
        <v>22812.77</v>
      </c>
      <c r="M552" s="65">
        <v>10000</v>
      </c>
      <c r="N552" s="66">
        <f t="shared" ref="N552:O555" si="261">ROUND(H552+J552+L552,5)</f>
        <v>31381.46</v>
      </c>
      <c r="O552" s="66">
        <f t="shared" si="261"/>
        <v>60000</v>
      </c>
      <c r="P552" s="69">
        <f t="shared" si="247"/>
        <v>10460.486666666666</v>
      </c>
      <c r="Q552" s="69">
        <f t="shared" si="247"/>
        <v>20000</v>
      </c>
      <c r="R552" s="54"/>
      <c r="S552" s="49"/>
      <c r="T552" s="49"/>
      <c r="U552" s="49"/>
      <c r="V552" s="49"/>
      <c r="W552" s="49" t="s">
        <v>546</v>
      </c>
      <c r="X552" s="49"/>
      <c r="Y552" s="49"/>
      <c r="Z552" s="66">
        <v>15000</v>
      </c>
      <c r="AA552" s="140"/>
      <c r="AB552" s="66">
        <v>10000</v>
      </c>
      <c r="AC552" s="66">
        <v>10000</v>
      </c>
      <c r="AD552" s="66">
        <v>10000</v>
      </c>
      <c r="AE552" s="66">
        <v>10000</v>
      </c>
      <c r="AF552" s="66">
        <v>10000</v>
      </c>
      <c r="AG552" s="66">
        <v>10000</v>
      </c>
      <c r="AH552" s="66">
        <v>10000</v>
      </c>
      <c r="AI552" s="66">
        <v>10000</v>
      </c>
    </row>
    <row r="553" spans="1:42" ht="16" thickBot="1" x14ac:dyDescent="0.4">
      <c r="A553" s="66"/>
      <c r="B553" s="66"/>
      <c r="C553" s="49"/>
      <c r="D553" s="49" t="s">
        <v>547</v>
      </c>
      <c r="E553" s="49"/>
      <c r="F553" s="49"/>
      <c r="G553" s="49"/>
      <c r="H553" s="75">
        <f t="shared" ref="H553:M553" si="262">ROUND(SUM(H551:H552),5)</f>
        <v>4568.2</v>
      </c>
      <c r="I553" s="75">
        <f t="shared" si="262"/>
        <v>20000</v>
      </c>
      <c r="J553" s="76">
        <f t="shared" si="262"/>
        <v>4000.49</v>
      </c>
      <c r="K553" s="76">
        <f t="shared" si="262"/>
        <v>30000</v>
      </c>
      <c r="L553" s="77">
        <f t="shared" si="262"/>
        <v>22812.77</v>
      </c>
      <c r="M553" s="77">
        <f t="shared" si="262"/>
        <v>10000</v>
      </c>
      <c r="N553" s="78">
        <f t="shared" si="261"/>
        <v>31381.46</v>
      </c>
      <c r="O553" s="78">
        <f t="shared" si="261"/>
        <v>60000</v>
      </c>
      <c r="P553" s="79">
        <f t="shared" si="247"/>
        <v>10460.486666666666</v>
      </c>
      <c r="Q553" s="79">
        <f t="shared" si="247"/>
        <v>20000</v>
      </c>
      <c r="R553" s="54"/>
      <c r="S553" s="49"/>
      <c r="T553" s="49"/>
      <c r="U553" s="49"/>
      <c r="V553" s="49" t="s">
        <v>547</v>
      </c>
      <c r="W553" s="49"/>
      <c r="X553" s="49"/>
      <c r="Y553" s="49"/>
      <c r="Z553" s="78">
        <f>ROUND(SUM(Z551:Z552),5)</f>
        <v>15000</v>
      </c>
      <c r="AA553" s="140"/>
      <c r="AB553" s="91">
        <f t="shared" ref="AB553:AH553" si="263">ROUND(SUM(AB551:AB552),5)</f>
        <v>10000</v>
      </c>
      <c r="AC553" s="91">
        <f t="shared" si="263"/>
        <v>10000</v>
      </c>
      <c r="AD553" s="91">
        <f t="shared" si="263"/>
        <v>10000</v>
      </c>
      <c r="AE553" s="91">
        <f t="shared" si="263"/>
        <v>10000</v>
      </c>
      <c r="AF553" s="91">
        <f t="shared" si="263"/>
        <v>10000</v>
      </c>
      <c r="AG553" s="91">
        <f t="shared" si="263"/>
        <v>10000</v>
      </c>
      <c r="AH553" s="91">
        <f t="shared" si="263"/>
        <v>10000</v>
      </c>
      <c r="AI553" s="91">
        <f t="shared" ref="AI553" si="264">ROUND(SUM(AI551:AI552),5)</f>
        <v>10000</v>
      </c>
    </row>
    <row r="554" spans="1:42" ht="16" thickBot="1" x14ac:dyDescent="0.4">
      <c r="A554" s="66"/>
      <c r="B554" s="66"/>
      <c r="C554" s="49" t="s">
        <v>548</v>
      </c>
      <c r="D554" s="49"/>
      <c r="E554" s="49"/>
      <c r="F554" s="49"/>
      <c r="G554" s="49"/>
      <c r="H554" s="83">
        <f t="shared" ref="H554:M554" si="265">ROUND(H221+H225+H364+H371+H376+H428+H489+H550+H553,5)</f>
        <v>4602596.84</v>
      </c>
      <c r="I554" s="83">
        <f t="shared" si="265"/>
        <v>4826439.17</v>
      </c>
      <c r="J554" s="84">
        <f t="shared" si="265"/>
        <v>5124859.8899999997</v>
      </c>
      <c r="K554" s="84">
        <f t="shared" si="265"/>
        <v>4876753.51</v>
      </c>
      <c r="L554" s="85">
        <f t="shared" si="265"/>
        <v>5236566.88</v>
      </c>
      <c r="M554" s="85">
        <f t="shared" si="265"/>
        <v>5167354.4800000004</v>
      </c>
      <c r="N554" s="86">
        <f t="shared" si="261"/>
        <v>14964023.609999999</v>
      </c>
      <c r="O554" s="86">
        <f t="shared" si="261"/>
        <v>14870547.16</v>
      </c>
      <c r="P554" s="87">
        <f t="shared" si="247"/>
        <v>4988007.87</v>
      </c>
      <c r="Q554" s="87">
        <f t="shared" si="247"/>
        <v>4956849.0533333337</v>
      </c>
      <c r="R554" s="54"/>
      <c r="S554" s="49"/>
      <c r="T554" s="49"/>
      <c r="U554" s="49" t="s">
        <v>548</v>
      </c>
      <c r="V554" s="49"/>
      <c r="W554" s="49"/>
      <c r="X554" s="49"/>
      <c r="Y554" s="49"/>
      <c r="Z554" s="86">
        <f>ROUND(Z221+Z225+Z364+Z371+Z376+Z428+Z489+Z550+Z553,5)</f>
        <v>5275555.82</v>
      </c>
      <c r="AA554" s="140"/>
      <c r="AB554" s="86">
        <f t="shared" ref="AB554:AH554" si="266">ROUND(AB221+AB225+AB364+AB371+AB376+AB428+AB489+AB550+AB553,5)</f>
        <v>5504831.5764199998</v>
      </c>
      <c r="AC554" s="86">
        <f t="shared" si="266"/>
        <v>5320349.5814199997</v>
      </c>
      <c r="AD554" s="86">
        <f t="shared" si="266"/>
        <v>5361614.52202</v>
      </c>
      <c r="AE554" s="86">
        <f t="shared" si="266"/>
        <v>5353153.41</v>
      </c>
      <c r="AF554" s="86">
        <f t="shared" si="266"/>
        <v>5504490.165</v>
      </c>
      <c r="AG554" s="86">
        <f t="shared" si="266"/>
        <v>5616355.9950000001</v>
      </c>
      <c r="AH554" s="86">
        <f t="shared" si="266"/>
        <v>5723650.625</v>
      </c>
      <c r="AI554" s="86">
        <f t="shared" ref="AI554" si="267">ROUND(AI221+AI225+AI364+AI371+AI376+AI428+AI489+AI550+AI553,5)</f>
        <v>5695203.625</v>
      </c>
    </row>
    <row r="555" spans="1:42" x14ac:dyDescent="0.35">
      <c r="A555" s="66"/>
      <c r="B555" s="66" t="s">
        <v>549</v>
      </c>
      <c r="C555" s="49"/>
      <c r="D555" s="49"/>
      <c r="E555" s="49"/>
      <c r="F555" s="49"/>
      <c r="G555" s="49"/>
      <c r="H555" s="63">
        <f t="shared" ref="H555:M555" si="268">ROUND(H5+H220-H554,5)</f>
        <v>-92592.2</v>
      </c>
      <c r="I555" s="63">
        <f t="shared" si="268"/>
        <v>8714.58</v>
      </c>
      <c r="J555" s="64">
        <f t="shared" si="268"/>
        <v>-187378.98</v>
      </c>
      <c r="K555" s="64">
        <f t="shared" si="268"/>
        <v>826.41</v>
      </c>
      <c r="L555" s="65">
        <f t="shared" si="268"/>
        <v>-21575.47</v>
      </c>
      <c r="M555" s="65">
        <f t="shared" si="268"/>
        <v>354.02</v>
      </c>
      <c r="N555" s="66">
        <f t="shared" si="261"/>
        <v>-301546.65000000002</v>
      </c>
      <c r="O555" s="66">
        <f t="shared" si="261"/>
        <v>9895.01</v>
      </c>
      <c r="P555" s="69">
        <f t="shared" si="247"/>
        <v>-100515.55</v>
      </c>
      <c r="Q555" s="69">
        <f t="shared" si="247"/>
        <v>3298.3366666666666</v>
      </c>
      <c r="R555" s="54"/>
      <c r="S555" s="49"/>
      <c r="T555" s="49" t="s">
        <v>549</v>
      </c>
      <c r="U555" s="49"/>
      <c r="V555" s="49"/>
      <c r="W555" s="49"/>
      <c r="X555" s="49"/>
      <c r="Y555" s="49"/>
      <c r="Z555" s="66">
        <f>ROUND(Z5+Z220-Z554,5)</f>
        <v>811.37</v>
      </c>
      <c r="AA555" s="140"/>
      <c r="AB555" s="66">
        <f t="shared" ref="AB555:AF555" si="269">ROUND(AB5+AB220-AB554,5)</f>
        <v>-193160.46642000001</v>
      </c>
      <c r="AC555" s="66">
        <f t="shared" si="269"/>
        <v>-8678.4714199999999</v>
      </c>
      <c r="AD555" s="66">
        <f t="shared" si="269"/>
        <v>15325.98798</v>
      </c>
      <c r="AE555" s="66">
        <f t="shared" si="269"/>
        <v>3787.1</v>
      </c>
      <c r="AF555" s="66">
        <f t="shared" si="269"/>
        <v>5642.0349999999999</v>
      </c>
      <c r="AG555" s="66">
        <f>ROUND(AG5+AG220-AG554,0)</f>
        <v>-17387</v>
      </c>
      <c r="AH555" s="66">
        <f>ROUND(AH5+AH220-AH554,0)</f>
        <v>20318</v>
      </c>
      <c r="AI555" s="66">
        <f>ROUND(AI5+AI220-AI554,0)</f>
        <v>-17235</v>
      </c>
    </row>
    <row r="556" spans="1:42" x14ac:dyDescent="0.35">
      <c r="A556" s="66"/>
      <c r="B556" s="66" t="s">
        <v>550</v>
      </c>
      <c r="C556" s="49"/>
      <c r="D556" s="49"/>
      <c r="E556" s="49"/>
      <c r="F556" s="49"/>
      <c r="G556" s="49"/>
      <c r="H556" s="63"/>
      <c r="I556" s="63"/>
      <c r="J556" s="64"/>
      <c r="K556" s="64"/>
      <c r="L556" s="65"/>
      <c r="M556" s="65"/>
      <c r="N556" s="66"/>
      <c r="O556" s="66"/>
      <c r="P556" s="69"/>
      <c r="Q556" s="69"/>
      <c r="R556" s="54"/>
      <c r="S556" s="49"/>
      <c r="T556" s="49" t="s">
        <v>550</v>
      </c>
      <c r="U556" s="49"/>
      <c r="V556" s="49"/>
      <c r="W556" s="49"/>
      <c r="X556" s="49"/>
      <c r="Y556" s="49"/>
      <c r="Z556" s="66"/>
      <c r="AA556" s="140"/>
      <c r="AB556" s="66"/>
      <c r="AC556" s="66"/>
      <c r="AD556" s="66"/>
      <c r="AE556" s="66"/>
      <c r="AF556" s="66"/>
      <c r="AG556" s="66"/>
      <c r="AH556" s="66"/>
      <c r="AI556" s="66"/>
    </row>
    <row r="557" spans="1:42" x14ac:dyDescent="0.35">
      <c r="A557" s="66"/>
      <c r="B557" s="66"/>
      <c r="C557" s="49" t="s">
        <v>551</v>
      </c>
      <c r="D557" s="49"/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 t="s">
        <v>551</v>
      </c>
      <c r="V557" s="49"/>
      <c r="W557" s="49"/>
      <c r="X557" s="49"/>
      <c r="Y557" s="49"/>
      <c r="Z557" s="66"/>
      <c r="AA557" s="140"/>
      <c r="AB557" s="66"/>
      <c r="AC557" s="66"/>
      <c r="AD557" s="66"/>
      <c r="AE557" s="66"/>
      <c r="AF557" s="66"/>
      <c r="AG557" s="66"/>
      <c r="AH557" s="66"/>
      <c r="AI557" s="66"/>
    </row>
    <row r="558" spans="1:42" x14ac:dyDescent="0.35">
      <c r="A558" s="66"/>
      <c r="B558" s="66"/>
      <c r="C558" s="49"/>
      <c r="D558" s="49" t="s">
        <v>552</v>
      </c>
      <c r="E558" s="49"/>
      <c r="F558" s="49"/>
      <c r="G558" s="49"/>
      <c r="H558" s="63">
        <v>288386.05</v>
      </c>
      <c r="I558" s="63">
        <v>0</v>
      </c>
      <c r="J558" s="64">
        <v>313714.26</v>
      </c>
      <c r="K558" s="64">
        <v>0</v>
      </c>
      <c r="L558" s="65">
        <v>363433.03</v>
      </c>
      <c r="M558" s="65">
        <v>0</v>
      </c>
      <c r="N558" s="66">
        <f>ROUND(H558+J558+L558,5)</f>
        <v>965533.34</v>
      </c>
      <c r="O558" s="66">
        <f>ROUND(I558+K558+M558,5)</f>
        <v>0</v>
      </c>
      <c r="P558" s="69">
        <f t="shared" si="247"/>
        <v>321844.44666666666</v>
      </c>
      <c r="Q558" s="69">
        <f t="shared" si="247"/>
        <v>0</v>
      </c>
      <c r="R558" s="54"/>
      <c r="S558" s="49"/>
      <c r="T558" s="49"/>
      <c r="U558" s="49"/>
      <c r="V558" s="49" t="s">
        <v>552</v>
      </c>
      <c r="W558" s="49"/>
      <c r="X558" s="49"/>
      <c r="Y558" s="49"/>
      <c r="Z558" s="66"/>
      <c r="AA558" s="140"/>
      <c r="AB558" s="66"/>
      <c r="AC558" s="66"/>
      <c r="AD558" s="66"/>
      <c r="AE558" s="66"/>
      <c r="AF558" s="66"/>
      <c r="AG558" s="66"/>
      <c r="AH558" s="66"/>
      <c r="AI558" s="66"/>
    </row>
    <row r="559" spans="1:42" x14ac:dyDescent="0.35">
      <c r="A559" s="66"/>
      <c r="B559" s="66"/>
      <c r="C559" s="49"/>
      <c r="D559" s="49" t="s">
        <v>553</v>
      </c>
      <c r="E559" s="49"/>
      <c r="F559" s="49"/>
      <c r="G559" s="49"/>
      <c r="H559" s="63"/>
      <c r="I559" s="63"/>
      <c r="J559" s="64"/>
      <c r="K559" s="64"/>
      <c r="L559" s="65"/>
      <c r="M559" s="65"/>
      <c r="N559" s="66"/>
      <c r="O559" s="66"/>
      <c r="P559" s="69"/>
      <c r="Q559" s="69"/>
      <c r="R559" s="54"/>
      <c r="S559" s="49"/>
      <c r="T559" s="49"/>
      <c r="U559" s="49"/>
      <c r="V559" s="49" t="s">
        <v>553</v>
      </c>
      <c r="W559" s="49"/>
      <c r="X559" s="49"/>
      <c r="Y559" s="49"/>
      <c r="Z559" s="66"/>
      <c r="AA559" s="140"/>
      <c r="AB559" s="66"/>
      <c r="AC559" s="66"/>
      <c r="AD559" s="66"/>
      <c r="AE559" s="66"/>
      <c r="AF559" s="66"/>
      <c r="AG559" s="66"/>
      <c r="AH559" s="66"/>
      <c r="AI559" s="66"/>
    </row>
    <row r="560" spans="1:42" x14ac:dyDescent="0.35">
      <c r="A560" s="66"/>
      <c r="B560" s="66"/>
      <c r="C560" s="49"/>
      <c r="D560" s="49"/>
      <c r="E560" s="49" t="s">
        <v>554</v>
      </c>
      <c r="F560" s="49"/>
      <c r="G560" s="49"/>
      <c r="H560" s="63">
        <v>0</v>
      </c>
      <c r="I560" s="63">
        <v>0</v>
      </c>
      <c r="J560" s="64">
        <v>0</v>
      </c>
      <c r="K560" s="64">
        <v>0</v>
      </c>
      <c r="L560" s="65">
        <v>0</v>
      </c>
      <c r="M560" s="65">
        <v>0</v>
      </c>
      <c r="N560" s="66">
        <f t="shared" ref="N560:O565" si="270">ROUND(H560+J560+L560,5)</f>
        <v>0</v>
      </c>
      <c r="O560" s="66">
        <f t="shared" si="270"/>
        <v>0</v>
      </c>
      <c r="P560" s="69">
        <f t="shared" si="247"/>
        <v>0</v>
      </c>
      <c r="Q560" s="69">
        <f t="shared" si="247"/>
        <v>0</v>
      </c>
      <c r="R560" s="54"/>
      <c r="S560" s="49"/>
      <c r="T560" s="49"/>
      <c r="U560" s="49"/>
      <c r="V560" s="49"/>
      <c r="W560" s="49" t="s">
        <v>554</v>
      </c>
      <c r="X560" s="49"/>
      <c r="Y560" s="49"/>
      <c r="Z560" s="66"/>
      <c r="AA560" s="140"/>
      <c r="AB560" s="66"/>
      <c r="AC560" s="66"/>
      <c r="AD560" s="66"/>
      <c r="AE560" s="66"/>
      <c r="AF560" s="66"/>
      <c r="AG560" s="66"/>
      <c r="AH560" s="66"/>
      <c r="AI560" s="66"/>
    </row>
    <row r="561" spans="1:35" x14ac:dyDescent="0.35">
      <c r="A561" s="66"/>
      <c r="B561" s="66"/>
      <c r="C561" s="49"/>
      <c r="D561" s="49"/>
      <c r="E561" s="49" t="s">
        <v>555</v>
      </c>
      <c r="F561" s="49"/>
      <c r="G561" s="49"/>
      <c r="H561" s="63">
        <v>0</v>
      </c>
      <c r="I561" s="63">
        <v>0</v>
      </c>
      <c r="J561" s="64">
        <v>0</v>
      </c>
      <c r="K561" s="64">
        <v>0</v>
      </c>
      <c r="L561" s="65">
        <v>0</v>
      </c>
      <c r="M561" s="65">
        <v>0</v>
      </c>
      <c r="N561" s="66">
        <f t="shared" si="270"/>
        <v>0</v>
      </c>
      <c r="O561" s="66">
        <f t="shared" si="270"/>
        <v>0</v>
      </c>
      <c r="P561" s="69">
        <f t="shared" si="247"/>
        <v>0</v>
      </c>
      <c r="Q561" s="69">
        <f t="shared" si="247"/>
        <v>0</v>
      </c>
      <c r="R561" s="54"/>
      <c r="S561" s="49"/>
      <c r="T561" s="49"/>
      <c r="U561" s="49"/>
      <c r="V561" s="49"/>
      <c r="W561" s="49" t="s">
        <v>555</v>
      </c>
      <c r="X561" s="49"/>
      <c r="Y561" s="49"/>
      <c r="Z561" s="66"/>
      <c r="AA561" s="140"/>
      <c r="AB561" s="66"/>
      <c r="AC561" s="66"/>
      <c r="AD561" s="66"/>
      <c r="AE561" s="66"/>
      <c r="AF561" s="66"/>
      <c r="AG561" s="66"/>
      <c r="AH561" s="66"/>
      <c r="AI561" s="66"/>
    </row>
    <row r="562" spans="1:35" x14ac:dyDescent="0.35">
      <c r="A562" s="66"/>
      <c r="B562" s="66"/>
      <c r="C562" s="49"/>
      <c r="D562" s="49"/>
      <c r="E562" s="49" t="s">
        <v>556</v>
      </c>
      <c r="F562" s="49"/>
      <c r="G562" s="49"/>
      <c r="H562" s="63">
        <v>10930.61</v>
      </c>
      <c r="I562" s="63">
        <v>0</v>
      </c>
      <c r="J562" s="64">
        <v>16392.32</v>
      </c>
      <c r="K562" s="64">
        <v>0</v>
      </c>
      <c r="L562" s="65">
        <v>17337.490000000002</v>
      </c>
      <c r="M562" s="65">
        <v>0</v>
      </c>
      <c r="N562" s="66">
        <f t="shared" si="270"/>
        <v>44660.42</v>
      </c>
      <c r="O562" s="66">
        <f t="shared" si="270"/>
        <v>0</v>
      </c>
      <c r="P562" s="69">
        <f t="shared" si="247"/>
        <v>14886.806666666665</v>
      </c>
      <c r="Q562" s="69">
        <f t="shared" si="247"/>
        <v>0</v>
      </c>
      <c r="R562" s="54"/>
      <c r="S562" s="49"/>
      <c r="T562" s="49"/>
      <c r="U562" s="49"/>
      <c r="V562" s="49"/>
      <c r="W562" s="49" t="s">
        <v>556</v>
      </c>
      <c r="X562" s="49"/>
      <c r="Y562" s="49"/>
      <c r="Z562" s="66"/>
      <c r="AA562" s="140"/>
      <c r="AB562" s="66"/>
      <c r="AC562" s="66"/>
      <c r="AD562" s="66"/>
      <c r="AE562" s="66"/>
      <c r="AF562" s="66"/>
      <c r="AG562" s="66"/>
      <c r="AH562" s="66"/>
      <c r="AI562" s="66"/>
    </row>
    <row r="563" spans="1:35" x14ac:dyDescent="0.35">
      <c r="A563" s="66"/>
      <c r="B563" s="66"/>
      <c r="C563" s="49"/>
      <c r="D563" s="49"/>
      <c r="E563" s="49" t="s">
        <v>557</v>
      </c>
      <c r="F563" s="49"/>
      <c r="G563" s="49"/>
      <c r="H563" s="63">
        <v>12442.84</v>
      </c>
      <c r="I563" s="63">
        <v>0</v>
      </c>
      <c r="J563" s="64">
        <v>10602.84</v>
      </c>
      <c r="K563" s="64">
        <v>0</v>
      </c>
      <c r="L563" s="65">
        <v>10395.5</v>
      </c>
      <c r="M563" s="65">
        <v>0</v>
      </c>
      <c r="N563" s="66">
        <f t="shared" si="270"/>
        <v>33441.18</v>
      </c>
      <c r="O563" s="66">
        <f t="shared" si="270"/>
        <v>0</v>
      </c>
      <c r="P563" s="69">
        <f t="shared" si="247"/>
        <v>11147.06</v>
      </c>
      <c r="Q563" s="69">
        <f t="shared" si="247"/>
        <v>0</v>
      </c>
      <c r="R563" s="54"/>
      <c r="S563" s="49"/>
      <c r="T563" s="49"/>
      <c r="U563" s="49"/>
      <c r="V563" s="49"/>
      <c r="W563" s="49" t="s">
        <v>557</v>
      </c>
      <c r="X563" s="49"/>
      <c r="Y563" s="49"/>
      <c r="Z563" s="66"/>
      <c r="AA563" s="140"/>
      <c r="AB563" s="66"/>
      <c r="AC563" s="66"/>
      <c r="AD563" s="66"/>
      <c r="AE563" s="66"/>
      <c r="AF563" s="66"/>
      <c r="AG563" s="66"/>
      <c r="AH563" s="66"/>
      <c r="AI563" s="66"/>
    </row>
    <row r="564" spans="1:35" ht="16" thickBot="1" x14ac:dyDescent="0.4">
      <c r="A564" s="66"/>
      <c r="B564" s="66"/>
      <c r="C564" s="49"/>
      <c r="D564" s="49"/>
      <c r="E564" s="49" t="s">
        <v>558</v>
      </c>
      <c r="F564" s="49"/>
      <c r="G564" s="49"/>
      <c r="H564" s="70">
        <v>1000</v>
      </c>
      <c r="I564" s="70">
        <v>0</v>
      </c>
      <c r="J564" s="71">
        <v>1000</v>
      </c>
      <c r="K564" s="64">
        <v>0</v>
      </c>
      <c r="L564" s="72">
        <v>1000</v>
      </c>
      <c r="M564" s="65">
        <v>0</v>
      </c>
      <c r="N564" s="73">
        <f t="shared" si="270"/>
        <v>3000</v>
      </c>
      <c r="O564" s="73">
        <f t="shared" si="270"/>
        <v>0</v>
      </c>
      <c r="P564" s="74">
        <f t="shared" si="247"/>
        <v>1000</v>
      </c>
      <c r="Q564" s="74">
        <f t="shared" si="247"/>
        <v>0</v>
      </c>
      <c r="R564" s="54"/>
      <c r="S564" s="49"/>
      <c r="T564" s="49"/>
      <c r="U564" s="49"/>
      <c r="V564" s="49"/>
      <c r="W564" s="49" t="s">
        <v>558</v>
      </c>
      <c r="X564" s="49"/>
      <c r="Y564" s="49"/>
      <c r="Z564" s="66"/>
      <c r="AA564" s="140"/>
      <c r="AB564" s="66"/>
      <c r="AC564" s="66"/>
      <c r="AD564" s="66"/>
      <c r="AE564" s="66"/>
      <c r="AF564" s="66"/>
      <c r="AG564" s="66"/>
      <c r="AH564" s="66"/>
      <c r="AI564" s="66"/>
    </row>
    <row r="565" spans="1:35" x14ac:dyDescent="0.35">
      <c r="A565" s="66"/>
      <c r="B565" s="66"/>
      <c r="C565" s="49"/>
      <c r="D565" s="49" t="s">
        <v>559</v>
      </c>
      <c r="E565" s="49"/>
      <c r="F565" s="49"/>
      <c r="G565" s="49"/>
      <c r="H565" s="63">
        <f t="shared" ref="H565:M565" si="271">ROUND(SUM(H559:H564),5)</f>
        <v>24373.45</v>
      </c>
      <c r="I565" s="63">
        <f t="shared" si="271"/>
        <v>0</v>
      </c>
      <c r="J565" s="64">
        <f t="shared" si="271"/>
        <v>27995.16</v>
      </c>
      <c r="K565" s="76">
        <f t="shared" si="271"/>
        <v>0</v>
      </c>
      <c r="L565" s="65">
        <f t="shared" si="271"/>
        <v>28732.99</v>
      </c>
      <c r="M565" s="77">
        <f t="shared" si="271"/>
        <v>0</v>
      </c>
      <c r="N565" s="66">
        <f t="shared" si="270"/>
        <v>81101.600000000006</v>
      </c>
      <c r="O565" s="66">
        <f t="shared" si="270"/>
        <v>0</v>
      </c>
      <c r="P565" s="69">
        <f t="shared" si="247"/>
        <v>27033.866666666669</v>
      </c>
      <c r="Q565" s="69">
        <f t="shared" si="247"/>
        <v>0</v>
      </c>
      <c r="R565" s="54"/>
      <c r="S565" s="49"/>
      <c r="T565" s="49"/>
      <c r="U565" s="49"/>
      <c r="V565" s="49" t="s">
        <v>559</v>
      </c>
      <c r="W565" s="49"/>
      <c r="X565" s="49"/>
      <c r="Y565" s="49"/>
      <c r="Z565" s="66"/>
      <c r="AA565" s="140"/>
      <c r="AB565" s="66"/>
      <c r="AC565" s="66"/>
      <c r="AD565" s="66"/>
      <c r="AE565" s="66"/>
      <c r="AF565" s="66"/>
      <c r="AG565" s="66"/>
      <c r="AH565" s="66"/>
      <c r="AI565" s="66"/>
    </row>
    <row r="566" spans="1:35" x14ac:dyDescent="0.35">
      <c r="A566" s="66"/>
      <c r="B566" s="66"/>
      <c r="C566" s="49"/>
      <c r="D566" s="49" t="s">
        <v>560</v>
      </c>
      <c r="E566" s="49"/>
      <c r="F566" s="49"/>
      <c r="G566" s="49"/>
      <c r="H566" s="63"/>
      <c r="I566" s="63"/>
      <c r="J566" s="64"/>
      <c r="K566" s="64"/>
      <c r="L566" s="65"/>
      <c r="M566" s="65"/>
      <c r="N566" s="66"/>
      <c r="O566" s="66"/>
      <c r="P566" s="69"/>
      <c r="Q566" s="69"/>
      <c r="R566" s="54"/>
      <c r="S566" s="49"/>
      <c r="T566" s="49"/>
      <c r="U566" s="49"/>
      <c r="V566" s="49" t="s">
        <v>560</v>
      </c>
      <c r="W566" s="49"/>
      <c r="X566" s="49"/>
      <c r="Y566" s="49"/>
      <c r="Z566" s="66"/>
      <c r="AA566" s="140"/>
      <c r="AB566" s="66"/>
      <c r="AC566" s="66"/>
      <c r="AD566" s="66"/>
      <c r="AE566" s="66"/>
      <c r="AF566" s="66"/>
      <c r="AG566" s="66"/>
      <c r="AH566" s="66"/>
      <c r="AI566" s="66"/>
    </row>
    <row r="567" spans="1:35" x14ac:dyDescent="0.35">
      <c r="A567" s="66"/>
      <c r="B567" s="66"/>
      <c r="C567" s="49"/>
      <c r="D567" s="49"/>
      <c r="E567" s="49" t="s">
        <v>561</v>
      </c>
      <c r="F567" s="49"/>
      <c r="G567" s="49"/>
      <c r="H567" s="63">
        <v>558.27</v>
      </c>
      <c r="I567" s="63">
        <v>0</v>
      </c>
      <c r="J567" s="64">
        <v>-985.85</v>
      </c>
      <c r="K567" s="64">
        <v>0</v>
      </c>
      <c r="L567" s="65">
        <v>6774.89</v>
      </c>
      <c r="M567" s="65">
        <v>0</v>
      </c>
      <c r="N567" s="66">
        <f t="shared" ref="N567:O571" si="272">ROUND(H567+J567+L567,5)</f>
        <v>6347.31</v>
      </c>
      <c r="O567" s="66">
        <f t="shared" si="272"/>
        <v>0</v>
      </c>
      <c r="P567" s="69">
        <f t="shared" si="247"/>
        <v>2115.77</v>
      </c>
      <c r="Q567" s="69">
        <f t="shared" si="247"/>
        <v>0</v>
      </c>
      <c r="R567" s="54"/>
      <c r="S567" s="49"/>
      <c r="T567" s="49"/>
      <c r="U567" s="49"/>
      <c r="V567" s="49"/>
      <c r="W567" s="49" t="s">
        <v>561</v>
      </c>
      <c r="X567" s="49"/>
      <c r="Y567" s="49"/>
      <c r="Z567" s="66"/>
      <c r="AA567" s="140"/>
      <c r="AB567" s="66"/>
      <c r="AC567" s="66"/>
      <c r="AD567" s="66"/>
      <c r="AE567" s="66"/>
      <c r="AF567" s="66"/>
      <c r="AG567" s="66"/>
      <c r="AH567" s="66"/>
      <c r="AI567" s="66"/>
    </row>
    <row r="568" spans="1:35" x14ac:dyDescent="0.35">
      <c r="A568" s="66"/>
      <c r="B568" s="66"/>
      <c r="C568" s="49"/>
      <c r="D568" s="49"/>
      <c r="E568" s="49" t="s">
        <v>562</v>
      </c>
      <c r="F568" s="49"/>
      <c r="G568" s="49"/>
      <c r="H568" s="63">
        <v>0</v>
      </c>
      <c r="I568" s="63">
        <v>0</v>
      </c>
      <c r="J568" s="64">
        <v>0</v>
      </c>
      <c r="K568" s="64">
        <v>0</v>
      </c>
      <c r="L568" s="65">
        <v>-58.71</v>
      </c>
      <c r="M568" s="65">
        <v>0</v>
      </c>
      <c r="N568" s="66">
        <f t="shared" si="272"/>
        <v>-58.71</v>
      </c>
      <c r="O568" s="66">
        <f t="shared" si="272"/>
        <v>0</v>
      </c>
      <c r="P568" s="69">
        <f t="shared" si="247"/>
        <v>-19.57</v>
      </c>
      <c r="Q568" s="69">
        <f t="shared" si="247"/>
        <v>0</v>
      </c>
      <c r="R568" s="54"/>
      <c r="S568" s="49"/>
      <c r="T568" s="49"/>
      <c r="U568" s="49"/>
      <c r="V568" s="49"/>
      <c r="W568" s="49" t="s">
        <v>562</v>
      </c>
      <c r="X568" s="49"/>
      <c r="Y568" s="49"/>
      <c r="Z568" s="66"/>
      <c r="AA568" s="140"/>
      <c r="AB568" s="66"/>
      <c r="AC568" s="66"/>
      <c r="AD568" s="66"/>
      <c r="AE568" s="66"/>
      <c r="AF568" s="66"/>
      <c r="AG568" s="66"/>
      <c r="AH568" s="66"/>
      <c r="AI568" s="66"/>
    </row>
    <row r="569" spans="1:35" ht="16" thickBot="1" x14ac:dyDescent="0.4">
      <c r="A569" s="66"/>
      <c r="B569" s="66"/>
      <c r="C569" s="49"/>
      <c r="D569" s="49"/>
      <c r="E569" s="49" t="s">
        <v>563</v>
      </c>
      <c r="F569" s="49"/>
      <c r="G569" s="49"/>
      <c r="H569" s="63">
        <v>136732.6</v>
      </c>
      <c r="I569" s="63">
        <v>0</v>
      </c>
      <c r="J569" s="64">
        <v>235676.86</v>
      </c>
      <c r="K569" s="64">
        <v>0</v>
      </c>
      <c r="L569" s="65">
        <v>195303.78</v>
      </c>
      <c r="M569" s="65">
        <v>0</v>
      </c>
      <c r="N569" s="66">
        <f t="shared" si="272"/>
        <v>567713.24</v>
      </c>
      <c r="O569" s="66">
        <f t="shared" si="272"/>
        <v>0</v>
      </c>
      <c r="P569" s="69">
        <f t="shared" si="247"/>
        <v>189237.74666666667</v>
      </c>
      <c r="Q569" s="69">
        <f t="shared" si="247"/>
        <v>0</v>
      </c>
      <c r="R569" s="54"/>
      <c r="S569" s="49"/>
      <c r="T569" s="49"/>
      <c r="U569" s="49"/>
      <c r="V569" s="49"/>
      <c r="W569" s="49" t="s">
        <v>563</v>
      </c>
      <c r="X569" s="49"/>
      <c r="Y569" s="49"/>
      <c r="Z569" s="66"/>
      <c r="AA569" s="140"/>
      <c r="AB569" s="66"/>
      <c r="AC569" s="66"/>
      <c r="AD569" s="66"/>
      <c r="AE569" s="66"/>
      <c r="AF569" s="66"/>
      <c r="AG569" s="66"/>
      <c r="AH569" s="66"/>
      <c r="AI569" s="66"/>
    </row>
    <row r="570" spans="1:35" ht="16" thickBot="1" x14ac:dyDescent="0.4">
      <c r="A570" s="66"/>
      <c r="B570" s="66"/>
      <c r="C570" s="49"/>
      <c r="D570" s="49" t="s">
        <v>564</v>
      </c>
      <c r="E570" s="49"/>
      <c r="F570" s="49"/>
      <c r="G570" s="49"/>
      <c r="H570" s="83">
        <f t="shared" ref="H570:M570" si="273">ROUND(SUM(H566:H569),5)</f>
        <v>137290.87</v>
      </c>
      <c r="I570" s="83">
        <f t="shared" si="273"/>
        <v>0</v>
      </c>
      <c r="J570" s="84">
        <f t="shared" si="273"/>
        <v>234691.01</v>
      </c>
      <c r="K570" s="84">
        <f t="shared" si="273"/>
        <v>0</v>
      </c>
      <c r="L570" s="85">
        <f t="shared" si="273"/>
        <v>202019.96</v>
      </c>
      <c r="M570" s="85">
        <f t="shared" si="273"/>
        <v>0</v>
      </c>
      <c r="N570" s="86">
        <f t="shared" si="272"/>
        <v>574001.84</v>
      </c>
      <c r="O570" s="86">
        <f t="shared" si="272"/>
        <v>0</v>
      </c>
      <c r="P570" s="87">
        <f t="shared" si="247"/>
        <v>191333.94666666666</v>
      </c>
      <c r="Q570" s="87">
        <f t="shared" si="247"/>
        <v>0</v>
      </c>
      <c r="R570" s="54"/>
      <c r="S570" s="49"/>
      <c r="T570" s="49"/>
      <c r="U570" s="49"/>
      <c r="V570" s="49" t="s">
        <v>564</v>
      </c>
      <c r="W570" s="49"/>
      <c r="X570" s="49"/>
      <c r="Y570" s="49"/>
      <c r="Z570" s="66"/>
      <c r="AA570" s="140"/>
      <c r="AB570" s="66"/>
      <c r="AC570" s="66"/>
      <c r="AD570" s="66"/>
      <c r="AE570" s="66"/>
      <c r="AF570" s="66"/>
      <c r="AG570" s="66"/>
      <c r="AH570" s="66"/>
      <c r="AI570" s="66"/>
    </row>
    <row r="571" spans="1:35" x14ac:dyDescent="0.35">
      <c r="A571" s="66"/>
      <c r="B571" s="66"/>
      <c r="C571" s="49" t="s">
        <v>565</v>
      </c>
      <c r="D571" s="49"/>
      <c r="E571" s="49"/>
      <c r="F571" s="49"/>
      <c r="G571" s="49"/>
      <c r="H571" s="63">
        <f t="shared" ref="H571:M571" si="274">ROUND(SUM(H557:H558)+H565+H570,5)</f>
        <v>450050.37</v>
      </c>
      <c r="I571" s="63">
        <f t="shared" si="274"/>
        <v>0</v>
      </c>
      <c r="J571" s="64">
        <f t="shared" si="274"/>
        <v>576400.43000000005</v>
      </c>
      <c r="K571" s="64">
        <f t="shared" si="274"/>
        <v>0</v>
      </c>
      <c r="L571" s="65">
        <f t="shared" si="274"/>
        <v>594185.98</v>
      </c>
      <c r="M571" s="65">
        <f t="shared" si="274"/>
        <v>0</v>
      </c>
      <c r="N571" s="66">
        <f t="shared" si="272"/>
        <v>1620636.78</v>
      </c>
      <c r="O571" s="66">
        <f t="shared" si="272"/>
        <v>0</v>
      </c>
      <c r="P571" s="69">
        <f t="shared" si="247"/>
        <v>540212.26</v>
      </c>
      <c r="Q571" s="69">
        <f t="shared" si="247"/>
        <v>0</v>
      </c>
      <c r="R571" s="54"/>
      <c r="S571" s="49"/>
      <c r="T571" s="49"/>
      <c r="U571" s="49" t="s">
        <v>565</v>
      </c>
      <c r="V571" s="49"/>
      <c r="W571" s="49"/>
      <c r="X571" s="49"/>
      <c r="Y571" s="49"/>
      <c r="Z571" s="66"/>
      <c r="AA571" s="140"/>
      <c r="AB571" s="66"/>
      <c r="AC571" s="66"/>
      <c r="AD571" s="66"/>
      <c r="AE571" s="66"/>
      <c r="AF571" s="66"/>
      <c r="AG571" s="66"/>
      <c r="AH571" s="66"/>
      <c r="AI571" s="66"/>
    </row>
    <row r="572" spans="1:35" x14ac:dyDescent="0.35">
      <c r="A572" s="66"/>
      <c r="B572" s="66"/>
      <c r="C572" s="49" t="s">
        <v>566</v>
      </c>
      <c r="D572" s="49"/>
      <c r="E572" s="49"/>
      <c r="F572" s="49"/>
      <c r="G572" s="49"/>
      <c r="H572" s="63"/>
      <c r="I572" s="63"/>
      <c r="J572" s="64"/>
      <c r="K572" s="64"/>
      <c r="L572" s="65"/>
      <c r="M572" s="65"/>
      <c r="N572" s="66"/>
      <c r="O572" s="66"/>
      <c r="P572" s="69"/>
      <c r="Q572" s="69"/>
      <c r="R572" s="54"/>
      <c r="S572" s="49"/>
      <c r="T572" s="49"/>
      <c r="U572" s="49" t="s">
        <v>566</v>
      </c>
      <c r="V572" s="49"/>
      <c r="W572" s="49"/>
      <c r="X572" s="49"/>
      <c r="Y572" s="49"/>
      <c r="Z572" s="66"/>
      <c r="AA572" s="140"/>
      <c r="AB572" s="66"/>
      <c r="AC572" s="66"/>
      <c r="AD572" s="66"/>
      <c r="AE572" s="66"/>
      <c r="AF572" s="66"/>
      <c r="AG572" s="66"/>
      <c r="AH572" s="66"/>
      <c r="AI572" s="66"/>
    </row>
    <row r="573" spans="1:35" x14ac:dyDescent="0.35">
      <c r="A573" s="66"/>
      <c r="B573" s="66"/>
      <c r="C573" s="49"/>
      <c r="D573" s="49" t="s">
        <v>567</v>
      </c>
      <c r="E573" s="49"/>
      <c r="F573" s="49"/>
      <c r="G573" s="49"/>
      <c r="H573" s="63"/>
      <c r="I573" s="63"/>
      <c r="J573" s="64"/>
      <c r="K573" s="64"/>
      <c r="L573" s="65"/>
      <c r="M573" s="65"/>
      <c r="N573" s="66"/>
      <c r="O573" s="66"/>
      <c r="P573" s="69"/>
      <c r="Q573" s="69"/>
      <c r="R573" s="54"/>
      <c r="S573" s="49"/>
      <c r="T573" s="49"/>
      <c r="U573" s="49"/>
      <c r="V573" s="49" t="s">
        <v>567</v>
      </c>
      <c r="W573" s="49"/>
      <c r="X573" s="49"/>
      <c r="Y573" s="49"/>
      <c r="Z573" s="66"/>
      <c r="AA573" s="140"/>
      <c r="AB573" s="66"/>
      <c r="AC573" s="66"/>
      <c r="AD573" s="66"/>
      <c r="AE573" s="66"/>
      <c r="AF573" s="66"/>
      <c r="AG573" s="66"/>
      <c r="AH573" s="66"/>
      <c r="AI573" s="66"/>
    </row>
    <row r="574" spans="1:35" x14ac:dyDescent="0.35">
      <c r="A574" s="66"/>
      <c r="B574" s="66"/>
      <c r="C574" s="49"/>
      <c r="D574" s="49"/>
      <c r="E574" s="49" t="s">
        <v>568</v>
      </c>
      <c r="F574" s="49"/>
      <c r="G574" s="49"/>
      <c r="H574" s="63">
        <v>541.88</v>
      </c>
      <c r="I574" s="63">
        <v>0</v>
      </c>
      <c r="J574" s="64">
        <v>554.29999999999995</v>
      </c>
      <c r="K574" s="64">
        <v>0</v>
      </c>
      <c r="L574" s="65">
        <v>645.24</v>
      </c>
      <c r="M574" s="65">
        <v>0</v>
      </c>
      <c r="N574" s="66">
        <f t="shared" ref="N574:O582" si="275">ROUND(H574+J574+L574,5)</f>
        <v>1741.42</v>
      </c>
      <c r="O574" s="66">
        <f t="shared" si="275"/>
        <v>0</v>
      </c>
      <c r="P574" s="69">
        <f t="shared" ref="P574:Q582" si="276">N574/3</f>
        <v>580.47333333333336</v>
      </c>
      <c r="Q574" s="69">
        <f t="shared" si="276"/>
        <v>0</v>
      </c>
      <c r="R574" s="54"/>
      <c r="S574" s="49"/>
      <c r="T574" s="49"/>
      <c r="U574" s="49"/>
      <c r="V574" s="49"/>
      <c r="W574" s="49" t="s">
        <v>568</v>
      </c>
      <c r="X574" s="49"/>
      <c r="Y574" s="49"/>
      <c r="Z574" s="66"/>
      <c r="AA574" s="140"/>
      <c r="AB574" s="66"/>
      <c r="AC574" s="66"/>
      <c r="AD574" s="66"/>
      <c r="AE574" s="66"/>
      <c r="AF574" s="66"/>
      <c r="AG574" s="66"/>
      <c r="AH574" s="66"/>
      <c r="AI574" s="66"/>
    </row>
    <row r="575" spans="1:35" x14ac:dyDescent="0.35">
      <c r="A575" s="66"/>
      <c r="B575" s="66"/>
      <c r="C575" s="49"/>
      <c r="D575" s="49"/>
      <c r="E575" s="49" t="s">
        <v>569</v>
      </c>
      <c r="F575" s="49"/>
      <c r="G575" s="49"/>
      <c r="H575" s="63">
        <v>0</v>
      </c>
      <c r="I575" s="63">
        <v>0</v>
      </c>
      <c r="J575" s="64">
        <v>0</v>
      </c>
      <c r="K575" s="64">
        <v>0</v>
      </c>
      <c r="L575" s="65">
        <v>0</v>
      </c>
      <c r="M575" s="65">
        <v>0</v>
      </c>
      <c r="N575" s="66">
        <f t="shared" si="275"/>
        <v>0</v>
      </c>
      <c r="O575" s="66">
        <f t="shared" si="275"/>
        <v>0</v>
      </c>
      <c r="P575" s="69">
        <f t="shared" si="276"/>
        <v>0</v>
      </c>
      <c r="Q575" s="69">
        <f t="shared" si="276"/>
        <v>0</v>
      </c>
      <c r="R575" s="54"/>
      <c r="S575" s="49"/>
      <c r="T575" s="49"/>
      <c r="U575" s="49"/>
      <c r="V575" s="49"/>
      <c r="W575" s="49" t="s">
        <v>569</v>
      </c>
      <c r="X575" s="49"/>
      <c r="Y575" s="49"/>
      <c r="Z575" s="66"/>
      <c r="AA575" s="143"/>
      <c r="AB575" s="66"/>
      <c r="AC575" s="66"/>
      <c r="AD575" s="66"/>
      <c r="AE575" s="66"/>
      <c r="AF575" s="66"/>
      <c r="AG575" s="66"/>
      <c r="AH575" s="66"/>
      <c r="AI575" s="66"/>
    </row>
    <row r="576" spans="1:35" x14ac:dyDescent="0.35">
      <c r="A576" s="66"/>
      <c r="B576" s="66"/>
      <c r="C576" s="49"/>
      <c r="D576" s="49"/>
      <c r="E576" s="49" t="s">
        <v>570</v>
      </c>
      <c r="F576" s="49"/>
      <c r="G576" s="49"/>
      <c r="H576" s="63">
        <v>2500</v>
      </c>
      <c r="I576" s="63">
        <v>0</v>
      </c>
      <c r="J576" s="64">
        <v>4000</v>
      </c>
      <c r="K576" s="64">
        <v>0</v>
      </c>
      <c r="L576" s="65">
        <v>4500</v>
      </c>
      <c r="M576" s="65">
        <v>0</v>
      </c>
      <c r="N576" s="66">
        <f t="shared" si="275"/>
        <v>11000</v>
      </c>
      <c r="O576" s="66">
        <f t="shared" si="275"/>
        <v>0</v>
      </c>
      <c r="P576" s="69">
        <f t="shared" si="276"/>
        <v>3666.6666666666665</v>
      </c>
      <c r="Q576" s="69">
        <f t="shared" si="276"/>
        <v>0</v>
      </c>
      <c r="R576" s="54"/>
      <c r="S576" s="49"/>
      <c r="T576" s="49"/>
      <c r="U576" s="49"/>
      <c r="V576" s="49"/>
      <c r="W576" s="49" t="s">
        <v>570</v>
      </c>
      <c r="X576" s="49"/>
      <c r="Y576" s="49"/>
      <c r="Z576" s="66"/>
      <c r="AA576" s="140"/>
      <c r="AB576" s="66"/>
      <c r="AC576" s="66"/>
      <c r="AD576" s="66"/>
      <c r="AE576" s="66"/>
      <c r="AF576" s="66"/>
      <c r="AG576" s="66"/>
      <c r="AH576" s="66"/>
      <c r="AI576" s="66"/>
    </row>
    <row r="577" spans="1:39" ht="16" thickBot="1" x14ac:dyDescent="0.4">
      <c r="A577" s="66"/>
      <c r="B577" s="66"/>
      <c r="C577" s="49"/>
      <c r="D577" s="49"/>
      <c r="E577" s="49" t="s">
        <v>571</v>
      </c>
      <c r="F577" s="49"/>
      <c r="G577" s="49"/>
      <c r="H577" s="70">
        <v>21487.599999999999</v>
      </c>
      <c r="I577" s="70">
        <v>0</v>
      </c>
      <c r="J577" s="71">
        <v>19409.990000000002</v>
      </c>
      <c r="K577" s="64">
        <v>0</v>
      </c>
      <c r="L577" s="72">
        <v>19578.830000000002</v>
      </c>
      <c r="M577" s="65">
        <v>0</v>
      </c>
      <c r="N577" s="73">
        <f t="shared" si="275"/>
        <v>60476.42</v>
      </c>
      <c r="O577" s="73">
        <f t="shared" si="275"/>
        <v>0</v>
      </c>
      <c r="P577" s="74">
        <f t="shared" si="276"/>
        <v>20158.806666666667</v>
      </c>
      <c r="Q577" s="74">
        <f t="shared" si="276"/>
        <v>0</v>
      </c>
      <c r="R577" s="54"/>
      <c r="S577" s="49"/>
      <c r="T577" s="49"/>
      <c r="U577" s="49"/>
      <c r="V577" s="49"/>
      <c r="W577" s="49" t="s">
        <v>571</v>
      </c>
      <c r="X577" s="49"/>
      <c r="Y577" s="49"/>
      <c r="Z577" s="66"/>
      <c r="AA577" s="140"/>
      <c r="AB577" s="66"/>
      <c r="AC577" s="66"/>
      <c r="AD577" s="66"/>
      <c r="AE577" s="66"/>
      <c r="AF577" s="66"/>
      <c r="AG577" s="66"/>
      <c r="AH577" s="66"/>
      <c r="AI577" s="66"/>
    </row>
    <row r="578" spans="1:39" x14ac:dyDescent="0.35">
      <c r="A578" s="66"/>
      <c r="B578" s="66"/>
      <c r="C578" s="49"/>
      <c r="D578" s="49" t="s">
        <v>572</v>
      </c>
      <c r="E578" s="49"/>
      <c r="F578" s="49"/>
      <c r="G578" s="49"/>
      <c r="H578" s="63">
        <f t="shared" ref="H578:M578" si="277">ROUND(SUM(H573:H577),5)</f>
        <v>24529.48</v>
      </c>
      <c r="I578" s="63">
        <f t="shared" si="277"/>
        <v>0</v>
      </c>
      <c r="J578" s="64">
        <f t="shared" si="277"/>
        <v>23964.29</v>
      </c>
      <c r="K578" s="76">
        <f t="shared" si="277"/>
        <v>0</v>
      </c>
      <c r="L578" s="65">
        <f t="shared" si="277"/>
        <v>24724.07</v>
      </c>
      <c r="M578" s="77">
        <f t="shared" si="277"/>
        <v>0</v>
      </c>
      <c r="N578" s="66">
        <f t="shared" si="275"/>
        <v>73217.84</v>
      </c>
      <c r="O578" s="66">
        <f t="shared" si="275"/>
        <v>0</v>
      </c>
      <c r="P578" s="69">
        <f t="shared" si="276"/>
        <v>24405.946666666667</v>
      </c>
      <c r="Q578" s="69">
        <f t="shared" si="276"/>
        <v>0</v>
      </c>
      <c r="R578" s="54"/>
      <c r="S578" s="49"/>
      <c r="T578" s="49"/>
      <c r="U578" s="49"/>
      <c r="V578" s="49" t="s">
        <v>572</v>
      </c>
      <c r="W578" s="49"/>
      <c r="X578" s="49"/>
      <c r="Y578" s="49"/>
      <c r="Z578" s="66"/>
      <c r="AA578" s="140"/>
      <c r="AB578" s="66"/>
      <c r="AC578" s="66"/>
      <c r="AD578" s="66"/>
      <c r="AE578" s="66"/>
      <c r="AF578" s="66"/>
      <c r="AG578" s="66"/>
      <c r="AH578" s="66"/>
      <c r="AI578" s="66"/>
    </row>
    <row r="579" spans="1:39" ht="16" thickBot="1" x14ac:dyDescent="0.4">
      <c r="A579" s="66"/>
      <c r="B579" s="66"/>
      <c r="C579" s="49"/>
      <c r="D579" s="49" t="s">
        <v>573</v>
      </c>
      <c r="E579" s="49"/>
      <c r="F579" s="49"/>
      <c r="G579" s="49"/>
      <c r="H579" s="63">
        <v>288386.05</v>
      </c>
      <c r="I579" s="63">
        <v>0</v>
      </c>
      <c r="J579" s="64">
        <v>313714.26</v>
      </c>
      <c r="K579" s="64">
        <v>0</v>
      </c>
      <c r="L579" s="65">
        <v>363433.03</v>
      </c>
      <c r="M579" s="65">
        <v>0</v>
      </c>
      <c r="N579" s="66">
        <f t="shared" si="275"/>
        <v>965533.34</v>
      </c>
      <c r="O579" s="66">
        <f t="shared" si="275"/>
        <v>0</v>
      </c>
      <c r="P579" s="69">
        <f t="shared" si="276"/>
        <v>321844.44666666666</v>
      </c>
      <c r="Q579" s="69">
        <f t="shared" si="276"/>
        <v>0</v>
      </c>
      <c r="R579" s="54"/>
      <c r="S579" s="49"/>
      <c r="T579" s="49"/>
      <c r="U579" s="49"/>
      <c r="V579" s="49" t="s">
        <v>573</v>
      </c>
      <c r="W579" s="49"/>
      <c r="X579" s="49"/>
      <c r="Y579" s="49"/>
      <c r="Z579" s="66"/>
      <c r="AA579" s="140"/>
      <c r="AB579" s="66"/>
      <c r="AC579" s="66"/>
      <c r="AD579" s="66"/>
      <c r="AE579" s="66"/>
      <c r="AF579" s="66"/>
      <c r="AG579" s="66"/>
      <c r="AH579" s="66"/>
      <c r="AI579" s="66"/>
    </row>
    <row r="580" spans="1:39" ht="16" thickBot="1" x14ac:dyDescent="0.4">
      <c r="A580" s="66"/>
      <c r="B580" s="66"/>
      <c r="C580" s="49" t="s">
        <v>574</v>
      </c>
      <c r="D580" s="49"/>
      <c r="E580" s="49"/>
      <c r="F580" s="49"/>
      <c r="G580" s="49"/>
      <c r="H580" s="75">
        <f t="shared" ref="H580:M580" si="278">ROUND(H572+SUM(H578:H579),5)</f>
        <v>312915.53000000003</v>
      </c>
      <c r="I580" s="75">
        <f t="shared" si="278"/>
        <v>0</v>
      </c>
      <c r="J580" s="76">
        <f t="shared" si="278"/>
        <v>337678.55</v>
      </c>
      <c r="K580" s="76">
        <f t="shared" si="278"/>
        <v>0</v>
      </c>
      <c r="L580" s="77">
        <f t="shared" si="278"/>
        <v>388157.1</v>
      </c>
      <c r="M580" s="77">
        <f t="shared" si="278"/>
        <v>0</v>
      </c>
      <c r="N580" s="78">
        <f t="shared" si="275"/>
        <v>1038751.18</v>
      </c>
      <c r="O580" s="78">
        <f t="shared" si="275"/>
        <v>0</v>
      </c>
      <c r="P580" s="79">
        <f t="shared" si="276"/>
        <v>346250.39333333337</v>
      </c>
      <c r="Q580" s="79">
        <f t="shared" si="276"/>
        <v>0</v>
      </c>
      <c r="R580" s="54"/>
      <c r="S580" s="49"/>
      <c r="T580" s="49"/>
      <c r="U580" s="49" t="s">
        <v>574</v>
      </c>
      <c r="V580" s="49"/>
      <c r="W580" s="49"/>
      <c r="X580" s="49"/>
      <c r="Y580" s="49"/>
      <c r="Z580" s="66"/>
      <c r="AA580" s="140"/>
      <c r="AB580" s="66"/>
      <c r="AC580" s="66"/>
      <c r="AD580" s="66"/>
      <c r="AE580" s="66"/>
      <c r="AF580" s="66"/>
      <c r="AG580" s="66"/>
      <c r="AH580" s="66"/>
      <c r="AI580" s="66"/>
      <c r="AK580" s="194"/>
    </row>
    <row r="581" spans="1:39" ht="16" thickBot="1" x14ac:dyDescent="0.4">
      <c r="A581" s="66"/>
      <c r="B581" s="66" t="s">
        <v>575</v>
      </c>
      <c r="C581" s="49"/>
      <c r="D581" s="49"/>
      <c r="E581" s="49"/>
      <c r="F581" s="49"/>
      <c r="G581" s="49"/>
      <c r="H581" s="75">
        <f t="shared" ref="H581:M581" si="279">ROUND(H556+H571-H580,5)</f>
        <v>137134.84</v>
      </c>
      <c r="I581" s="75">
        <f t="shared" si="279"/>
        <v>0</v>
      </c>
      <c r="J581" s="76">
        <f t="shared" si="279"/>
        <v>238721.88</v>
      </c>
      <c r="K581" s="76">
        <f t="shared" si="279"/>
        <v>0</v>
      </c>
      <c r="L581" s="77">
        <f t="shared" si="279"/>
        <v>206028.88</v>
      </c>
      <c r="M581" s="77">
        <f t="shared" si="279"/>
        <v>0</v>
      </c>
      <c r="N581" s="78">
        <f t="shared" si="275"/>
        <v>581885.6</v>
      </c>
      <c r="O581" s="78">
        <f t="shared" si="275"/>
        <v>0</v>
      </c>
      <c r="P581" s="79">
        <f t="shared" si="276"/>
        <v>193961.86666666667</v>
      </c>
      <c r="Q581" s="79">
        <f t="shared" si="276"/>
        <v>0</v>
      </c>
      <c r="R581" s="54"/>
      <c r="S581" s="49"/>
      <c r="T581" s="49" t="s">
        <v>575</v>
      </c>
      <c r="U581" s="49"/>
      <c r="V581" s="49"/>
      <c r="W581" s="49"/>
      <c r="X581" s="49"/>
      <c r="Y581" s="49"/>
      <c r="Z581" s="66"/>
      <c r="AA581" s="140"/>
      <c r="AB581" s="66"/>
      <c r="AC581" s="66"/>
      <c r="AD581" s="66"/>
      <c r="AE581" s="66"/>
      <c r="AF581" s="66"/>
      <c r="AG581" s="66"/>
      <c r="AH581" s="66"/>
      <c r="AI581" s="66"/>
    </row>
    <row r="582" spans="1:39" s="45" customFormat="1" ht="16" thickBot="1" x14ac:dyDescent="0.4">
      <c r="A582" s="95" t="s">
        <v>576</v>
      </c>
      <c r="B582" s="95"/>
      <c r="C582" s="49"/>
      <c r="D582" s="49"/>
      <c r="E582" s="49"/>
      <c r="F582" s="49"/>
      <c r="G582" s="49"/>
      <c r="H582" s="96">
        <f t="shared" ref="H582:M582" si="280">ROUND(H555+H581,5)</f>
        <v>44542.64</v>
      </c>
      <c r="I582" s="96">
        <f t="shared" si="280"/>
        <v>8714.58</v>
      </c>
      <c r="J582" s="97">
        <f t="shared" si="280"/>
        <v>51342.9</v>
      </c>
      <c r="K582" s="97">
        <f t="shared" si="280"/>
        <v>826.41</v>
      </c>
      <c r="L582" s="98">
        <f t="shared" si="280"/>
        <v>184453.41</v>
      </c>
      <c r="M582" s="98">
        <f t="shared" si="280"/>
        <v>354.02</v>
      </c>
      <c r="N582" s="99">
        <f t="shared" si="275"/>
        <v>280338.95</v>
      </c>
      <c r="O582" s="99">
        <f t="shared" si="275"/>
        <v>9895.01</v>
      </c>
      <c r="P582" s="100">
        <f t="shared" si="276"/>
        <v>93446.316666666666</v>
      </c>
      <c r="Q582" s="100">
        <f t="shared" si="276"/>
        <v>3298.3366666666666</v>
      </c>
      <c r="R582" s="101"/>
      <c r="S582" s="49" t="s">
        <v>576</v>
      </c>
      <c r="T582" s="49"/>
      <c r="U582" s="49"/>
      <c r="V582" s="49"/>
      <c r="W582" s="49"/>
      <c r="X582" s="49"/>
      <c r="Y582" s="49"/>
      <c r="Z582" s="99">
        <f>ROUND(Z555+Z581,5)</f>
        <v>811.37</v>
      </c>
      <c r="AA582" s="140"/>
      <c r="AB582" s="99">
        <f t="shared" ref="AB582:AH582" si="281">ROUND(AB555+AB581,5)</f>
        <v>-193160.46642000001</v>
      </c>
      <c r="AC582" s="99">
        <f t="shared" si="281"/>
        <v>-8678.4714199999999</v>
      </c>
      <c r="AD582" s="99">
        <f t="shared" si="281"/>
        <v>15325.98798</v>
      </c>
      <c r="AE582" s="99">
        <f t="shared" si="281"/>
        <v>3787.1</v>
      </c>
      <c r="AF582" s="99">
        <f t="shared" si="281"/>
        <v>5642.0349999999999</v>
      </c>
      <c r="AG582" s="99">
        <f t="shared" si="281"/>
        <v>-17387</v>
      </c>
      <c r="AH582" s="99">
        <f t="shared" si="281"/>
        <v>20318</v>
      </c>
      <c r="AI582" s="99">
        <f t="shared" ref="AI582" si="282">ROUND(AI555+AI581,5)</f>
        <v>-17235</v>
      </c>
      <c r="AJ582" s="110"/>
      <c r="AK582" s="110"/>
      <c r="AM582" s="215"/>
    </row>
    <row r="583" spans="1:39" ht="16" thickTop="1" x14ac:dyDescent="0.35">
      <c r="AB583" s="47"/>
      <c r="AC583" s="47"/>
      <c r="AD583" s="47"/>
      <c r="AE583" s="47"/>
      <c r="AF583" s="47"/>
      <c r="AG583" s="47"/>
      <c r="AH583" s="47"/>
      <c r="AI583" s="47"/>
    </row>
  </sheetData>
  <mergeCells count="2">
    <mergeCell ref="P3:Q3"/>
    <mergeCell ref="AP170:AP1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2D97-9B1D-4718-B572-D7CE65AD4B89}">
  <sheetPr>
    <tabColor rgb="FFC00000"/>
  </sheetPr>
  <dimension ref="A1:AR583"/>
  <sheetViews>
    <sheetView topLeftCell="R1" zoomScale="160" zoomScaleNormal="160" workbookViewId="0">
      <pane ySplit="4" topLeftCell="A7" activePane="bottomLeft" state="frozen"/>
      <selection activeCell="R1" sqref="R1"/>
      <selection pane="bottomLeft" activeCell="R1" sqref="A1:XFD1048576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customWidth="1"/>
    <col min="9" max="9" width="14.1796875" style="46" customWidth="1"/>
    <col min="10" max="10" width="16.81640625" style="46" customWidth="1"/>
    <col min="11" max="11" width="14.1796875" style="46" customWidth="1"/>
    <col min="12" max="12" width="16.81640625" style="46" customWidth="1"/>
    <col min="13" max="13" width="14.1796875" style="46" customWidth="1"/>
    <col min="14" max="14" width="16.81640625" style="46" customWidth="1"/>
    <col min="15" max="15" width="14.81640625" style="46" customWidth="1"/>
    <col min="16" max="16" width="16.81640625" style="46" bestFit="1" customWidth="1"/>
    <col min="17" max="17" width="14.1796875" style="46" bestFit="1" customWidth="1"/>
    <col min="18" max="18" width="0.81640625" style="46" customWidth="1"/>
    <col min="19" max="24" width="0.90625" style="45" customWidth="1"/>
    <col min="25" max="25" width="49.36328125" style="45" bestFit="1" customWidth="1"/>
    <col min="26" max="26" width="22.54296875" style="47" customWidth="1"/>
    <col min="27" max="27" width="0.6328125" style="46" customWidth="1"/>
    <col min="28" max="33" width="17.1796875" style="46" hidden="1" customWidth="1"/>
    <col min="34" max="34" width="17.1796875" style="46" bestFit="1" customWidth="1"/>
    <col min="35" max="36" width="17.1796875" style="46" customWidth="1"/>
    <col min="37" max="37" width="22.90625" style="110" bestFit="1" customWidth="1"/>
    <col min="38" max="38" width="47.81640625" style="110" customWidth="1"/>
    <col min="39" max="39" width="11.54296875" style="46" bestFit="1" customWidth="1"/>
    <col min="40" max="40" width="19.81640625" style="111" bestFit="1" customWidth="1"/>
    <col min="41" max="41" width="18.453125" style="46" bestFit="1" customWidth="1"/>
    <col min="42" max="42" width="11.6328125" style="46" bestFit="1" customWidth="1"/>
    <col min="43" max="43" width="11.81640625" style="46" bestFit="1" customWidth="1"/>
    <col min="44" max="44" width="11.81640625" style="46" customWidth="1"/>
    <col min="45" max="45" width="11.54296875" style="46" bestFit="1" customWidth="1"/>
    <col min="46" max="16384" width="8.81640625" style="46"/>
  </cols>
  <sheetData>
    <row r="1" spans="1:40" ht="25" customHeight="1" x14ac:dyDescent="0.35">
      <c r="H1" s="103">
        <f t="shared" ref="H1:Q1" si="0">H582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Z582</f>
        <v>811.37</v>
      </c>
      <c r="AA1" s="139"/>
      <c r="AB1" s="106">
        <f t="shared" ref="AB1:AI1" si="1">AB582</f>
        <v>-193160.46642000001</v>
      </c>
      <c r="AC1" s="129">
        <f t="shared" si="1"/>
        <v>-8678.4714199999999</v>
      </c>
      <c r="AD1" s="132">
        <f t="shared" si="1"/>
        <v>15325.98798</v>
      </c>
      <c r="AE1" s="153">
        <f t="shared" si="1"/>
        <v>3787.1</v>
      </c>
      <c r="AF1" s="161">
        <f t="shared" si="1"/>
        <v>5642.0349999999999</v>
      </c>
      <c r="AG1" s="106">
        <f t="shared" si="1"/>
        <v>-17387</v>
      </c>
      <c r="AH1" s="208">
        <f t="shared" si="1"/>
        <v>20318</v>
      </c>
      <c r="AI1" s="211">
        <f t="shared" si="1"/>
        <v>-17235</v>
      </c>
      <c r="AJ1" s="234">
        <f t="shared" ref="AJ1" si="2">AJ582</f>
        <v>54630</v>
      </c>
      <c r="AL1" s="173"/>
    </row>
    <row r="2" spans="1:40" ht="16.5" thickBot="1" x14ac:dyDescent="0.4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  <c r="AF2" s="162" t="s">
        <v>944</v>
      </c>
      <c r="AG2" s="169" t="s">
        <v>958</v>
      </c>
      <c r="AH2" s="209" t="s">
        <v>1004</v>
      </c>
      <c r="AI2" s="212" t="s">
        <v>1008</v>
      </c>
      <c r="AJ2" s="44" t="s">
        <v>1013</v>
      </c>
    </row>
    <row r="3" spans="1:40" ht="26.5" customHeight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2"/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237" t="s">
        <v>578</v>
      </c>
      <c r="AA3" s="140"/>
      <c r="AB3" s="239" t="s">
        <v>582</v>
      </c>
      <c r="AC3" s="235" t="s">
        <v>582</v>
      </c>
      <c r="AD3" s="235" t="s">
        <v>582</v>
      </c>
      <c r="AE3" s="235" t="s">
        <v>582</v>
      </c>
      <c r="AF3" s="235" t="s">
        <v>582</v>
      </c>
      <c r="AG3" s="235" t="s">
        <v>582</v>
      </c>
      <c r="AH3" s="235" t="s">
        <v>582</v>
      </c>
      <c r="AI3" s="235" t="s">
        <v>582</v>
      </c>
      <c r="AJ3" s="235" t="s">
        <v>582</v>
      </c>
    </row>
    <row r="4" spans="1:40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58" t="s">
        <v>4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238" t="s">
        <v>2</v>
      </c>
      <c r="AA4" s="141"/>
      <c r="AB4" s="240" t="s">
        <v>2</v>
      </c>
      <c r="AC4" s="236" t="s">
        <v>2</v>
      </c>
      <c r="AD4" s="236" t="s">
        <v>2</v>
      </c>
      <c r="AE4" s="236" t="s">
        <v>2</v>
      </c>
      <c r="AF4" s="236" t="s">
        <v>2</v>
      </c>
      <c r="AG4" s="236" t="s">
        <v>2</v>
      </c>
      <c r="AH4" s="236" t="s">
        <v>2</v>
      </c>
      <c r="AI4" s="236" t="s">
        <v>2</v>
      </c>
      <c r="AJ4" s="236" t="s">
        <v>2</v>
      </c>
      <c r="AK4" s="110"/>
      <c r="AL4" s="174"/>
      <c r="AN4" s="214"/>
    </row>
    <row r="5" spans="1:40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K5" s="110"/>
      <c r="AL5" s="175"/>
      <c r="AN5" s="215"/>
    </row>
    <row r="6" spans="1:40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</row>
    <row r="7" spans="1:40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</row>
    <row r="8" spans="1:40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</row>
    <row r="9" spans="1:40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  <c r="AG9" s="66">
        <v>1026054.2</v>
      </c>
      <c r="AH9" s="66">
        <v>1026054.2</v>
      </c>
      <c r="AI9" s="66">
        <v>1026054.2</v>
      </c>
      <c r="AJ9" s="66">
        <v>1026054.2</v>
      </c>
    </row>
    <row r="10" spans="1:40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3">ROUND(H10+J10+L10,5)</f>
        <v>270788.24</v>
      </c>
      <c r="O10" s="66">
        <f t="shared" si="3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  <c r="AF10" s="66"/>
      <c r="AG10" s="66"/>
      <c r="AH10" s="66"/>
      <c r="AI10" s="66"/>
      <c r="AJ10" s="66"/>
    </row>
    <row r="11" spans="1:40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3"/>
        <v>104161.84</v>
      </c>
      <c r="O11" s="66">
        <f t="shared" si="3"/>
        <v>47215</v>
      </c>
      <c r="P11" s="69">
        <f t="shared" ref="P11:Q74" si="4">N11/3</f>
        <v>34720.613333333335</v>
      </c>
      <c r="Q11" s="69">
        <f t="shared" si="4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  <c r="AF11" s="66"/>
      <c r="AG11" s="66"/>
      <c r="AH11" s="66"/>
      <c r="AI11" s="66"/>
      <c r="AJ11" s="66"/>
    </row>
    <row r="12" spans="1:40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3"/>
        <v>0</v>
      </c>
      <c r="O12" s="66">
        <f t="shared" si="3"/>
        <v>8970</v>
      </c>
      <c r="P12" s="69">
        <f t="shared" si="4"/>
        <v>0</v>
      </c>
      <c r="Q12" s="69">
        <f t="shared" si="4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  <c r="AF12" s="66"/>
      <c r="AG12" s="66"/>
      <c r="AH12" s="66"/>
      <c r="AI12" s="66"/>
      <c r="AJ12" s="66"/>
    </row>
    <row r="13" spans="1:40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3"/>
        <v>49113.85</v>
      </c>
      <c r="O13" s="66">
        <f t="shared" si="3"/>
        <v>22276</v>
      </c>
      <c r="P13" s="69">
        <f t="shared" si="4"/>
        <v>16371.283333333333</v>
      </c>
      <c r="Q13" s="69">
        <f t="shared" si="4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  <c r="AF13" s="66"/>
      <c r="AG13" s="66"/>
      <c r="AH13" s="66"/>
      <c r="AI13" s="66"/>
      <c r="AJ13" s="66"/>
    </row>
    <row r="14" spans="1:40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3"/>
        <v>7790</v>
      </c>
      <c r="O14" s="73">
        <f t="shared" si="3"/>
        <v>1400</v>
      </c>
      <c r="P14" s="74">
        <f t="shared" si="4"/>
        <v>2596.6666666666665</v>
      </c>
      <c r="Q14" s="74">
        <f t="shared" si="4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40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5">ROUND(SUM(H9:H14),5)</f>
        <v>171173.36</v>
      </c>
      <c r="I15" s="63">
        <f t="shared" si="5"/>
        <v>33072</v>
      </c>
      <c r="J15" s="64">
        <f t="shared" si="5"/>
        <v>129396.15</v>
      </c>
      <c r="K15" s="64">
        <f t="shared" si="5"/>
        <v>61776</v>
      </c>
      <c r="L15" s="65">
        <f t="shared" si="5"/>
        <v>131284.42000000001</v>
      </c>
      <c r="M15" s="65">
        <f t="shared" si="5"/>
        <v>159494</v>
      </c>
      <c r="N15" s="66">
        <f t="shared" si="3"/>
        <v>431853.93</v>
      </c>
      <c r="O15" s="66">
        <f t="shared" si="3"/>
        <v>254342</v>
      </c>
      <c r="P15" s="69">
        <f t="shared" si="4"/>
        <v>143951.31</v>
      </c>
      <c r="Q15" s="69">
        <f t="shared" si="4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 t="shared" ref="AB15:AI15" si="6">ROUND(SUM(AB9:AB14),5)</f>
        <v>960784.8</v>
      </c>
      <c r="AC15" s="66">
        <f t="shared" si="6"/>
        <v>960784.8</v>
      </c>
      <c r="AD15" s="66">
        <f t="shared" si="6"/>
        <v>1026054.2</v>
      </c>
      <c r="AE15" s="66">
        <f t="shared" si="6"/>
        <v>1026054.2</v>
      </c>
      <c r="AF15" s="66">
        <f t="shared" si="6"/>
        <v>1026054.2</v>
      </c>
      <c r="AG15" s="66">
        <f t="shared" si="6"/>
        <v>1026054.2</v>
      </c>
      <c r="AH15" s="66">
        <f t="shared" si="6"/>
        <v>1026054.2</v>
      </c>
      <c r="AI15" s="66">
        <f t="shared" si="6"/>
        <v>1026054.2</v>
      </c>
      <c r="AJ15" s="66">
        <f t="shared" ref="AJ15" si="7">ROUND(SUM(AJ9:AJ14),5)</f>
        <v>1026054.2</v>
      </c>
    </row>
    <row r="16" spans="1:40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  <c r="AF16" s="66"/>
      <c r="AG16" s="66"/>
      <c r="AH16" s="66"/>
      <c r="AI16" s="66"/>
      <c r="AJ16" s="66"/>
    </row>
    <row r="17" spans="1:36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8">ROUND(H17+J17+L17,5)</f>
        <v>101809.82</v>
      </c>
      <c r="O17" s="66">
        <f t="shared" si="8"/>
        <v>79973</v>
      </c>
      <c r="P17" s="69">
        <f t="shared" si="4"/>
        <v>33936.606666666667</v>
      </c>
      <c r="Q17" s="69">
        <f t="shared" si="4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  <c r="AF17" s="66"/>
      <c r="AG17" s="66"/>
      <c r="AH17" s="66"/>
      <c r="AI17" s="66"/>
      <c r="AJ17" s="66"/>
    </row>
    <row r="18" spans="1:36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8"/>
        <v>26984.29</v>
      </c>
      <c r="O18" s="66">
        <f t="shared" si="8"/>
        <v>23625</v>
      </c>
      <c r="P18" s="69">
        <f t="shared" si="4"/>
        <v>8994.7633333333342</v>
      </c>
      <c r="Q18" s="69">
        <f t="shared" si="4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  <c r="AF18" s="66"/>
      <c r="AG18" s="66"/>
      <c r="AH18" s="66"/>
      <c r="AI18" s="66"/>
      <c r="AJ18" s="66"/>
    </row>
    <row r="19" spans="1:36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8"/>
        <v>17270</v>
      </c>
      <c r="O19" s="66">
        <f t="shared" si="8"/>
        <v>35512</v>
      </c>
      <c r="P19" s="69">
        <f t="shared" si="4"/>
        <v>5756.666666666667</v>
      </c>
      <c r="Q19" s="69">
        <f t="shared" si="4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  <c r="AF19" s="66"/>
      <c r="AG19" s="66"/>
      <c r="AH19" s="66"/>
      <c r="AI19" s="66"/>
      <c r="AJ19" s="66"/>
    </row>
    <row r="20" spans="1:36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8"/>
        <v>22714.81</v>
      </c>
      <c r="O20" s="66">
        <f t="shared" si="8"/>
        <v>35292</v>
      </c>
      <c r="P20" s="69">
        <f t="shared" si="4"/>
        <v>7571.6033333333335</v>
      </c>
      <c r="Q20" s="69">
        <f t="shared" si="4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  <c r="AF20" s="66"/>
      <c r="AG20" s="66"/>
      <c r="AH20" s="66"/>
      <c r="AI20" s="66"/>
      <c r="AJ20" s="66"/>
    </row>
    <row r="21" spans="1:36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8"/>
        <v>3255.05</v>
      </c>
      <c r="O21" s="66">
        <f t="shared" si="8"/>
        <v>0</v>
      </c>
      <c r="P21" s="69">
        <f t="shared" si="4"/>
        <v>1085.0166666666667</v>
      </c>
      <c r="Q21" s="69">
        <f t="shared" si="4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  <c r="AF21" s="66"/>
      <c r="AG21" s="66"/>
      <c r="AH21" s="66"/>
      <c r="AI21" s="66"/>
      <c r="AJ21" s="66"/>
    </row>
    <row r="22" spans="1:36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8"/>
        <v>24336.65</v>
      </c>
      <c r="O22" s="66">
        <f t="shared" si="8"/>
        <v>58135</v>
      </c>
      <c r="P22" s="69">
        <f t="shared" si="4"/>
        <v>8112.2166666666672</v>
      </c>
      <c r="Q22" s="69">
        <f t="shared" si="4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  <c r="AF22" s="66"/>
      <c r="AG22" s="66"/>
      <c r="AH22" s="66"/>
      <c r="AI22" s="66"/>
      <c r="AJ22" s="66"/>
    </row>
    <row r="23" spans="1:36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8"/>
        <v>3560.05</v>
      </c>
      <c r="O23" s="66">
        <f t="shared" si="8"/>
        <v>0</v>
      </c>
      <c r="P23" s="69">
        <f t="shared" si="4"/>
        <v>1186.6833333333334</v>
      </c>
      <c r="Q23" s="69">
        <f t="shared" si="4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  <c r="AF23" s="66"/>
      <c r="AG23" s="66"/>
      <c r="AH23" s="66"/>
      <c r="AI23" s="66"/>
      <c r="AJ23" s="66"/>
    </row>
    <row r="24" spans="1:36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8"/>
        <v>20454.099999999999</v>
      </c>
      <c r="O24" s="66">
        <f t="shared" si="8"/>
        <v>42287</v>
      </c>
      <c r="P24" s="69">
        <f t="shared" si="4"/>
        <v>6818.0333333333328</v>
      </c>
      <c r="Q24" s="69">
        <f t="shared" si="4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  <c r="AF24" s="66"/>
      <c r="AG24" s="66"/>
      <c r="AH24" s="66"/>
      <c r="AI24" s="66"/>
      <c r="AJ24" s="66"/>
    </row>
    <row r="25" spans="1:36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8"/>
        <v>13358.41</v>
      </c>
      <c r="O25" s="66">
        <f t="shared" si="8"/>
        <v>17758</v>
      </c>
      <c r="P25" s="69">
        <f t="shared" si="4"/>
        <v>4452.8033333333333</v>
      </c>
      <c r="Q25" s="69">
        <f t="shared" si="4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  <c r="AF25" s="66"/>
      <c r="AG25" s="66"/>
      <c r="AH25" s="66"/>
      <c r="AI25" s="66"/>
      <c r="AJ25" s="66"/>
    </row>
    <row r="26" spans="1:36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8"/>
        <v>5642.08</v>
      </c>
      <c r="O26" s="66">
        <f t="shared" si="8"/>
        <v>0</v>
      </c>
      <c r="P26" s="69">
        <f t="shared" si="4"/>
        <v>1880.6933333333334</v>
      </c>
      <c r="Q26" s="69">
        <f t="shared" si="4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  <c r="AF26" s="66"/>
      <c r="AG26" s="66"/>
      <c r="AH26" s="66"/>
      <c r="AI26" s="66"/>
      <c r="AJ26" s="66"/>
    </row>
    <row r="27" spans="1:36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8"/>
        <v>28947.17</v>
      </c>
      <c r="O27" s="66">
        <f t="shared" si="8"/>
        <v>23569</v>
      </c>
      <c r="P27" s="69">
        <f t="shared" si="4"/>
        <v>9649.0566666666655</v>
      </c>
      <c r="Q27" s="69">
        <f t="shared" si="4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  <c r="AF27" s="66"/>
      <c r="AG27" s="66"/>
      <c r="AH27" s="66"/>
      <c r="AI27" s="66"/>
      <c r="AJ27" s="66"/>
    </row>
    <row r="28" spans="1:36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8"/>
        <v>6391.99</v>
      </c>
      <c r="O28" s="66">
        <f t="shared" si="8"/>
        <v>5858</v>
      </c>
      <c r="P28" s="69">
        <f t="shared" si="4"/>
        <v>2130.6633333333334</v>
      </c>
      <c r="Q28" s="69">
        <f t="shared" si="4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  <c r="AF28" s="66"/>
      <c r="AG28" s="66"/>
      <c r="AH28" s="66"/>
      <c r="AI28" s="66"/>
      <c r="AJ28" s="66"/>
    </row>
    <row r="29" spans="1:36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8"/>
        <v>33957.879999999997</v>
      </c>
      <c r="O29" s="66">
        <f t="shared" si="8"/>
        <v>66808</v>
      </c>
      <c r="P29" s="69">
        <f t="shared" si="4"/>
        <v>11319.293333333333</v>
      </c>
      <c r="Q29" s="69">
        <f t="shared" si="4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  <c r="AF29" s="66"/>
      <c r="AG29" s="66"/>
      <c r="AH29" s="66"/>
      <c r="AI29" s="66"/>
      <c r="AJ29" s="66"/>
    </row>
    <row r="30" spans="1:36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8"/>
        <v>44017.48</v>
      </c>
      <c r="O30" s="66">
        <f t="shared" si="8"/>
        <v>49854</v>
      </c>
      <c r="P30" s="69">
        <f t="shared" si="4"/>
        <v>14672.493333333334</v>
      </c>
      <c r="Q30" s="69">
        <f t="shared" si="4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  <c r="AF30" s="66"/>
      <c r="AG30" s="66"/>
      <c r="AH30" s="66"/>
      <c r="AI30" s="66"/>
      <c r="AJ30" s="66"/>
    </row>
    <row r="31" spans="1:36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8"/>
        <v>64578.81</v>
      </c>
      <c r="O31" s="66">
        <f t="shared" si="8"/>
        <v>27090</v>
      </c>
      <c r="P31" s="69">
        <f t="shared" si="4"/>
        <v>21526.27</v>
      </c>
      <c r="Q31" s="69">
        <f t="shared" si="4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  <c r="AF31" s="66"/>
      <c r="AG31" s="66"/>
      <c r="AH31" s="66"/>
      <c r="AI31" s="66"/>
      <c r="AJ31" s="66"/>
    </row>
    <row r="32" spans="1:36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8"/>
        <v>14800.16</v>
      </c>
      <c r="O32" s="66">
        <f t="shared" si="8"/>
        <v>0</v>
      </c>
      <c r="P32" s="69">
        <f t="shared" si="4"/>
        <v>4933.3866666666663</v>
      </c>
      <c r="Q32" s="69">
        <f t="shared" si="4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  <c r="AF32" s="66"/>
      <c r="AG32" s="66"/>
      <c r="AH32" s="66"/>
      <c r="AI32" s="66"/>
      <c r="AJ32" s="66"/>
    </row>
    <row r="33" spans="1:36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8"/>
        <v>1604.11</v>
      </c>
      <c r="O33" s="66">
        <f t="shared" si="8"/>
        <v>22561</v>
      </c>
      <c r="P33" s="69">
        <f t="shared" si="4"/>
        <v>534.70333333333326</v>
      </c>
      <c r="Q33" s="69">
        <f t="shared" si="4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  <c r="AF33" s="66"/>
      <c r="AG33" s="66"/>
      <c r="AH33" s="66"/>
      <c r="AI33" s="66"/>
      <c r="AJ33" s="66"/>
    </row>
    <row r="34" spans="1:36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8"/>
        <v>1104</v>
      </c>
      <c r="O34" s="66">
        <f t="shared" si="8"/>
        <v>7038</v>
      </c>
      <c r="P34" s="69">
        <f t="shared" si="4"/>
        <v>368</v>
      </c>
      <c r="Q34" s="69">
        <f t="shared" si="4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  <c r="AF34" s="66"/>
      <c r="AG34" s="66"/>
      <c r="AH34" s="66"/>
      <c r="AI34" s="66"/>
      <c r="AJ34" s="66"/>
    </row>
    <row r="35" spans="1:36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8"/>
        <v>0</v>
      </c>
      <c r="O35" s="66">
        <f t="shared" si="8"/>
        <v>15254</v>
      </c>
      <c r="P35" s="69">
        <f t="shared" si="4"/>
        <v>0</v>
      </c>
      <c r="Q35" s="69">
        <f t="shared" si="4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  <c r="AF35" s="66"/>
      <c r="AG35" s="66"/>
      <c r="AH35" s="66"/>
      <c r="AI35" s="66"/>
      <c r="AJ35" s="66"/>
    </row>
    <row r="36" spans="1:36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4"/>
        <v>1854.64</v>
      </c>
      <c r="Q36" s="69">
        <f t="shared" si="4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  <c r="AF36" s="66"/>
      <c r="AG36" s="66"/>
      <c r="AH36" s="66"/>
      <c r="AI36" s="66"/>
      <c r="AJ36" s="66"/>
    </row>
    <row r="37" spans="1:36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4"/>
        <v>0</v>
      </c>
      <c r="Q37" s="69">
        <f t="shared" si="4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  <c r="AF37" s="66"/>
      <c r="AG37" s="66"/>
      <c r="AH37" s="66"/>
      <c r="AI37" s="66"/>
      <c r="AJ37" s="66"/>
    </row>
    <row r="38" spans="1:36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4"/>
        <v>0</v>
      </c>
      <c r="Q38" s="74">
        <f t="shared" si="4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9">ROUND(SUM(H16:H38),5)</f>
        <v>125929.22</v>
      </c>
      <c r="I39" s="63">
        <f t="shared" si="9"/>
        <v>120263</v>
      </c>
      <c r="J39" s="64">
        <f t="shared" si="9"/>
        <v>136830.26</v>
      </c>
      <c r="K39" s="64">
        <f t="shared" si="9"/>
        <v>203448</v>
      </c>
      <c r="L39" s="65">
        <f t="shared" si="9"/>
        <v>177591.3</v>
      </c>
      <c r="M39" s="65">
        <f t="shared" si="9"/>
        <v>186903</v>
      </c>
      <c r="N39" s="66">
        <f>ROUND(H39+J39+L39,5)</f>
        <v>440350.78</v>
      </c>
      <c r="O39" s="66">
        <f>ROUND(I39+K39+M39,5)</f>
        <v>510614</v>
      </c>
      <c r="P39" s="69">
        <f t="shared" si="4"/>
        <v>146783.59333333335</v>
      </c>
      <c r="Q39" s="69">
        <f t="shared" si="4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 t="shared" ref="AB39:AI39" si="10">ROUND(SUM(AB16:AB38),5)</f>
        <v>0</v>
      </c>
      <c r="AC39" s="66">
        <f t="shared" si="10"/>
        <v>0</v>
      </c>
      <c r="AD39" s="66">
        <f t="shared" si="10"/>
        <v>0</v>
      </c>
      <c r="AE39" s="66">
        <f t="shared" si="10"/>
        <v>0</v>
      </c>
      <c r="AF39" s="66">
        <f t="shared" si="10"/>
        <v>0</v>
      </c>
      <c r="AG39" s="66">
        <f t="shared" si="10"/>
        <v>0</v>
      </c>
      <c r="AH39" s="66">
        <f t="shared" si="10"/>
        <v>0</v>
      </c>
      <c r="AI39" s="66">
        <f t="shared" si="10"/>
        <v>0</v>
      </c>
      <c r="AJ39" s="66">
        <f t="shared" ref="AJ39" si="11">ROUND(SUM(AJ16:AJ38),5)</f>
        <v>0</v>
      </c>
    </row>
    <row r="40" spans="1:36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  <c r="AF40" s="66"/>
      <c r="AG40" s="66"/>
      <c r="AH40" s="66"/>
      <c r="AI40" s="66"/>
      <c r="AJ40" s="66"/>
    </row>
    <row r="41" spans="1:36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12">ROUND(H41+J41+L41,5)</f>
        <v>17081.599999999999</v>
      </c>
      <c r="O41" s="66">
        <f t="shared" si="12"/>
        <v>44688</v>
      </c>
      <c r="P41" s="69">
        <f t="shared" si="4"/>
        <v>5693.8666666666659</v>
      </c>
      <c r="Q41" s="69">
        <f t="shared" si="4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  <c r="AF41" s="66"/>
      <c r="AG41" s="66"/>
      <c r="AH41" s="66"/>
      <c r="AI41" s="66"/>
      <c r="AJ41" s="66"/>
    </row>
    <row r="42" spans="1:36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12"/>
        <v>1953.03</v>
      </c>
      <c r="O42" s="66">
        <f t="shared" si="12"/>
        <v>0</v>
      </c>
      <c r="P42" s="69">
        <f t="shared" si="4"/>
        <v>651.01</v>
      </c>
      <c r="Q42" s="69">
        <f t="shared" si="4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  <c r="AF42" s="66"/>
      <c r="AG42" s="66"/>
      <c r="AH42" s="66"/>
      <c r="AI42" s="66"/>
      <c r="AJ42" s="66"/>
    </row>
    <row r="43" spans="1:36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12"/>
        <v>6637.98</v>
      </c>
      <c r="O43" s="66">
        <f t="shared" si="12"/>
        <v>16220</v>
      </c>
      <c r="P43" s="69">
        <f t="shared" si="4"/>
        <v>2212.66</v>
      </c>
      <c r="Q43" s="69">
        <f t="shared" si="4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  <c r="AF43" s="66"/>
      <c r="AG43" s="66"/>
      <c r="AH43" s="66"/>
      <c r="AI43" s="66"/>
      <c r="AJ43" s="66"/>
    </row>
    <row r="44" spans="1:36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12"/>
        <v>0</v>
      </c>
      <c r="O44" s="73">
        <f t="shared" si="12"/>
        <v>0</v>
      </c>
      <c r="P44" s="74">
        <f t="shared" si="4"/>
        <v>0</v>
      </c>
      <c r="Q44" s="74">
        <f t="shared" si="4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13">ROUND(SUM(H40:H44),5)</f>
        <v>5918.6</v>
      </c>
      <c r="I45" s="63">
        <f t="shared" si="13"/>
        <v>27950</v>
      </c>
      <c r="J45" s="64">
        <f t="shared" si="13"/>
        <v>10455</v>
      </c>
      <c r="K45" s="64">
        <f t="shared" si="13"/>
        <v>22248</v>
      </c>
      <c r="L45" s="65">
        <f t="shared" si="13"/>
        <v>9299.01</v>
      </c>
      <c r="M45" s="65">
        <f t="shared" si="13"/>
        <v>10710</v>
      </c>
      <c r="N45" s="66">
        <f t="shared" si="12"/>
        <v>25672.61</v>
      </c>
      <c r="O45" s="66">
        <f t="shared" si="12"/>
        <v>60908</v>
      </c>
      <c r="P45" s="69">
        <f t="shared" si="4"/>
        <v>8557.5366666666669</v>
      </c>
      <c r="Q45" s="69">
        <f t="shared" si="4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 t="shared" ref="AB45:AI45" si="14">ROUND(SUM(AB40:AB44),5)</f>
        <v>0</v>
      </c>
      <c r="AC45" s="66">
        <f t="shared" si="14"/>
        <v>0</v>
      </c>
      <c r="AD45" s="66">
        <f t="shared" si="14"/>
        <v>0</v>
      </c>
      <c r="AE45" s="66">
        <f t="shared" si="14"/>
        <v>0</v>
      </c>
      <c r="AF45" s="66">
        <f t="shared" si="14"/>
        <v>0</v>
      </c>
      <c r="AG45" s="66">
        <f t="shared" si="14"/>
        <v>0</v>
      </c>
      <c r="AH45" s="66">
        <f t="shared" si="14"/>
        <v>0</v>
      </c>
      <c r="AI45" s="66">
        <f t="shared" si="14"/>
        <v>0</v>
      </c>
      <c r="AJ45" s="66">
        <f t="shared" ref="AJ45" si="15">ROUND(SUM(AJ40:AJ44),5)</f>
        <v>0</v>
      </c>
    </row>
    <row r="46" spans="1:36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  <c r="AF46" s="66"/>
      <c r="AG46" s="66"/>
      <c r="AH46" s="66"/>
      <c r="AI46" s="66"/>
      <c r="AJ46" s="66"/>
    </row>
    <row r="47" spans="1:36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16">ROUND(H47+J47+L47,5)</f>
        <v>87354.12</v>
      </c>
      <c r="O47" s="66">
        <f t="shared" si="16"/>
        <v>72146</v>
      </c>
      <c r="P47" s="69">
        <f t="shared" si="4"/>
        <v>29118.039999999997</v>
      </c>
      <c r="Q47" s="69">
        <f t="shared" si="4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  <c r="AF47" s="66"/>
      <c r="AG47" s="66"/>
      <c r="AH47" s="66"/>
      <c r="AI47" s="66"/>
      <c r="AJ47" s="66"/>
    </row>
    <row r="48" spans="1:36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6"/>
        <v>12866.68</v>
      </c>
      <c r="O48" s="66">
        <f t="shared" si="16"/>
        <v>23176</v>
      </c>
      <c r="P48" s="69">
        <f t="shared" si="4"/>
        <v>4288.8933333333334</v>
      </c>
      <c r="Q48" s="69">
        <f t="shared" si="4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  <c r="AF48" s="66"/>
      <c r="AG48" s="66"/>
      <c r="AH48" s="66"/>
      <c r="AI48" s="66"/>
      <c r="AJ48" s="66"/>
    </row>
    <row r="49" spans="1:36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6"/>
        <v>1104</v>
      </c>
      <c r="O49" s="66">
        <f t="shared" si="16"/>
        <v>19670</v>
      </c>
      <c r="P49" s="69">
        <f t="shared" si="4"/>
        <v>368</v>
      </c>
      <c r="Q49" s="69">
        <f t="shared" si="4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  <c r="AF49" s="66"/>
      <c r="AG49" s="66"/>
      <c r="AH49" s="66"/>
      <c r="AI49" s="66"/>
      <c r="AJ49" s="66"/>
    </row>
    <row r="50" spans="1:36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6"/>
        <v>35352.550000000003</v>
      </c>
      <c r="O50" s="66">
        <f t="shared" si="16"/>
        <v>25225</v>
      </c>
      <c r="P50" s="69">
        <f t="shared" si="4"/>
        <v>11784.183333333334</v>
      </c>
      <c r="Q50" s="69">
        <f t="shared" si="4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  <c r="AF50" s="66"/>
      <c r="AG50" s="66"/>
      <c r="AH50" s="66"/>
      <c r="AI50" s="66"/>
      <c r="AJ50" s="66"/>
    </row>
    <row r="51" spans="1:36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6"/>
        <v>3884.55</v>
      </c>
      <c r="O51" s="66">
        <f t="shared" si="16"/>
        <v>1190</v>
      </c>
      <c r="P51" s="69">
        <f t="shared" si="4"/>
        <v>1294.8500000000001</v>
      </c>
      <c r="Q51" s="69">
        <f t="shared" si="4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  <c r="AF51" s="66"/>
      <c r="AG51" s="66"/>
      <c r="AH51" s="66"/>
      <c r="AI51" s="66"/>
      <c r="AJ51" s="66"/>
    </row>
    <row r="52" spans="1:36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6"/>
        <v>3960</v>
      </c>
      <c r="O52" s="66">
        <f t="shared" si="16"/>
        <v>11560</v>
      </c>
      <c r="P52" s="69">
        <f t="shared" si="4"/>
        <v>1320</v>
      </c>
      <c r="Q52" s="69">
        <f t="shared" si="4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  <c r="AF52" s="66"/>
      <c r="AG52" s="66"/>
      <c r="AH52" s="66"/>
      <c r="AI52" s="66"/>
      <c r="AJ52" s="66"/>
    </row>
    <row r="53" spans="1:36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6"/>
        <v>546</v>
      </c>
      <c r="O53" s="66">
        <f t="shared" si="16"/>
        <v>10387</v>
      </c>
      <c r="P53" s="69">
        <f t="shared" si="4"/>
        <v>182</v>
      </c>
      <c r="Q53" s="69">
        <f t="shared" si="4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  <c r="AF53" s="66"/>
      <c r="AG53" s="66"/>
      <c r="AH53" s="66"/>
      <c r="AI53" s="66"/>
      <c r="AJ53" s="66"/>
    </row>
    <row r="54" spans="1:36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6"/>
        <v>8740.36</v>
      </c>
      <c r="O54" s="66">
        <f t="shared" si="16"/>
        <v>19808</v>
      </c>
      <c r="P54" s="69">
        <f t="shared" si="4"/>
        <v>2913.4533333333334</v>
      </c>
      <c r="Q54" s="69">
        <f t="shared" si="4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  <c r="AF54" s="66"/>
      <c r="AG54" s="66"/>
      <c r="AH54" s="66"/>
      <c r="AI54" s="66"/>
      <c r="AJ54" s="66"/>
    </row>
    <row r="55" spans="1:36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6"/>
        <v>594</v>
      </c>
      <c r="O55" s="66">
        <f t="shared" si="16"/>
        <v>24884</v>
      </c>
      <c r="P55" s="69">
        <f t="shared" si="4"/>
        <v>198</v>
      </c>
      <c r="Q55" s="69">
        <f t="shared" si="4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  <c r="AF55" s="66"/>
      <c r="AG55" s="66"/>
      <c r="AH55" s="66"/>
      <c r="AI55" s="66"/>
      <c r="AJ55" s="66"/>
    </row>
    <row r="56" spans="1:36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6"/>
        <v>690</v>
      </c>
      <c r="O56" s="66">
        <f t="shared" si="16"/>
        <v>5419</v>
      </c>
      <c r="P56" s="69">
        <f t="shared" si="4"/>
        <v>230</v>
      </c>
      <c r="Q56" s="69">
        <f t="shared" si="4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  <c r="AF56" s="66"/>
      <c r="AG56" s="66"/>
      <c r="AH56" s="66"/>
      <c r="AI56" s="66"/>
      <c r="AJ56" s="66"/>
    </row>
    <row r="57" spans="1:36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6"/>
        <v>1413.6</v>
      </c>
      <c r="O57" s="66">
        <f t="shared" si="16"/>
        <v>27552</v>
      </c>
      <c r="P57" s="69">
        <f t="shared" si="4"/>
        <v>471.2</v>
      </c>
      <c r="Q57" s="69">
        <f t="shared" si="4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  <c r="AF57" s="66"/>
      <c r="AG57" s="66"/>
      <c r="AH57" s="66"/>
      <c r="AI57" s="66"/>
      <c r="AJ57" s="66"/>
    </row>
    <row r="58" spans="1:36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6"/>
        <v>174920.21</v>
      </c>
      <c r="O58" s="66">
        <f t="shared" si="16"/>
        <v>143746</v>
      </c>
      <c r="P58" s="69">
        <f t="shared" si="4"/>
        <v>58306.736666666664</v>
      </c>
      <c r="Q58" s="69">
        <f t="shared" si="4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  <c r="AF58" s="66"/>
      <c r="AG58" s="66"/>
      <c r="AH58" s="66"/>
      <c r="AI58" s="66"/>
      <c r="AJ58" s="66"/>
    </row>
    <row r="59" spans="1:36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6"/>
        <v>12307.07</v>
      </c>
      <c r="O59" s="66">
        <f t="shared" si="16"/>
        <v>24217</v>
      </c>
      <c r="P59" s="69">
        <f t="shared" si="4"/>
        <v>4102.3566666666666</v>
      </c>
      <c r="Q59" s="69">
        <f t="shared" si="4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  <c r="AF59" s="66"/>
      <c r="AG59" s="66"/>
      <c r="AH59" s="66"/>
      <c r="AI59" s="66"/>
      <c r="AJ59" s="66"/>
    </row>
    <row r="60" spans="1:36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6"/>
        <v>23322.21</v>
      </c>
      <c r="O60" s="66">
        <f t="shared" si="16"/>
        <v>22992</v>
      </c>
      <c r="P60" s="69">
        <f t="shared" si="4"/>
        <v>7774.07</v>
      </c>
      <c r="Q60" s="69">
        <f t="shared" si="4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  <c r="AF60" s="66"/>
      <c r="AG60" s="66"/>
      <c r="AH60" s="66"/>
      <c r="AI60" s="66"/>
      <c r="AJ60" s="66"/>
    </row>
    <row r="61" spans="1:36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6"/>
        <v>4553.9799999999996</v>
      </c>
      <c r="O61" s="73">
        <f t="shared" si="16"/>
        <v>0</v>
      </c>
      <c r="P61" s="74">
        <f t="shared" si="4"/>
        <v>1517.9933333333331</v>
      </c>
      <c r="Q61" s="74">
        <f t="shared" si="4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7">ROUND(SUM(H46:H61),5)</f>
        <v>137372.26</v>
      </c>
      <c r="I62" s="63">
        <f t="shared" si="17"/>
        <v>73450</v>
      </c>
      <c r="J62" s="64">
        <f t="shared" si="17"/>
        <v>111914.03</v>
      </c>
      <c r="K62" s="64">
        <f t="shared" si="17"/>
        <v>203796</v>
      </c>
      <c r="L62" s="65">
        <f t="shared" si="17"/>
        <v>122323.04</v>
      </c>
      <c r="M62" s="65">
        <f t="shared" si="17"/>
        <v>154726</v>
      </c>
      <c r="N62" s="66">
        <f t="shared" si="16"/>
        <v>371609.33</v>
      </c>
      <c r="O62" s="66">
        <f t="shared" si="16"/>
        <v>431972</v>
      </c>
      <c r="P62" s="69">
        <f t="shared" si="4"/>
        <v>123869.77666666667</v>
      </c>
      <c r="Q62" s="69">
        <f t="shared" si="4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 t="shared" ref="AB62:AI62" si="18">ROUND(SUM(AB46:AB61),5)</f>
        <v>0</v>
      </c>
      <c r="AC62" s="66">
        <f t="shared" si="18"/>
        <v>0</v>
      </c>
      <c r="AD62" s="66">
        <f t="shared" si="18"/>
        <v>0</v>
      </c>
      <c r="AE62" s="66">
        <f t="shared" si="18"/>
        <v>0</v>
      </c>
      <c r="AF62" s="66">
        <f t="shared" si="18"/>
        <v>0</v>
      </c>
      <c r="AG62" s="66">
        <f t="shared" si="18"/>
        <v>0</v>
      </c>
      <c r="AH62" s="66">
        <f t="shared" si="18"/>
        <v>0</v>
      </c>
      <c r="AI62" s="66">
        <f t="shared" si="18"/>
        <v>0</v>
      </c>
      <c r="AJ62" s="66">
        <f t="shared" ref="AJ62" si="19">ROUND(SUM(AJ46:AJ61),5)</f>
        <v>0</v>
      </c>
    </row>
    <row r="63" spans="1:36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6"/>
        <v>34181.74</v>
      </c>
      <c r="O63" s="66">
        <f t="shared" si="16"/>
        <v>66123.38</v>
      </c>
      <c r="P63" s="69">
        <f t="shared" si="4"/>
        <v>11393.913333333332</v>
      </c>
      <c r="Q63" s="69">
        <f t="shared" si="4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  <c r="AF63" s="66"/>
      <c r="AG63" s="66"/>
      <c r="AH63" s="66"/>
      <c r="AI63" s="66"/>
      <c r="AJ63" s="66"/>
    </row>
    <row r="64" spans="1:36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  <c r="AF64" s="66"/>
      <c r="AG64" s="66"/>
      <c r="AH64" s="66"/>
      <c r="AI64" s="66"/>
      <c r="AJ64" s="66"/>
    </row>
    <row r="65" spans="1:36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20">ROUND(H65+J65+L65,5)</f>
        <v>106817.3</v>
      </c>
      <c r="O65" s="66">
        <f t="shared" si="20"/>
        <v>56558</v>
      </c>
      <c r="P65" s="69">
        <f t="shared" si="4"/>
        <v>35605.76666666667</v>
      </c>
      <c r="Q65" s="69">
        <f t="shared" si="4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  <c r="AF65" s="66"/>
      <c r="AG65" s="66"/>
      <c r="AH65" s="66"/>
      <c r="AI65" s="66"/>
      <c r="AJ65" s="66"/>
    </row>
    <row r="66" spans="1:36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20"/>
        <v>63970.64</v>
      </c>
      <c r="O66" s="66">
        <f t="shared" si="20"/>
        <v>68284</v>
      </c>
      <c r="P66" s="69">
        <f t="shared" si="4"/>
        <v>21323.546666666665</v>
      </c>
      <c r="Q66" s="69">
        <f t="shared" si="4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  <c r="AF66" s="66"/>
      <c r="AG66" s="66"/>
      <c r="AH66" s="66"/>
      <c r="AI66" s="66"/>
      <c r="AJ66" s="66"/>
    </row>
    <row r="67" spans="1:36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20"/>
        <v>1794</v>
      </c>
      <c r="O67" s="66">
        <f t="shared" si="20"/>
        <v>15153</v>
      </c>
      <c r="P67" s="69">
        <f t="shared" si="4"/>
        <v>598</v>
      </c>
      <c r="Q67" s="69">
        <f t="shared" si="4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  <c r="AF67" s="66"/>
      <c r="AG67" s="66"/>
      <c r="AH67" s="66"/>
      <c r="AI67" s="66"/>
      <c r="AJ67" s="66"/>
    </row>
    <row r="68" spans="1:36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20"/>
        <v>22842.29</v>
      </c>
      <c r="O68" s="66">
        <f t="shared" si="20"/>
        <v>61166</v>
      </c>
      <c r="P68" s="69">
        <f t="shared" si="4"/>
        <v>7614.0966666666673</v>
      </c>
      <c r="Q68" s="69">
        <f t="shared" si="4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  <c r="AF68" s="66"/>
      <c r="AG68" s="66"/>
      <c r="AH68" s="66"/>
      <c r="AI68" s="66"/>
      <c r="AJ68" s="66"/>
    </row>
    <row r="69" spans="1:36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20"/>
        <v>9232</v>
      </c>
      <c r="O69" s="66">
        <f t="shared" si="20"/>
        <v>16972</v>
      </c>
      <c r="P69" s="69">
        <f t="shared" si="4"/>
        <v>3077.3333333333335</v>
      </c>
      <c r="Q69" s="69">
        <f t="shared" si="4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  <c r="AF69" s="66"/>
      <c r="AG69" s="66"/>
      <c r="AH69" s="66"/>
      <c r="AI69" s="66"/>
      <c r="AJ69" s="66"/>
    </row>
    <row r="70" spans="1:36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20"/>
        <v>11879.44</v>
      </c>
      <c r="O70" s="73">
        <f t="shared" si="20"/>
        <v>43386</v>
      </c>
      <c r="P70" s="74">
        <f t="shared" si="4"/>
        <v>3959.8133333333335</v>
      </c>
      <c r="Q70" s="74">
        <f t="shared" si="4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1:36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21">ROUND(SUM(H64:H70),5)</f>
        <v>53816.6</v>
      </c>
      <c r="I71" s="63">
        <f t="shared" si="21"/>
        <v>52052</v>
      </c>
      <c r="J71" s="64">
        <f t="shared" si="21"/>
        <v>74785.06</v>
      </c>
      <c r="K71" s="64">
        <f t="shared" si="21"/>
        <v>127356</v>
      </c>
      <c r="L71" s="65">
        <f t="shared" si="21"/>
        <v>87934.01</v>
      </c>
      <c r="M71" s="65">
        <f t="shared" si="21"/>
        <v>82111</v>
      </c>
      <c r="N71" s="66">
        <f t="shared" si="20"/>
        <v>216535.67</v>
      </c>
      <c r="O71" s="66">
        <f t="shared" si="20"/>
        <v>261519</v>
      </c>
      <c r="P71" s="69">
        <f t="shared" si="4"/>
        <v>72178.556666666671</v>
      </c>
      <c r="Q71" s="69">
        <f t="shared" si="4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 t="shared" ref="AB71:AI71" si="22">ROUND(SUM(AB64:AB70),5)</f>
        <v>0</v>
      </c>
      <c r="AC71" s="66">
        <f t="shared" si="22"/>
        <v>0</v>
      </c>
      <c r="AD71" s="66">
        <f t="shared" si="22"/>
        <v>0</v>
      </c>
      <c r="AE71" s="66">
        <f t="shared" si="22"/>
        <v>0</v>
      </c>
      <c r="AF71" s="66">
        <f t="shared" si="22"/>
        <v>0</v>
      </c>
      <c r="AG71" s="66">
        <f t="shared" si="22"/>
        <v>0</v>
      </c>
      <c r="AH71" s="66">
        <f t="shared" si="22"/>
        <v>0</v>
      </c>
      <c r="AI71" s="66">
        <f t="shared" si="22"/>
        <v>0</v>
      </c>
      <c r="AJ71" s="66">
        <f t="shared" ref="AJ71" si="23">ROUND(SUM(AJ64:AJ70),5)</f>
        <v>0</v>
      </c>
    </row>
    <row r="72" spans="1:36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  <c r="AF72" s="66"/>
      <c r="AG72" s="66"/>
      <c r="AH72" s="66"/>
      <c r="AI72" s="66"/>
      <c r="AJ72" s="66"/>
    </row>
    <row r="73" spans="1:36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24">ROUND(H73+J73+L73,5)</f>
        <v>5364.31</v>
      </c>
      <c r="O73" s="66">
        <f t="shared" si="24"/>
        <v>9909</v>
      </c>
      <c r="P73" s="69">
        <f t="shared" si="4"/>
        <v>1788.1033333333335</v>
      </c>
      <c r="Q73" s="69">
        <f t="shared" si="4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  <c r="AF73" s="66"/>
      <c r="AG73" s="66"/>
      <c r="AH73" s="66"/>
      <c r="AI73" s="66"/>
      <c r="AJ73" s="66"/>
    </row>
    <row r="74" spans="1:36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24"/>
        <v>46000.91</v>
      </c>
      <c r="O74" s="66">
        <f t="shared" si="24"/>
        <v>29903</v>
      </c>
      <c r="P74" s="69">
        <f t="shared" si="4"/>
        <v>15333.636666666667</v>
      </c>
      <c r="Q74" s="69">
        <f t="shared" si="4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  <c r="AF74" s="66"/>
      <c r="AG74" s="66"/>
      <c r="AH74" s="66"/>
      <c r="AI74" s="66"/>
      <c r="AJ74" s="66"/>
    </row>
    <row r="75" spans="1:36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24"/>
        <v>0</v>
      </c>
      <c r="O75" s="66">
        <f t="shared" si="24"/>
        <v>31248</v>
      </c>
      <c r="P75" s="69">
        <f t="shared" ref="P75:Q137" si="25">N75/3</f>
        <v>0</v>
      </c>
      <c r="Q75" s="69">
        <f t="shared" si="25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  <c r="AF75" s="66"/>
      <c r="AG75" s="66"/>
      <c r="AH75" s="66"/>
      <c r="AI75" s="66"/>
      <c r="AJ75" s="66"/>
    </row>
    <row r="76" spans="1:36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24"/>
        <v>29409.79</v>
      </c>
      <c r="O76" s="66">
        <f t="shared" si="24"/>
        <v>27007</v>
      </c>
      <c r="P76" s="69">
        <f t="shared" si="25"/>
        <v>9803.2633333333342</v>
      </c>
      <c r="Q76" s="69">
        <f t="shared" si="25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  <c r="AF76" s="66"/>
      <c r="AG76" s="66"/>
      <c r="AH76" s="66"/>
      <c r="AI76" s="66"/>
      <c r="AJ76" s="66"/>
    </row>
    <row r="77" spans="1:36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24"/>
        <v>3458.77</v>
      </c>
      <c r="O77" s="66">
        <f t="shared" si="24"/>
        <v>7965</v>
      </c>
      <c r="P77" s="69">
        <f t="shared" si="25"/>
        <v>1152.9233333333334</v>
      </c>
      <c r="Q77" s="69">
        <f t="shared" si="25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  <c r="AF77" s="66"/>
      <c r="AG77" s="66"/>
      <c r="AH77" s="66"/>
      <c r="AI77" s="66"/>
      <c r="AJ77" s="66"/>
    </row>
    <row r="78" spans="1:36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24"/>
        <v>21632.07</v>
      </c>
      <c r="O78" s="66">
        <f t="shared" si="24"/>
        <v>25676</v>
      </c>
      <c r="P78" s="69">
        <f t="shared" si="25"/>
        <v>7210.69</v>
      </c>
      <c r="Q78" s="69">
        <f t="shared" si="25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  <c r="AF78" s="66"/>
      <c r="AG78" s="66"/>
      <c r="AH78" s="66"/>
      <c r="AI78" s="66"/>
      <c r="AJ78" s="66"/>
    </row>
    <row r="79" spans="1:36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24"/>
        <v>966</v>
      </c>
      <c r="O79" s="66">
        <f t="shared" si="24"/>
        <v>3588</v>
      </c>
      <c r="P79" s="69">
        <f t="shared" si="25"/>
        <v>322</v>
      </c>
      <c r="Q79" s="69">
        <f t="shared" si="25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  <c r="AF79" s="66"/>
      <c r="AG79" s="66"/>
      <c r="AH79" s="66"/>
      <c r="AI79" s="66"/>
      <c r="AJ79" s="66"/>
    </row>
    <row r="80" spans="1:36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24"/>
        <v>0</v>
      </c>
      <c r="O80" s="66">
        <f t="shared" si="24"/>
        <v>3901</v>
      </c>
      <c r="P80" s="69">
        <f t="shared" si="25"/>
        <v>0</v>
      </c>
      <c r="Q80" s="69">
        <f t="shared" si="25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  <c r="AF80" s="66"/>
      <c r="AG80" s="66"/>
      <c r="AH80" s="66"/>
      <c r="AI80" s="66"/>
      <c r="AJ80" s="66"/>
    </row>
    <row r="81" spans="1:36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25"/>
        <v>0</v>
      </c>
      <c r="Q81" s="69">
        <f t="shared" si="25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  <c r="AF81" s="66"/>
      <c r="AG81" s="66"/>
      <c r="AH81" s="66"/>
      <c r="AI81" s="66"/>
      <c r="AJ81" s="66"/>
    </row>
    <row r="82" spans="1:36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6">ROUND(H82+J82+L82,5)</f>
        <v>0</v>
      </c>
      <c r="O82" s="66">
        <f t="shared" si="26"/>
        <v>0</v>
      </c>
      <c r="P82" s="69">
        <f t="shared" si="25"/>
        <v>0</v>
      </c>
      <c r="Q82" s="69">
        <f t="shared" si="25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  <c r="AF82" s="66"/>
      <c r="AG82" s="66"/>
      <c r="AH82" s="66"/>
      <c r="AI82" s="66"/>
      <c r="AJ82" s="66"/>
    </row>
    <row r="83" spans="1:36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6"/>
        <v>0</v>
      </c>
      <c r="O83" s="73">
        <f t="shared" si="26"/>
        <v>0</v>
      </c>
      <c r="P83" s="74">
        <f t="shared" si="25"/>
        <v>0</v>
      </c>
      <c r="Q83" s="74">
        <f t="shared" si="25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1:36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7">ROUND(SUM(H72:H83),5)</f>
        <v>39159.980000000003</v>
      </c>
      <c r="I84" s="63">
        <f t="shared" si="27"/>
        <v>39468</v>
      </c>
      <c r="J84" s="64">
        <f t="shared" si="27"/>
        <v>32291.99</v>
      </c>
      <c r="K84" s="64">
        <f t="shared" si="27"/>
        <v>31248</v>
      </c>
      <c r="L84" s="65">
        <f t="shared" si="27"/>
        <v>35379.879999999997</v>
      </c>
      <c r="M84" s="65">
        <f t="shared" si="27"/>
        <v>68481</v>
      </c>
      <c r="N84" s="66">
        <f t="shared" si="26"/>
        <v>106831.85</v>
      </c>
      <c r="O84" s="66">
        <f t="shared" si="26"/>
        <v>139197</v>
      </c>
      <c r="P84" s="69">
        <f t="shared" si="25"/>
        <v>35610.616666666669</v>
      </c>
      <c r="Q84" s="69">
        <f t="shared" si="25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 t="shared" ref="AB84:AI84" si="28">ROUND(SUM(AB72:AB83),5)</f>
        <v>0</v>
      </c>
      <c r="AC84" s="66">
        <f t="shared" si="28"/>
        <v>0</v>
      </c>
      <c r="AD84" s="66">
        <f t="shared" si="28"/>
        <v>0</v>
      </c>
      <c r="AE84" s="66">
        <f t="shared" si="28"/>
        <v>0</v>
      </c>
      <c r="AF84" s="66">
        <f t="shared" si="28"/>
        <v>0</v>
      </c>
      <c r="AG84" s="66">
        <f t="shared" si="28"/>
        <v>0</v>
      </c>
      <c r="AH84" s="66">
        <f t="shared" si="28"/>
        <v>0</v>
      </c>
      <c r="AI84" s="66">
        <f t="shared" si="28"/>
        <v>0</v>
      </c>
      <c r="AJ84" s="66">
        <f t="shared" ref="AJ84" si="29">ROUND(SUM(AJ72:AJ83),5)</f>
        <v>0</v>
      </c>
    </row>
    <row r="85" spans="1:36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  <c r="AF85" s="66"/>
      <c r="AG85" s="66"/>
      <c r="AH85" s="66"/>
      <c r="AI85" s="66"/>
      <c r="AJ85" s="66"/>
    </row>
    <row r="86" spans="1:36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30">ROUND(H86+J86+L86,5)</f>
        <v>41055.360000000001</v>
      </c>
      <c r="O86" s="66">
        <f t="shared" si="30"/>
        <v>61593</v>
      </c>
      <c r="P86" s="69">
        <f t="shared" si="25"/>
        <v>13685.12</v>
      </c>
      <c r="Q86" s="69">
        <f t="shared" si="25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  <c r="AF86" s="66"/>
      <c r="AG86" s="66"/>
      <c r="AH86" s="66"/>
      <c r="AI86" s="66"/>
      <c r="AJ86" s="66"/>
    </row>
    <row r="87" spans="1:36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30"/>
        <v>4557.07</v>
      </c>
      <c r="O87" s="66">
        <f t="shared" si="30"/>
        <v>5852</v>
      </c>
      <c r="P87" s="69">
        <f t="shared" si="25"/>
        <v>1519.0233333333333</v>
      </c>
      <c r="Q87" s="69">
        <f t="shared" si="25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  <c r="AF87" s="66"/>
      <c r="AG87" s="66"/>
      <c r="AH87" s="66"/>
      <c r="AI87" s="66"/>
      <c r="AJ87" s="66"/>
    </row>
    <row r="88" spans="1:36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30"/>
        <v>9699</v>
      </c>
      <c r="O88" s="66">
        <f t="shared" si="30"/>
        <v>58996</v>
      </c>
      <c r="P88" s="69">
        <f t="shared" si="25"/>
        <v>3233</v>
      </c>
      <c r="Q88" s="69">
        <f t="shared" si="25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  <c r="AF88" s="66"/>
      <c r="AG88" s="66"/>
      <c r="AH88" s="66"/>
      <c r="AI88" s="66"/>
      <c r="AJ88" s="66"/>
    </row>
    <row r="89" spans="1:36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30"/>
        <v>4967.9799999999996</v>
      </c>
      <c r="O89" s="73">
        <f t="shared" si="30"/>
        <v>15466</v>
      </c>
      <c r="P89" s="74">
        <f t="shared" si="25"/>
        <v>1655.9933333333331</v>
      </c>
      <c r="Q89" s="74">
        <f t="shared" si="25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1:36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31">ROUND(SUM(H85:H89),5)</f>
        <v>20271.38</v>
      </c>
      <c r="I90" s="63">
        <f t="shared" si="31"/>
        <v>42055</v>
      </c>
      <c r="J90" s="64">
        <f t="shared" si="31"/>
        <v>14973.03</v>
      </c>
      <c r="K90" s="64">
        <f t="shared" si="31"/>
        <v>58944</v>
      </c>
      <c r="L90" s="65">
        <f t="shared" si="31"/>
        <v>25035</v>
      </c>
      <c r="M90" s="65">
        <f t="shared" si="31"/>
        <v>40908</v>
      </c>
      <c r="N90" s="66">
        <f t="shared" si="30"/>
        <v>60279.41</v>
      </c>
      <c r="O90" s="66">
        <f t="shared" si="30"/>
        <v>141907</v>
      </c>
      <c r="P90" s="69">
        <f t="shared" si="25"/>
        <v>20093.136666666669</v>
      </c>
      <c r="Q90" s="69">
        <f t="shared" si="25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 t="shared" ref="AB90:AI90" si="32">ROUND(SUM(AB85:AB89),5)</f>
        <v>0</v>
      </c>
      <c r="AC90" s="66">
        <f t="shared" si="32"/>
        <v>0</v>
      </c>
      <c r="AD90" s="66">
        <f t="shared" si="32"/>
        <v>0</v>
      </c>
      <c r="AE90" s="66">
        <f t="shared" si="32"/>
        <v>0</v>
      </c>
      <c r="AF90" s="66">
        <f t="shared" si="32"/>
        <v>0</v>
      </c>
      <c r="AG90" s="66">
        <f t="shared" si="32"/>
        <v>0</v>
      </c>
      <c r="AH90" s="66">
        <f t="shared" si="32"/>
        <v>0</v>
      </c>
      <c r="AI90" s="66">
        <f t="shared" si="32"/>
        <v>0</v>
      </c>
      <c r="AJ90" s="66">
        <f t="shared" ref="AJ90" si="33">ROUND(SUM(AJ85:AJ89),5)</f>
        <v>0</v>
      </c>
    </row>
    <row r="91" spans="1:36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  <c r="AF91" s="66"/>
      <c r="AG91" s="66"/>
      <c r="AH91" s="66"/>
      <c r="AI91" s="66"/>
      <c r="AJ91" s="66"/>
    </row>
    <row r="92" spans="1:36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34">ROUND(H92+J92+L92,5)</f>
        <v>108862.85</v>
      </c>
      <c r="O92" s="66">
        <f t="shared" si="34"/>
        <v>69579</v>
      </c>
      <c r="P92" s="69">
        <f t="shared" si="25"/>
        <v>36287.616666666669</v>
      </c>
      <c r="Q92" s="69">
        <f t="shared" si="25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  <c r="AF92" s="66"/>
      <c r="AG92" s="66"/>
      <c r="AH92" s="66"/>
      <c r="AI92" s="66"/>
      <c r="AJ92" s="66"/>
    </row>
    <row r="93" spans="1:36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34"/>
        <v>14518.12</v>
      </c>
      <c r="O93" s="66">
        <f t="shared" si="34"/>
        <v>19733</v>
      </c>
      <c r="P93" s="69">
        <f t="shared" si="25"/>
        <v>4839.3733333333339</v>
      </c>
      <c r="Q93" s="69">
        <f t="shared" si="25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  <c r="AF93" s="66"/>
      <c r="AG93" s="66"/>
      <c r="AH93" s="66"/>
      <c r="AI93" s="66"/>
      <c r="AJ93" s="66"/>
    </row>
    <row r="94" spans="1:36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34"/>
        <v>43484.49</v>
      </c>
      <c r="O94" s="66">
        <f t="shared" si="34"/>
        <v>62432</v>
      </c>
      <c r="P94" s="69">
        <f t="shared" si="25"/>
        <v>14494.83</v>
      </c>
      <c r="Q94" s="69">
        <f t="shared" si="25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  <c r="AF94" s="66"/>
      <c r="AG94" s="66"/>
      <c r="AH94" s="66"/>
      <c r="AI94" s="66"/>
      <c r="AJ94" s="66"/>
    </row>
    <row r="95" spans="1:36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34"/>
        <v>4211.0600000000004</v>
      </c>
      <c r="O95" s="66">
        <f t="shared" si="34"/>
        <v>13454</v>
      </c>
      <c r="P95" s="69">
        <f t="shared" si="25"/>
        <v>1403.6866666666667</v>
      </c>
      <c r="Q95" s="69">
        <f t="shared" si="25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  <c r="AF95" s="66"/>
      <c r="AG95" s="66"/>
      <c r="AH95" s="66"/>
      <c r="AI95" s="66"/>
      <c r="AJ95" s="66"/>
    </row>
    <row r="96" spans="1:36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34"/>
        <v>49443.53</v>
      </c>
      <c r="O96" s="66">
        <f t="shared" si="34"/>
        <v>34119</v>
      </c>
      <c r="P96" s="69">
        <f t="shared" si="25"/>
        <v>16481.176666666666</v>
      </c>
      <c r="Q96" s="69">
        <f t="shared" si="25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  <c r="AF96" s="66"/>
      <c r="AG96" s="66"/>
      <c r="AH96" s="66"/>
      <c r="AI96" s="66"/>
      <c r="AJ96" s="66"/>
    </row>
    <row r="97" spans="1:36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34"/>
        <v>5328.03</v>
      </c>
      <c r="O97" s="66">
        <f t="shared" si="34"/>
        <v>7526</v>
      </c>
      <c r="P97" s="69">
        <f t="shared" si="25"/>
        <v>1776.01</v>
      </c>
      <c r="Q97" s="69">
        <f t="shared" si="25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  <c r="AF97" s="66"/>
      <c r="AG97" s="66"/>
      <c r="AH97" s="66"/>
      <c r="AI97" s="66"/>
      <c r="AJ97" s="66"/>
    </row>
    <row r="98" spans="1:36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34"/>
        <v>63633.29</v>
      </c>
      <c r="O98" s="66">
        <f t="shared" si="34"/>
        <v>69145</v>
      </c>
      <c r="P98" s="69">
        <f t="shared" si="25"/>
        <v>21211.096666666668</v>
      </c>
      <c r="Q98" s="69">
        <f t="shared" si="25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  <c r="AF98" s="66"/>
      <c r="AG98" s="66"/>
      <c r="AH98" s="66"/>
      <c r="AI98" s="66"/>
      <c r="AJ98" s="66"/>
    </row>
    <row r="99" spans="1:36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34"/>
        <v>7554.05</v>
      </c>
      <c r="O99" s="66">
        <f t="shared" si="34"/>
        <v>16058</v>
      </c>
      <c r="P99" s="69">
        <f t="shared" si="25"/>
        <v>2518.0166666666669</v>
      </c>
      <c r="Q99" s="69">
        <f t="shared" si="25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  <c r="AF99" s="66"/>
      <c r="AG99" s="66"/>
      <c r="AH99" s="66"/>
      <c r="AI99" s="66"/>
      <c r="AJ99" s="66"/>
    </row>
    <row r="100" spans="1:36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34"/>
        <v>5514</v>
      </c>
      <c r="O100" s="66">
        <f t="shared" si="34"/>
        <v>12319</v>
      </c>
      <c r="P100" s="69">
        <f t="shared" si="25"/>
        <v>1838</v>
      </c>
      <c r="Q100" s="69">
        <f t="shared" si="25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  <c r="AF100" s="66"/>
      <c r="AG100" s="66"/>
      <c r="AH100" s="66"/>
      <c r="AI100" s="66"/>
      <c r="AJ100" s="66"/>
    </row>
    <row r="101" spans="1:36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1:36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35">ROUND(SUM(H91:H100),5)</f>
        <v>81944.17</v>
      </c>
      <c r="I102" s="63">
        <f t="shared" si="35"/>
        <v>70005</v>
      </c>
      <c r="J102" s="64">
        <f t="shared" si="35"/>
        <v>112983.21</v>
      </c>
      <c r="K102" s="64">
        <f t="shared" si="35"/>
        <v>122376</v>
      </c>
      <c r="L102" s="65">
        <f t="shared" si="35"/>
        <v>107622.04</v>
      </c>
      <c r="M102" s="65">
        <f t="shared" si="35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25"/>
        <v>100849.80666666666</v>
      </c>
      <c r="Q102" s="69">
        <f t="shared" si="25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 t="shared" ref="AB102:AI102" si="36">ROUND(SUM(AB91:AB101),5)</f>
        <v>0</v>
      </c>
      <c r="AC102" s="66">
        <f t="shared" si="36"/>
        <v>0</v>
      </c>
      <c r="AD102" s="66">
        <f t="shared" si="36"/>
        <v>0</v>
      </c>
      <c r="AE102" s="66">
        <f t="shared" si="36"/>
        <v>0</v>
      </c>
      <c r="AF102" s="66">
        <f t="shared" si="36"/>
        <v>0</v>
      </c>
      <c r="AG102" s="66">
        <f t="shared" si="36"/>
        <v>0</v>
      </c>
      <c r="AH102" s="66">
        <f t="shared" si="36"/>
        <v>0</v>
      </c>
      <c r="AI102" s="66">
        <f t="shared" si="36"/>
        <v>0</v>
      </c>
      <c r="AJ102" s="66">
        <f t="shared" ref="AJ102" si="37">ROUND(SUM(AJ91:AJ101),5)</f>
        <v>0</v>
      </c>
    </row>
    <row r="103" spans="1:36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25"/>
        <v>0</v>
      </c>
      <c r="Q103" s="69">
        <f t="shared" si="25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  <c r="AF103" s="66"/>
      <c r="AG103" s="66"/>
      <c r="AH103" s="66"/>
      <c r="AI103" s="66"/>
      <c r="AJ103" s="66"/>
    </row>
    <row r="104" spans="1:36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38">ROUND(H104+J104+L104,5)</f>
        <v>74439.240000000005</v>
      </c>
      <c r="O104" s="66">
        <f t="shared" si="38"/>
        <v>63264</v>
      </c>
      <c r="P104" s="69">
        <f t="shared" si="25"/>
        <v>24813.08</v>
      </c>
      <c r="Q104" s="69">
        <f t="shared" si="25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  <c r="AF104" s="66"/>
      <c r="AG104" s="66"/>
      <c r="AH104" s="66"/>
      <c r="AI104" s="66"/>
      <c r="AJ104" s="66"/>
    </row>
    <row r="105" spans="1:36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38"/>
        <v>13570.83</v>
      </c>
      <c r="O105" s="66">
        <f t="shared" si="38"/>
        <v>26229</v>
      </c>
      <c r="P105" s="69">
        <f t="shared" si="25"/>
        <v>4523.6099999999997</v>
      </c>
      <c r="Q105" s="69">
        <f t="shared" si="25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  <c r="AF105" s="66"/>
      <c r="AG105" s="66"/>
      <c r="AH105" s="66"/>
      <c r="AI105" s="66"/>
      <c r="AJ105" s="66"/>
    </row>
    <row r="106" spans="1:36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38"/>
        <v>31132.720000000001</v>
      </c>
      <c r="O106" s="66">
        <f t="shared" si="38"/>
        <v>23118</v>
      </c>
      <c r="P106" s="69">
        <f t="shared" si="25"/>
        <v>10377.573333333334</v>
      </c>
      <c r="Q106" s="69">
        <f t="shared" si="25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  <c r="AF106" s="66"/>
      <c r="AG106" s="66"/>
      <c r="AH106" s="66"/>
      <c r="AI106" s="66"/>
      <c r="AJ106" s="66"/>
    </row>
    <row r="107" spans="1:36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38"/>
        <v>5105.97</v>
      </c>
      <c r="O107" s="66">
        <f t="shared" si="38"/>
        <v>7489</v>
      </c>
      <c r="P107" s="69">
        <f t="shared" si="25"/>
        <v>1701.99</v>
      </c>
      <c r="Q107" s="69">
        <f t="shared" si="25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  <c r="AF107" s="66"/>
      <c r="AG107" s="66"/>
      <c r="AH107" s="66"/>
      <c r="AI107" s="66"/>
      <c r="AJ107" s="66"/>
    </row>
    <row r="108" spans="1:36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38"/>
        <v>60762.3</v>
      </c>
      <c r="O108" s="66">
        <f t="shared" si="38"/>
        <v>41781</v>
      </c>
      <c r="P108" s="69">
        <f t="shared" si="25"/>
        <v>20254.100000000002</v>
      </c>
      <c r="Q108" s="69">
        <f t="shared" si="25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  <c r="AF108" s="66"/>
      <c r="AG108" s="66"/>
      <c r="AH108" s="66"/>
      <c r="AI108" s="66"/>
      <c r="AJ108" s="66"/>
    </row>
    <row r="109" spans="1:36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38"/>
        <v>20355.89</v>
      </c>
      <c r="O109" s="66">
        <f t="shared" si="38"/>
        <v>5382</v>
      </c>
      <c r="P109" s="69">
        <f t="shared" si="25"/>
        <v>6785.2966666666662</v>
      </c>
      <c r="Q109" s="69">
        <f t="shared" si="25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  <c r="AF109" s="66"/>
      <c r="AG109" s="66"/>
      <c r="AH109" s="66"/>
      <c r="AI109" s="66"/>
      <c r="AJ109" s="66"/>
    </row>
    <row r="110" spans="1:36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38"/>
        <v>3399.97</v>
      </c>
      <c r="O110" s="66">
        <f t="shared" si="38"/>
        <v>0</v>
      </c>
      <c r="P110" s="69">
        <f t="shared" si="25"/>
        <v>1133.3233333333333</v>
      </c>
      <c r="Q110" s="69">
        <f t="shared" si="25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  <c r="AF110" s="66"/>
      <c r="AG110" s="66"/>
      <c r="AH110" s="66"/>
      <c r="AI110" s="66"/>
      <c r="AJ110" s="66"/>
    </row>
    <row r="111" spans="1:36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39">ROUND(SUM(H103:H110),5)</f>
        <v>59018.03</v>
      </c>
      <c r="I111" s="75">
        <f t="shared" si="39"/>
        <v>31525</v>
      </c>
      <c r="J111" s="76">
        <f t="shared" si="39"/>
        <v>66518.98</v>
      </c>
      <c r="K111" s="76">
        <f t="shared" si="39"/>
        <v>44976</v>
      </c>
      <c r="L111" s="77">
        <f t="shared" si="39"/>
        <v>83229.91</v>
      </c>
      <c r="M111" s="77">
        <f t="shared" si="39"/>
        <v>90762</v>
      </c>
      <c r="N111" s="78">
        <f t="shared" si="38"/>
        <v>208766.92</v>
      </c>
      <c r="O111" s="78">
        <f t="shared" si="38"/>
        <v>167263</v>
      </c>
      <c r="P111" s="79">
        <f t="shared" si="25"/>
        <v>69588.973333333342</v>
      </c>
      <c r="Q111" s="79">
        <f t="shared" si="25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 t="shared" ref="AB111:AI111" si="40">ROUND(SUM(AB103:AB110),5)</f>
        <v>0</v>
      </c>
      <c r="AC111" s="78">
        <f t="shared" si="40"/>
        <v>0</v>
      </c>
      <c r="AD111" s="78">
        <f t="shared" si="40"/>
        <v>0</v>
      </c>
      <c r="AE111" s="78">
        <f t="shared" si="40"/>
        <v>0</v>
      </c>
      <c r="AF111" s="78">
        <f t="shared" si="40"/>
        <v>0</v>
      </c>
      <c r="AG111" s="78">
        <f t="shared" si="40"/>
        <v>0</v>
      </c>
      <c r="AH111" s="78">
        <f t="shared" si="40"/>
        <v>0</v>
      </c>
      <c r="AI111" s="78">
        <f t="shared" si="40"/>
        <v>0</v>
      </c>
      <c r="AJ111" s="78">
        <f t="shared" ref="AJ111" si="41">ROUND(SUM(AJ103:AJ110),5)</f>
        <v>0</v>
      </c>
    </row>
    <row r="112" spans="1:36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25"/>
        <v>0</v>
      </c>
      <c r="Q112" s="69">
        <f t="shared" si="25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  <c r="AF112" s="66"/>
      <c r="AG112" s="66"/>
      <c r="AH112" s="66"/>
      <c r="AI112" s="66"/>
      <c r="AJ112" s="66"/>
    </row>
    <row r="113" spans="1:38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42">ROUND(H113+J113+L113,5)</f>
        <v>453828.9</v>
      </c>
      <c r="O113" s="66">
        <f t="shared" si="42"/>
        <v>406218</v>
      </c>
      <c r="P113" s="69">
        <f t="shared" si="25"/>
        <v>151276.30000000002</v>
      </c>
      <c r="Q113" s="69">
        <f t="shared" si="25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  <c r="AH113" s="66">
        <v>0</v>
      </c>
      <c r="AI113" s="66">
        <v>0</v>
      </c>
      <c r="AJ113" s="66">
        <v>0</v>
      </c>
    </row>
    <row r="114" spans="1:38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42"/>
        <v>0</v>
      </c>
      <c r="O114" s="73">
        <f t="shared" si="42"/>
        <v>0</v>
      </c>
      <c r="P114" s="74">
        <f t="shared" si="25"/>
        <v>0</v>
      </c>
      <c r="Q114" s="74">
        <f t="shared" si="25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>
        <v>0</v>
      </c>
      <c r="AI114" s="66">
        <v>0</v>
      </c>
      <c r="AJ114" s="66">
        <v>0</v>
      </c>
    </row>
    <row r="115" spans="1:38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43">ROUND(SUM(H112:H114),5)</f>
        <v>57491.4</v>
      </c>
      <c r="I115" s="63">
        <f t="shared" si="43"/>
        <v>406218</v>
      </c>
      <c r="J115" s="64">
        <f t="shared" si="43"/>
        <v>150471.5</v>
      </c>
      <c r="K115" s="64">
        <f t="shared" si="43"/>
        <v>0</v>
      </c>
      <c r="L115" s="65">
        <f t="shared" si="43"/>
        <v>245866</v>
      </c>
      <c r="M115" s="65">
        <f t="shared" si="43"/>
        <v>0</v>
      </c>
      <c r="N115" s="66">
        <f t="shared" si="42"/>
        <v>453828.9</v>
      </c>
      <c r="O115" s="66">
        <f t="shared" si="42"/>
        <v>406218</v>
      </c>
      <c r="P115" s="69">
        <f t="shared" si="25"/>
        <v>151276.30000000002</v>
      </c>
      <c r="Q115" s="69">
        <f t="shared" si="25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  <c r="AJ115" s="73">
        <v>0</v>
      </c>
    </row>
    <row r="116" spans="1:38" x14ac:dyDescent="0.35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44">ROUND(H8+H15+H39+H45+SUM(H62:H63)+H71+H84+H90+H102+H111+SUM(H115:H115),5)</f>
        <v>760409.73</v>
      </c>
      <c r="I116" s="75">
        <f t="shared" si="44"/>
        <v>912984</v>
      </c>
      <c r="J116" s="76">
        <f t="shared" si="44"/>
        <v>855809.22</v>
      </c>
      <c r="K116" s="76">
        <f t="shared" si="44"/>
        <v>904615.38</v>
      </c>
      <c r="L116" s="77">
        <f t="shared" si="44"/>
        <v>1036241.61</v>
      </c>
      <c r="M116" s="77">
        <f t="shared" si="44"/>
        <v>926829</v>
      </c>
      <c r="N116" s="78">
        <f t="shared" si="42"/>
        <v>2652460.56</v>
      </c>
      <c r="O116" s="78">
        <f t="shared" si="42"/>
        <v>2744428.38</v>
      </c>
      <c r="P116" s="79">
        <f t="shared" si="25"/>
        <v>884153.52</v>
      </c>
      <c r="Q116" s="79">
        <f t="shared" si="25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 t="shared" ref="AB116:AF116" si="45">ROUND(AB8+AB15+AB39+AB45+SUM(AB62:AB63)+AB71+AB84+AB90+AB102+AB111+SUM(AB115:AB115),5)</f>
        <v>960784.8</v>
      </c>
      <c r="AC116" s="80">
        <f t="shared" si="45"/>
        <v>960784.8</v>
      </c>
      <c r="AD116" s="80">
        <f t="shared" si="45"/>
        <v>1026054.2</v>
      </c>
      <c r="AE116" s="80">
        <f t="shared" si="45"/>
        <v>1026054.2</v>
      </c>
      <c r="AF116" s="80">
        <f t="shared" si="45"/>
        <v>1026054.2</v>
      </c>
      <c r="AG116" s="80">
        <f>ROUND(AG8+AG15+AG39+AG45+SUM(AG62:AG63)+AG71+AG84+AG90+AG102+AG111+SUM(AG115:AG115),0)</f>
        <v>1026054</v>
      </c>
      <c r="AH116" s="80">
        <f>ROUND(AH8+AH15+AH39+AH45+SUM(AH62:AH63)+AH71+AH84+AH90+AH102+AH111+SUM(AH115:AH115),0)+20000</f>
        <v>1046054</v>
      </c>
      <c r="AI116" s="80">
        <f>ROUND(AI8+AI15+AI39+AI45+SUM(AI62:AI63)+AI71+AI84+AI90+AI102+AI111+SUM(AI115:AI115),0)+20000</f>
        <v>1046054</v>
      </c>
      <c r="AJ116" s="80">
        <f>ROUND(AJ8+AJ15+AJ39+AJ45+SUM(AJ62:AJ63)+AJ71+AJ84+AJ90+AJ102+AJ111+SUM(AJ115:AJ115),0)+20000</f>
        <v>1046054</v>
      </c>
      <c r="AK116" s="244">
        <f>15*350</f>
        <v>5250</v>
      </c>
      <c r="AL116" s="226" t="s">
        <v>971</v>
      </c>
    </row>
    <row r="117" spans="1:38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25"/>
        <v>0</v>
      </c>
      <c r="Q117" s="69">
        <f t="shared" si="25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  <c r="AF117" s="66"/>
      <c r="AG117" s="66"/>
      <c r="AH117" s="66"/>
      <c r="AI117" s="66"/>
      <c r="AJ117" s="66"/>
      <c r="AL117" s="221"/>
    </row>
    <row r="118" spans="1:38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25"/>
        <v>0</v>
      </c>
      <c r="Q118" s="69">
        <f t="shared" si="25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  <c r="AG118" s="66">
        <v>1108895</v>
      </c>
      <c r="AH118" s="66">
        <v>1108895</v>
      </c>
      <c r="AI118" s="66">
        <v>1108895</v>
      </c>
      <c r="AJ118" s="66">
        <v>1108895</v>
      </c>
      <c r="AL118" s="221"/>
    </row>
    <row r="119" spans="1:38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46">ROUND(H119+J119+L119,5)</f>
        <v>488400</v>
      </c>
      <c r="O119" s="66">
        <f t="shared" si="46"/>
        <v>485585</v>
      </c>
      <c r="P119" s="69">
        <f t="shared" si="25"/>
        <v>162800</v>
      </c>
      <c r="Q119" s="69">
        <f t="shared" si="25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  <c r="AF119" s="66"/>
      <c r="AG119" s="66"/>
      <c r="AH119" s="66"/>
      <c r="AI119" s="66"/>
      <c r="AJ119" s="66"/>
      <c r="AL119" s="221"/>
    </row>
    <row r="120" spans="1:38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46"/>
        <v>399075</v>
      </c>
      <c r="O120" s="66">
        <f t="shared" si="46"/>
        <v>126010</v>
      </c>
      <c r="P120" s="69">
        <f t="shared" si="25"/>
        <v>133025</v>
      </c>
      <c r="Q120" s="69">
        <f t="shared" si="25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  <c r="AF120" s="66"/>
      <c r="AG120" s="66"/>
      <c r="AH120" s="66"/>
      <c r="AI120" s="66"/>
      <c r="AJ120" s="66"/>
      <c r="AL120" s="221"/>
    </row>
    <row r="121" spans="1:38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46"/>
        <v>265</v>
      </c>
      <c r="O121" s="66">
        <f t="shared" si="46"/>
        <v>0</v>
      </c>
      <c r="P121" s="69">
        <f t="shared" si="25"/>
        <v>88.333333333333329</v>
      </c>
      <c r="Q121" s="69">
        <f t="shared" si="25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  <c r="AF121" s="66"/>
      <c r="AG121" s="66"/>
      <c r="AH121" s="66"/>
      <c r="AI121" s="66"/>
      <c r="AJ121" s="66"/>
      <c r="AL121" s="221"/>
    </row>
    <row r="122" spans="1:38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46"/>
        <v>265</v>
      </c>
      <c r="O122" s="66">
        <f t="shared" si="46"/>
        <v>91390</v>
      </c>
      <c r="P122" s="69">
        <f t="shared" si="25"/>
        <v>88.333333333333329</v>
      </c>
      <c r="Q122" s="69">
        <f t="shared" si="25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  <c r="AF122" s="66"/>
      <c r="AG122" s="66"/>
      <c r="AH122" s="66"/>
      <c r="AI122" s="66"/>
      <c r="AJ122" s="66"/>
      <c r="AL122" s="221"/>
    </row>
    <row r="123" spans="1:38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46"/>
        <v>98830</v>
      </c>
      <c r="O123" s="66">
        <f t="shared" si="46"/>
        <v>125165</v>
      </c>
      <c r="P123" s="69">
        <f t="shared" si="25"/>
        <v>32943.333333333336</v>
      </c>
      <c r="Q123" s="69">
        <f t="shared" si="25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  <c r="AF123" s="66"/>
      <c r="AG123" s="66"/>
      <c r="AH123" s="66"/>
      <c r="AI123" s="66"/>
      <c r="AJ123" s="66"/>
      <c r="AL123" s="221"/>
    </row>
    <row r="124" spans="1:38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47">ROUND(SUM(H118:H123),5)</f>
        <v>322815</v>
      </c>
      <c r="I124" s="75">
        <f t="shared" si="47"/>
        <v>280085</v>
      </c>
      <c r="J124" s="76">
        <f t="shared" si="47"/>
        <v>327395</v>
      </c>
      <c r="K124" s="76">
        <f t="shared" si="47"/>
        <v>231075</v>
      </c>
      <c r="L124" s="77">
        <f t="shared" si="47"/>
        <v>336625</v>
      </c>
      <c r="M124" s="77">
        <f t="shared" si="47"/>
        <v>316990</v>
      </c>
      <c r="N124" s="78">
        <f t="shared" si="46"/>
        <v>986835</v>
      </c>
      <c r="O124" s="78">
        <f t="shared" si="46"/>
        <v>828150</v>
      </c>
      <c r="P124" s="79">
        <f t="shared" si="25"/>
        <v>328945</v>
      </c>
      <c r="Q124" s="79">
        <f t="shared" si="25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 t="shared" ref="AB124:AI124" si="48">ROUND(SUM(AB118:AB123),5)</f>
        <v>1043950</v>
      </c>
      <c r="AC124" s="78">
        <f t="shared" si="48"/>
        <v>1043950</v>
      </c>
      <c r="AD124" s="78">
        <f t="shared" si="48"/>
        <v>1043950</v>
      </c>
      <c r="AE124" s="78">
        <f t="shared" si="48"/>
        <v>1043950</v>
      </c>
      <c r="AF124" s="78">
        <f t="shared" si="48"/>
        <v>1069055</v>
      </c>
      <c r="AG124" s="78">
        <f t="shared" si="48"/>
        <v>1108895</v>
      </c>
      <c r="AH124" s="78">
        <f t="shared" si="48"/>
        <v>1108895</v>
      </c>
      <c r="AI124" s="78">
        <f t="shared" si="48"/>
        <v>1108895</v>
      </c>
      <c r="AJ124" s="78">
        <f t="shared" ref="AJ124" si="49">ROUND(SUM(AJ118:AJ123),5)</f>
        <v>1108895</v>
      </c>
      <c r="AL124" s="221"/>
    </row>
    <row r="125" spans="1:38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25"/>
        <v>0</v>
      </c>
      <c r="Q125" s="69">
        <f t="shared" si="25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  <c r="AF125" s="66"/>
      <c r="AG125" s="66"/>
      <c r="AH125" s="66"/>
      <c r="AI125" s="66"/>
      <c r="AJ125" s="66"/>
      <c r="AL125" s="221"/>
    </row>
    <row r="126" spans="1:38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50">ROUND(H126+J126+L126,5)</f>
        <v>294615</v>
      </c>
      <c r="O126" s="66">
        <f t="shared" si="50"/>
        <v>236035</v>
      </c>
      <c r="P126" s="69">
        <f t="shared" si="25"/>
        <v>98205</v>
      </c>
      <c r="Q126" s="69">
        <f t="shared" si="25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  <c r="AF126" s="66"/>
      <c r="AG126" s="66"/>
      <c r="AH126" s="66"/>
      <c r="AI126" s="66"/>
      <c r="AJ126" s="66"/>
      <c r="AL126" s="221"/>
    </row>
    <row r="127" spans="1:38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50"/>
        <v>96940</v>
      </c>
      <c r="O127" s="66">
        <f t="shared" si="50"/>
        <v>135795</v>
      </c>
      <c r="P127" s="69">
        <f t="shared" si="25"/>
        <v>32313.333333333332</v>
      </c>
      <c r="Q127" s="69">
        <f t="shared" si="25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  <c r="AF127" s="66"/>
      <c r="AG127" s="66"/>
      <c r="AH127" s="66"/>
      <c r="AI127" s="66"/>
      <c r="AJ127" s="66"/>
      <c r="AL127" s="221"/>
    </row>
    <row r="128" spans="1:38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50"/>
        <v>69790</v>
      </c>
      <c r="O128" s="66">
        <f t="shared" si="50"/>
        <v>111720</v>
      </c>
      <c r="P128" s="69">
        <f t="shared" si="25"/>
        <v>23263.333333333332</v>
      </c>
      <c r="Q128" s="69">
        <f t="shared" si="25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  <c r="AF128" s="66"/>
      <c r="AG128" s="66"/>
      <c r="AH128" s="66"/>
      <c r="AI128" s="66"/>
      <c r="AJ128" s="66"/>
      <c r="AL128" s="221"/>
    </row>
    <row r="129" spans="1:38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50"/>
        <v>81000</v>
      </c>
      <c r="O129" s="73">
        <f t="shared" si="50"/>
        <v>99880</v>
      </c>
      <c r="P129" s="74">
        <f t="shared" si="25"/>
        <v>27000</v>
      </c>
      <c r="Q129" s="74">
        <f t="shared" si="25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  <c r="AF129" s="73"/>
      <c r="AG129" s="73"/>
      <c r="AH129" s="73"/>
      <c r="AI129" s="73"/>
      <c r="AJ129" s="73"/>
      <c r="AL129" s="221"/>
    </row>
    <row r="130" spans="1:38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51">ROUND(SUM(H125:H129),5)</f>
        <v>172910</v>
      </c>
      <c r="I130" s="63">
        <f t="shared" si="51"/>
        <v>222395</v>
      </c>
      <c r="J130" s="64">
        <f t="shared" si="51"/>
        <v>180035</v>
      </c>
      <c r="K130" s="64">
        <f t="shared" si="51"/>
        <v>178545</v>
      </c>
      <c r="L130" s="65">
        <f t="shared" si="51"/>
        <v>189400</v>
      </c>
      <c r="M130" s="65">
        <f t="shared" si="51"/>
        <v>182490</v>
      </c>
      <c r="N130" s="66">
        <f t="shared" si="50"/>
        <v>542345</v>
      </c>
      <c r="O130" s="66">
        <f t="shared" si="50"/>
        <v>583430</v>
      </c>
      <c r="P130" s="69">
        <f t="shared" si="25"/>
        <v>180781.66666666666</v>
      </c>
      <c r="Q130" s="69">
        <f t="shared" si="25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 t="shared" ref="AB130:AI130" si="52">ROUND(SUM(AB125:AB129),5)</f>
        <v>0</v>
      </c>
      <c r="AC130" s="66">
        <f t="shared" si="52"/>
        <v>0</v>
      </c>
      <c r="AD130" s="66">
        <f t="shared" si="52"/>
        <v>0</v>
      </c>
      <c r="AE130" s="66">
        <f t="shared" si="52"/>
        <v>0</v>
      </c>
      <c r="AF130" s="66">
        <f t="shared" si="52"/>
        <v>0</v>
      </c>
      <c r="AG130" s="66">
        <f t="shared" si="52"/>
        <v>0</v>
      </c>
      <c r="AH130" s="66">
        <f t="shared" si="52"/>
        <v>0</v>
      </c>
      <c r="AI130" s="66">
        <f t="shared" si="52"/>
        <v>0</v>
      </c>
      <c r="AJ130" s="66">
        <f t="shared" ref="AJ130" si="53">ROUND(SUM(AJ125:AJ129),5)</f>
        <v>0</v>
      </c>
      <c r="AL130" s="221"/>
    </row>
    <row r="131" spans="1:38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25"/>
        <v>0</v>
      </c>
      <c r="Q131" s="69">
        <f t="shared" si="25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  <c r="AF131" s="66"/>
      <c r="AG131" s="66"/>
      <c r="AH131" s="66"/>
      <c r="AI131" s="66"/>
      <c r="AJ131" s="66"/>
      <c r="AL131" s="221"/>
    </row>
    <row r="132" spans="1:38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54">ROUND(H132+J132+L132,5)</f>
        <v>59355</v>
      </c>
      <c r="O132" s="66">
        <f t="shared" si="54"/>
        <v>117110</v>
      </c>
      <c r="P132" s="69">
        <f t="shared" si="25"/>
        <v>19785</v>
      </c>
      <c r="Q132" s="69">
        <f t="shared" si="25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  <c r="AF132" s="66"/>
      <c r="AG132" s="66"/>
      <c r="AH132" s="66"/>
      <c r="AI132" s="66"/>
      <c r="AJ132" s="66"/>
      <c r="AL132" s="221"/>
    </row>
    <row r="133" spans="1:38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54"/>
        <v>22765</v>
      </c>
      <c r="O133" s="66">
        <f t="shared" si="54"/>
        <v>58385</v>
      </c>
      <c r="P133" s="69">
        <f t="shared" si="25"/>
        <v>7588.333333333333</v>
      </c>
      <c r="Q133" s="69">
        <f t="shared" si="25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  <c r="AF133" s="66"/>
      <c r="AG133" s="66"/>
      <c r="AH133" s="66"/>
      <c r="AI133" s="66"/>
      <c r="AJ133" s="66"/>
      <c r="AL133" s="221"/>
    </row>
    <row r="134" spans="1:38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54"/>
        <v>55100</v>
      </c>
      <c r="O134" s="73">
        <f t="shared" si="54"/>
        <v>63285</v>
      </c>
      <c r="P134" s="74">
        <f t="shared" si="25"/>
        <v>18366.666666666668</v>
      </c>
      <c r="Q134" s="74">
        <f t="shared" si="25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  <c r="AF134" s="73"/>
      <c r="AG134" s="73"/>
      <c r="AH134" s="73"/>
      <c r="AI134" s="73"/>
      <c r="AJ134" s="73"/>
      <c r="AL134" s="221"/>
    </row>
    <row r="135" spans="1:38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55">ROUND(SUM(H131:H134),5)</f>
        <v>47660</v>
      </c>
      <c r="I135" s="63">
        <f t="shared" si="55"/>
        <v>89480</v>
      </c>
      <c r="J135" s="64">
        <f t="shared" si="55"/>
        <v>50325</v>
      </c>
      <c r="K135" s="64">
        <f t="shared" si="55"/>
        <v>95015</v>
      </c>
      <c r="L135" s="65">
        <f t="shared" si="55"/>
        <v>39235</v>
      </c>
      <c r="M135" s="65">
        <f t="shared" si="55"/>
        <v>54285</v>
      </c>
      <c r="N135" s="66">
        <f t="shared" si="54"/>
        <v>137220</v>
      </c>
      <c r="O135" s="66">
        <f t="shared" si="54"/>
        <v>238780</v>
      </c>
      <c r="P135" s="69">
        <f t="shared" si="25"/>
        <v>45740</v>
      </c>
      <c r="Q135" s="69">
        <f t="shared" si="25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 t="shared" ref="AB135:AI135" si="56">ROUND(SUM(AB131:AB134),5)</f>
        <v>0</v>
      </c>
      <c r="AC135" s="66">
        <f t="shared" si="56"/>
        <v>0</v>
      </c>
      <c r="AD135" s="66">
        <f t="shared" si="56"/>
        <v>0</v>
      </c>
      <c r="AE135" s="66">
        <f t="shared" si="56"/>
        <v>0</v>
      </c>
      <c r="AF135" s="66">
        <f t="shared" si="56"/>
        <v>0</v>
      </c>
      <c r="AG135" s="66">
        <f t="shared" si="56"/>
        <v>0</v>
      </c>
      <c r="AH135" s="66">
        <f t="shared" si="56"/>
        <v>0</v>
      </c>
      <c r="AI135" s="66">
        <f t="shared" si="56"/>
        <v>0</v>
      </c>
      <c r="AJ135" s="66">
        <f t="shared" ref="AJ135" si="57">ROUND(SUM(AJ131:AJ134),5)</f>
        <v>0</v>
      </c>
      <c r="AL135" s="221"/>
    </row>
    <row r="136" spans="1:38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25"/>
        <v>0</v>
      </c>
      <c r="Q136" s="69">
        <f t="shared" si="25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  <c r="AF136" s="66"/>
      <c r="AG136" s="66"/>
      <c r="AH136" s="66"/>
      <c r="AI136" s="66"/>
      <c r="AJ136" s="66"/>
      <c r="AL136" s="221"/>
    </row>
    <row r="137" spans="1:38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58">ROUND(H137+J137+L137,5)</f>
        <v>139495</v>
      </c>
      <c r="O137" s="66">
        <f t="shared" si="58"/>
        <v>160315</v>
      </c>
      <c r="P137" s="69">
        <f t="shared" si="25"/>
        <v>46498.333333333336</v>
      </c>
      <c r="Q137" s="69">
        <f t="shared" si="25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  <c r="AF137" s="66"/>
      <c r="AG137" s="66"/>
      <c r="AH137" s="66"/>
      <c r="AI137" s="66"/>
      <c r="AJ137" s="66"/>
      <c r="AL137" s="221"/>
    </row>
    <row r="138" spans="1:38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58"/>
        <v>11925</v>
      </c>
      <c r="O138" s="66">
        <f t="shared" si="58"/>
        <v>57525</v>
      </c>
      <c r="P138" s="69">
        <f t="shared" ref="P138:Q198" si="59">N138/3</f>
        <v>3975</v>
      </c>
      <c r="Q138" s="69">
        <f t="shared" si="59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  <c r="AF138" s="66"/>
      <c r="AG138" s="66"/>
      <c r="AH138" s="66"/>
      <c r="AI138" s="66"/>
      <c r="AJ138" s="66"/>
      <c r="AL138" s="221"/>
    </row>
    <row r="139" spans="1:38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58"/>
        <v>54560</v>
      </c>
      <c r="O139" s="66">
        <f t="shared" si="58"/>
        <v>80605</v>
      </c>
      <c r="P139" s="69">
        <f t="shared" si="59"/>
        <v>18186.666666666668</v>
      </c>
      <c r="Q139" s="69">
        <f t="shared" si="59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  <c r="AF139" s="66"/>
      <c r="AG139" s="66"/>
      <c r="AH139" s="66"/>
      <c r="AI139" s="66"/>
      <c r="AJ139" s="66"/>
      <c r="AL139" s="221"/>
    </row>
    <row r="140" spans="1:38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58"/>
        <v>35915</v>
      </c>
      <c r="O140" s="73">
        <f t="shared" si="58"/>
        <v>52710</v>
      </c>
      <c r="P140" s="74">
        <f t="shared" si="59"/>
        <v>11971.666666666666</v>
      </c>
      <c r="Q140" s="74">
        <f t="shared" si="59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  <c r="AF140" s="73"/>
      <c r="AG140" s="73"/>
      <c r="AH140" s="73"/>
      <c r="AI140" s="73"/>
      <c r="AJ140" s="73"/>
      <c r="AL140" s="221"/>
    </row>
    <row r="141" spans="1:38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60">ROUND(SUM(H136:H140),5)</f>
        <v>92055</v>
      </c>
      <c r="I141" s="63">
        <f t="shared" si="60"/>
        <v>121215</v>
      </c>
      <c r="J141" s="64">
        <f t="shared" si="60"/>
        <v>73370</v>
      </c>
      <c r="K141" s="64">
        <f t="shared" si="60"/>
        <v>124725</v>
      </c>
      <c r="L141" s="65">
        <f t="shared" si="60"/>
        <v>76470</v>
      </c>
      <c r="M141" s="65">
        <f t="shared" si="60"/>
        <v>105215</v>
      </c>
      <c r="N141" s="66">
        <f t="shared" si="58"/>
        <v>241895</v>
      </c>
      <c r="O141" s="66">
        <f t="shared" si="58"/>
        <v>351155</v>
      </c>
      <c r="P141" s="69">
        <f t="shared" si="59"/>
        <v>80631.666666666672</v>
      </c>
      <c r="Q141" s="69">
        <f t="shared" si="59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 t="shared" ref="AB141:AI141" si="61">ROUND(SUM(AB136:AB140),5)</f>
        <v>0</v>
      </c>
      <c r="AC141" s="66">
        <f t="shared" si="61"/>
        <v>0</v>
      </c>
      <c r="AD141" s="66">
        <f t="shared" si="61"/>
        <v>0</v>
      </c>
      <c r="AE141" s="66">
        <f t="shared" si="61"/>
        <v>0</v>
      </c>
      <c r="AF141" s="66">
        <f t="shared" si="61"/>
        <v>0</v>
      </c>
      <c r="AG141" s="66">
        <f t="shared" si="61"/>
        <v>0</v>
      </c>
      <c r="AH141" s="66">
        <f t="shared" si="61"/>
        <v>0</v>
      </c>
      <c r="AI141" s="66">
        <f t="shared" si="61"/>
        <v>0</v>
      </c>
      <c r="AJ141" s="66">
        <f t="shared" ref="AJ141" si="62">ROUND(SUM(AJ136:AJ140),5)</f>
        <v>0</v>
      </c>
      <c r="AL141" s="221"/>
    </row>
    <row r="142" spans="1:38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59"/>
        <v>0</v>
      </c>
      <c r="Q142" s="69">
        <f t="shared" si="59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  <c r="AF142" s="66"/>
      <c r="AG142" s="66"/>
      <c r="AH142" s="66"/>
      <c r="AI142" s="66"/>
      <c r="AJ142" s="66"/>
      <c r="AL142" s="221"/>
    </row>
    <row r="143" spans="1:38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59"/>
        <v>-129721.66666666667</v>
      </c>
      <c r="Q143" s="74">
        <f t="shared" si="59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  <c r="AG143" s="73">
        <f>ROUND(-121383.54, 0)</f>
        <v>-121384</v>
      </c>
      <c r="AH143" s="73">
        <f>ROUND(-121383.54, 0)</f>
        <v>-121384</v>
      </c>
      <c r="AI143" s="73">
        <f>ROUND(-121383.54, 0)</f>
        <v>-121384</v>
      </c>
      <c r="AJ143" s="73">
        <f>ROUND(-121383.54, 0)</f>
        <v>-121384</v>
      </c>
      <c r="AL143" s="221"/>
    </row>
    <row r="144" spans="1:38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63">ROUND(SUM(H142:H143),5)</f>
        <v>-125650</v>
      </c>
      <c r="I144" s="63">
        <f t="shared" si="63"/>
        <v>-126150</v>
      </c>
      <c r="J144" s="64">
        <f t="shared" si="63"/>
        <v>-133460</v>
      </c>
      <c r="K144" s="64">
        <f t="shared" si="63"/>
        <v>-130115.02</v>
      </c>
      <c r="L144" s="65">
        <f t="shared" si="63"/>
        <v>-130055</v>
      </c>
      <c r="M144" s="65">
        <f t="shared" si="63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59"/>
        <v>-129721.66666666667</v>
      </c>
      <c r="Q144" s="69">
        <f t="shared" si="59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 t="shared" ref="AB144:AI144" si="64">ROUND(SUM(AB142:AB143),5)</f>
        <v>-116261.69</v>
      </c>
      <c r="AC144" s="66">
        <f t="shared" si="64"/>
        <v>-116261.69</v>
      </c>
      <c r="AD144" s="66">
        <f t="shared" si="64"/>
        <v>-116261.69</v>
      </c>
      <c r="AE144" s="66">
        <f t="shared" si="64"/>
        <v>-116261.69</v>
      </c>
      <c r="AF144" s="66">
        <f t="shared" si="64"/>
        <v>-118175</v>
      </c>
      <c r="AG144" s="66">
        <f t="shared" si="64"/>
        <v>-121384</v>
      </c>
      <c r="AH144" s="66">
        <f t="shared" si="64"/>
        <v>-121384</v>
      </c>
      <c r="AI144" s="66">
        <f t="shared" si="64"/>
        <v>-121384</v>
      </c>
      <c r="AJ144" s="66">
        <f t="shared" ref="AJ144" si="65">ROUND(SUM(AJ142:AJ143),5)</f>
        <v>-121384</v>
      </c>
      <c r="AL144" s="221"/>
    </row>
    <row r="145" spans="1:38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59"/>
        <v>0</v>
      </c>
      <c r="Q145" s="69">
        <f t="shared" si="59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F145" s="66"/>
      <c r="AG145" s="66"/>
      <c r="AH145" s="66"/>
      <c r="AI145" s="66"/>
      <c r="AJ145" s="66"/>
      <c r="AL145" s="227"/>
    </row>
    <row r="146" spans="1:38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66">ROUND(H146+J146+L146,5)</f>
        <v>15355</v>
      </c>
      <c r="O146" s="66">
        <f t="shared" si="66"/>
        <v>40980</v>
      </c>
      <c r="P146" s="69">
        <f t="shared" si="59"/>
        <v>5118.333333333333</v>
      </c>
      <c r="Q146" s="69">
        <f t="shared" si="59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  <c r="AF146" s="66"/>
      <c r="AG146" s="66"/>
      <c r="AH146" s="66"/>
      <c r="AI146" s="66"/>
      <c r="AJ146" s="66"/>
      <c r="AL146" s="221"/>
    </row>
    <row r="147" spans="1:38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66"/>
        <v>11325</v>
      </c>
      <c r="O147" s="66">
        <f t="shared" si="66"/>
        <v>40155</v>
      </c>
      <c r="P147" s="69">
        <f t="shared" si="59"/>
        <v>3775</v>
      </c>
      <c r="Q147" s="69">
        <f t="shared" si="59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  <c r="AF147" s="66"/>
      <c r="AG147" s="66"/>
      <c r="AH147" s="66"/>
      <c r="AI147" s="66"/>
      <c r="AJ147" s="66"/>
      <c r="AL147" s="221"/>
    </row>
    <row r="148" spans="1:38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66"/>
        <v>13910</v>
      </c>
      <c r="O148" s="66">
        <f t="shared" si="66"/>
        <v>41310</v>
      </c>
      <c r="P148" s="69">
        <f t="shared" si="59"/>
        <v>4636.666666666667</v>
      </c>
      <c r="Q148" s="69">
        <f t="shared" si="59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  <c r="AF148" s="66"/>
      <c r="AG148" s="66"/>
      <c r="AH148" s="66"/>
      <c r="AI148" s="66"/>
      <c r="AJ148" s="66"/>
      <c r="AL148" s="221"/>
    </row>
    <row r="149" spans="1:38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66"/>
        <v>14095</v>
      </c>
      <c r="O149" s="66">
        <f t="shared" si="66"/>
        <v>40355</v>
      </c>
      <c r="P149" s="69">
        <f t="shared" si="59"/>
        <v>4698.333333333333</v>
      </c>
      <c r="Q149" s="69">
        <f t="shared" si="59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  <c r="AF149" s="66"/>
      <c r="AG149" s="66"/>
      <c r="AH149" s="66"/>
      <c r="AI149" s="66"/>
      <c r="AJ149" s="66"/>
      <c r="AL149" s="221"/>
    </row>
    <row r="150" spans="1:38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66"/>
        <v>25215</v>
      </c>
      <c r="O150" s="73">
        <f t="shared" si="66"/>
        <v>66355</v>
      </c>
      <c r="P150" s="74">
        <f t="shared" si="59"/>
        <v>8405</v>
      </c>
      <c r="Q150" s="74">
        <f t="shared" si="59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  <c r="AF150" s="73"/>
      <c r="AG150" s="73"/>
      <c r="AH150" s="73"/>
      <c r="AI150" s="73"/>
      <c r="AJ150" s="73"/>
      <c r="AL150" s="221"/>
    </row>
    <row r="151" spans="1:38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67">ROUND(SUM(H145:H150),5)</f>
        <v>28635</v>
      </c>
      <c r="I151" s="63">
        <f t="shared" si="67"/>
        <v>84725</v>
      </c>
      <c r="J151" s="64">
        <f t="shared" si="67"/>
        <v>25420</v>
      </c>
      <c r="K151" s="64">
        <f t="shared" si="67"/>
        <v>100435</v>
      </c>
      <c r="L151" s="65">
        <f t="shared" si="67"/>
        <v>25845</v>
      </c>
      <c r="M151" s="65">
        <f t="shared" si="67"/>
        <v>43995</v>
      </c>
      <c r="N151" s="66">
        <f t="shared" si="66"/>
        <v>79900</v>
      </c>
      <c r="O151" s="66">
        <f t="shared" si="66"/>
        <v>229155</v>
      </c>
      <c r="P151" s="69">
        <f t="shared" si="59"/>
        <v>26633.333333333332</v>
      </c>
      <c r="Q151" s="69">
        <f t="shared" si="59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 t="shared" ref="AB151:AI151" si="68">ROUND(SUM(AB145:AB150),5)</f>
        <v>0</v>
      </c>
      <c r="AC151" s="66">
        <f t="shared" si="68"/>
        <v>0</v>
      </c>
      <c r="AD151" s="66">
        <f t="shared" si="68"/>
        <v>0</v>
      </c>
      <c r="AE151" s="66">
        <f t="shared" si="68"/>
        <v>0</v>
      </c>
      <c r="AF151" s="66">
        <f t="shared" si="68"/>
        <v>0</v>
      </c>
      <c r="AG151" s="66">
        <f t="shared" si="68"/>
        <v>0</v>
      </c>
      <c r="AH151" s="66">
        <f t="shared" si="68"/>
        <v>0</v>
      </c>
      <c r="AI151" s="66">
        <f t="shared" si="68"/>
        <v>0</v>
      </c>
      <c r="AJ151" s="66">
        <f t="shared" ref="AJ151" si="69">ROUND(SUM(AJ145:AJ150),5)</f>
        <v>0</v>
      </c>
      <c r="AL151" s="221"/>
    </row>
    <row r="152" spans="1:38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59"/>
        <v>0</v>
      </c>
      <c r="Q152" s="69">
        <f t="shared" si="59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  <c r="AF152" s="66"/>
      <c r="AG152" s="66"/>
      <c r="AH152" s="66"/>
      <c r="AI152" s="66"/>
      <c r="AJ152" s="66"/>
      <c r="AL152" s="221"/>
    </row>
    <row r="153" spans="1:38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70">ROUND(H153+J153+L153,5)</f>
        <v>158780</v>
      </c>
      <c r="O153" s="66">
        <f t="shared" si="70"/>
        <v>106120</v>
      </c>
      <c r="P153" s="69">
        <f t="shared" si="59"/>
        <v>52926.666666666664</v>
      </c>
      <c r="Q153" s="69">
        <f t="shared" si="59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  <c r="AF153" s="66"/>
      <c r="AG153" s="66"/>
      <c r="AH153" s="66"/>
      <c r="AI153" s="66"/>
      <c r="AJ153" s="66"/>
      <c r="AL153" s="221"/>
    </row>
    <row r="154" spans="1:38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70"/>
        <v>0</v>
      </c>
      <c r="O154" s="66">
        <f t="shared" si="70"/>
        <v>0</v>
      </c>
      <c r="P154" s="69">
        <f t="shared" si="59"/>
        <v>0</v>
      </c>
      <c r="Q154" s="69">
        <f t="shared" si="59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  <c r="AF154" s="66"/>
      <c r="AG154" s="66"/>
      <c r="AH154" s="66"/>
      <c r="AI154" s="66"/>
      <c r="AJ154" s="66"/>
      <c r="AL154" s="221"/>
    </row>
    <row r="155" spans="1:38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70"/>
        <v>20005</v>
      </c>
      <c r="O155" s="73">
        <f t="shared" si="70"/>
        <v>57720</v>
      </c>
      <c r="P155" s="74">
        <f t="shared" si="59"/>
        <v>6668.333333333333</v>
      </c>
      <c r="Q155" s="74">
        <f t="shared" si="59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  <c r="AF155" s="73"/>
      <c r="AG155" s="73"/>
      <c r="AH155" s="73"/>
      <c r="AI155" s="73"/>
      <c r="AJ155" s="73"/>
      <c r="AL155" s="221"/>
    </row>
    <row r="156" spans="1:38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71">ROUND(SUM(H152:H155),5)</f>
        <v>49410</v>
      </c>
      <c r="I156" s="63">
        <f t="shared" si="71"/>
        <v>53770</v>
      </c>
      <c r="J156" s="64">
        <f t="shared" si="71"/>
        <v>64775</v>
      </c>
      <c r="K156" s="64">
        <f t="shared" si="71"/>
        <v>53565</v>
      </c>
      <c r="L156" s="65">
        <f t="shared" si="71"/>
        <v>64600</v>
      </c>
      <c r="M156" s="65">
        <f t="shared" si="71"/>
        <v>56505</v>
      </c>
      <c r="N156" s="66">
        <f t="shared" si="70"/>
        <v>178785</v>
      </c>
      <c r="O156" s="66">
        <f t="shared" si="70"/>
        <v>163840</v>
      </c>
      <c r="P156" s="69">
        <f t="shared" si="59"/>
        <v>59595</v>
      </c>
      <c r="Q156" s="69">
        <f t="shared" si="59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 t="shared" ref="AB156:AI156" si="72">ROUND(SUM(AB152:AB155),5)</f>
        <v>0</v>
      </c>
      <c r="AC156" s="66">
        <f t="shared" si="72"/>
        <v>0</v>
      </c>
      <c r="AD156" s="66">
        <f t="shared" si="72"/>
        <v>0</v>
      </c>
      <c r="AE156" s="66">
        <f t="shared" si="72"/>
        <v>0</v>
      </c>
      <c r="AF156" s="66">
        <f t="shared" si="72"/>
        <v>0</v>
      </c>
      <c r="AG156" s="66">
        <f t="shared" si="72"/>
        <v>0</v>
      </c>
      <c r="AH156" s="66">
        <f t="shared" si="72"/>
        <v>0</v>
      </c>
      <c r="AI156" s="66">
        <f t="shared" si="72"/>
        <v>0</v>
      </c>
      <c r="AJ156" s="66">
        <f t="shared" ref="AJ156" si="73">ROUND(SUM(AJ152:AJ155),5)</f>
        <v>0</v>
      </c>
      <c r="AL156" s="221"/>
    </row>
    <row r="157" spans="1:38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59"/>
        <v>0</v>
      </c>
      <c r="Q157" s="69">
        <f t="shared" si="59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  <c r="AF157" s="66"/>
      <c r="AG157" s="66"/>
      <c r="AH157" s="66"/>
      <c r="AI157" s="66"/>
      <c r="AJ157" s="66"/>
      <c r="AL157" s="221"/>
    </row>
    <row r="158" spans="1:38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59"/>
        <v>44666.666666666664</v>
      </c>
      <c r="Q158" s="74">
        <f t="shared" si="59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  <c r="AF158" s="73"/>
      <c r="AG158" s="73"/>
      <c r="AH158" s="73"/>
      <c r="AI158" s="73"/>
      <c r="AJ158" s="73"/>
      <c r="AL158" s="221"/>
    </row>
    <row r="159" spans="1:38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74">ROUND(SUM(H157:H158),5)</f>
        <v>40160</v>
      </c>
      <c r="I159" s="63">
        <f t="shared" si="74"/>
        <v>39540</v>
      </c>
      <c r="J159" s="64">
        <f t="shared" si="74"/>
        <v>42655</v>
      </c>
      <c r="K159" s="64">
        <f t="shared" si="74"/>
        <v>40060</v>
      </c>
      <c r="L159" s="65">
        <f t="shared" si="74"/>
        <v>51185</v>
      </c>
      <c r="M159" s="65">
        <f t="shared" si="74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59"/>
        <v>44666.666666666664</v>
      </c>
      <c r="Q159" s="69">
        <f t="shared" si="59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 t="shared" ref="AB159:AI159" si="75">ROUND(SUM(AB157:AB158),5)</f>
        <v>0</v>
      </c>
      <c r="AC159" s="66">
        <f t="shared" si="75"/>
        <v>0</v>
      </c>
      <c r="AD159" s="66">
        <f t="shared" si="75"/>
        <v>0</v>
      </c>
      <c r="AE159" s="66">
        <f t="shared" si="75"/>
        <v>0</v>
      </c>
      <c r="AF159" s="66">
        <f t="shared" si="75"/>
        <v>0</v>
      </c>
      <c r="AG159" s="66">
        <f t="shared" si="75"/>
        <v>0</v>
      </c>
      <c r="AH159" s="66">
        <f t="shared" si="75"/>
        <v>0</v>
      </c>
      <c r="AI159" s="66">
        <f t="shared" si="75"/>
        <v>0</v>
      </c>
      <c r="AJ159" s="66">
        <f t="shared" ref="AJ159" si="76">ROUND(SUM(AJ157:AJ158),5)</f>
        <v>0</v>
      </c>
      <c r="AL159" s="221"/>
    </row>
    <row r="160" spans="1:38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59"/>
        <v>0</v>
      </c>
      <c r="Q160" s="69">
        <f t="shared" si="59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  <c r="AF160" s="66"/>
      <c r="AG160" s="66"/>
      <c r="AH160" s="66"/>
      <c r="AI160" s="66"/>
      <c r="AJ160" s="66"/>
      <c r="AL160" s="221"/>
    </row>
    <row r="161" spans="1:43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77">ROUND(H161+J161+L161,5)</f>
        <v>246750</v>
      </c>
      <c r="O161" s="66">
        <f t="shared" si="77"/>
        <v>185670</v>
      </c>
      <c r="P161" s="69">
        <f t="shared" si="59"/>
        <v>82250</v>
      </c>
      <c r="Q161" s="69">
        <f t="shared" si="59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  <c r="AF161" s="66"/>
      <c r="AG161" s="66"/>
      <c r="AH161" s="66"/>
      <c r="AI161" s="66"/>
      <c r="AJ161" s="66"/>
      <c r="AL161" s="221"/>
    </row>
    <row r="162" spans="1:43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77"/>
        <v>151865</v>
      </c>
      <c r="O162" s="66">
        <f t="shared" si="77"/>
        <v>108245</v>
      </c>
      <c r="P162" s="69">
        <f t="shared" si="59"/>
        <v>50621.666666666664</v>
      </c>
      <c r="Q162" s="69">
        <f t="shared" si="59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  <c r="AF162" s="66"/>
      <c r="AG162" s="66"/>
      <c r="AH162" s="66"/>
      <c r="AI162" s="66"/>
      <c r="AJ162" s="66"/>
      <c r="AL162" s="221"/>
    </row>
    <row r="163" spans="1:43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77"/>
        <v>110740</v>
      </c>
      <c r="O163" s="73">
        <f t="shared" si="77"/>
        <v>97550</v>
      </c>
      <c r="P163" s="74">
        <f t="shared" si="59"/>
        <v>36913.333333333336</v>
      </c>
      <c r="Q163" s="74">
        <f t="shared" si="59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  <c r="AF163" s="73"/>
      <c r="AG163" s="73"/>
      <c r="AH163" s="73"/>
      <c r="AI163" s="73"/>
      <c r="AJ163" s="73"/>
      <c r="AL163" s="221"/>
    </row>
    <row r="164" spans="1:43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78">ROUND(SUM(H160:H163),5)</f>
        <v>154940</v>
      </c>
      <c r="I164" s="63">
        <f t="shared" si="78"/>
        <v>123940</v>
      </c>
      <c r="J164" s="64">
        <f t="shared" si="78"/>
        <v>167910</v>
      </c>
      <c r="K164" s="64">
        <f t="shared" si="78"/>
        <v>108130</v>
      </c>
      <c r="L164" s="65">
        <f t="shared" si="78"/>
        <v>186505</v>
      </c>
      <c r="M164" s="65">
        <f t="shared" si="78"/>
        <v>159395</v>
      </c>
      <c r="N164" s="66">
        <f t="shared" si="77"/>
        <v>509355</v>
      </c>
      <c r="O164" s="66">
        <f t="shared" si="77"/>
        <v>391465</v>
      </c>
      <c r="P164" s="69">
        <f t="shared" si="59"/>
        <v>169785</v>
      </c>
      <c r="Q164" s="69">
        <f t="shared" si="59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 t="shared" ref="AB164:AI164" si="79">ROUND(SUM(AB160:AB163),5)</f>
        <v>0</v>
      </c>
      <c r="AC164" s="66">
        <f t="shared" si="79"/>
        <v>0</v>
      </c>
      <c r="AD164" s="66">
        <f t="shared" si="79"/>
        <v>0</v>
      </c>
      <c r="AE164" s="66">
        <f t="shared" si="79"/>
        <v>0</v>
      </c>
      <c r="AF164" s="66">
        <f t="shared" si="79"/>
        <v>0</v>
      </c>
      <c r="AG164" s="66">
        <f t="shared" si="79"/>
        <v>0</v>
      </c>
      <c r="AH164" s="66">
        <f t="shared" si="79"/>
        <v>0</v>
      </c>
      <c r="AI164" s="66">
        <f t="shared" si="79"/>
        <v>0</v>
      </c>
      <c r="AJ164" s="66">
        <f t="shared" ref="AJ164" si="80">ROUND(SUM(AJ160:AJ163),5)</f>
        <v>0</v>
      </c>
      <c r="AL164" s="221"/>
    </row>
    <row r="165" spans="1:43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59"/>
        <v>0</v>
      </c>
      <c r="Q165" s="69">
        <f t="shared" si="59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  <c r="AF165" s="66"/>
      <c r="AG165" s="66"/>
      <c r="AH165" s="66"/>
      <c r="AI165" s="66"/>
      <c r="AJ165" s="66"/>
      <c r="AL165" s="221"/>
    </row>
    <row r="166" spans="1:43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81">ROUND(H166+J166+L166,5)</f>
        <v>223285</v>
      </c>
      <c r="O166" s="66">
        <f t="shared" si="81"/>
        <v>112600</v>
      </c>
      <c r="P166" s="69">
        <f t="shared" si="59"/>
        <v>74428.333333333328</v>
      </c>
      <c r="Q166" s="69">
        <f t="shared" si="59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  <c r="AF166" s="66"/>
      <c r="AG166" s="66"/>
      <c r="AH166" s="66"/>
      <c r="AI166" s="66"/>
      <c r="AJ166" s="66"/>
      <c r="AL166" s="221"/>
    </row>
    <row r="167" spans="1:43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81"/>
        <v>1035</v>
      </c>
      <c r="O167" s="73">
        <f t="shared" si="81"/>
        <v>10779.56</v>
      </c>
      <c r="P167" s="74">
        <f t="shared" si="59"/>
        <v>345</v>
      </c>
      <c r="Q167" s="74">
        <f t="shared" si="59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  <c r="AF167" s="73"/>
      <c r="AG167" s="73"/>
      <c r="AH167" s="73"/>
      <c r="AI167" s="73"/>
      <c r="AJ167" s="73"/>
      <c r="AL167" s="221"/>
    </row>
    <row r="168" spans="1:43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82">ROUND(SUM(H165:H167),5)</f>
        <v>66205</v>
      </c>
      <c r="I168" s="63">
        <f t="shared" si="82"/>
        <v>36000</v>
      </c>
      <c r="J168" s="64">
        <f t="shared" si="82"/>
        <v>76590</v>
      </c>
      <c r="K168" s="64">
        <f t="shared" si="82"/>
        <v>32349.56</v>
      </c>
      <c r="L168" s="65">
        <f t="shared" si="82"/>
        <v>81525</v>
      </c>
      <c r="M168" s="65">
        <f t="shared" si="82"/>
        <v>55030</v>
      </c>
      <c r="N168" s="66">
        <f t="shared" si="81"/>
        <v>224320</v>
      </c>
      <c r="O168" s="66">
        <f t="shared" si="81"/>
        <v>123379.56</v>
      </c>
      <c r="P168" s="69">
        <f t="shared" si="59"/>
        <v>74773.333333333328</v>
      </c>
      <c r="Q168" s="69">
        <f t="shared" si="59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 t="shared" ref="AB168:AI168" si="83">ROUND(SUM(AB165:AB167),5)</f>
        <v>0</v>
      </c>
      <c r="AC168" s="66">
        <f t="shared" si="83"/>
        <v>0</v>
      </c>
      <c r="AD168" s="66">
        <f t="shared" si="83"/>
        <v>0</v>
      </c>
      <c r="AE168" s="66">
        <f t="shared" si="83"/>
        <v>0</v>
      </c>
      <c r="AF168" s="66">
        <f t="shared" si="83"/>
        <v>0</v>
      </c>
      <c r="AG168" s="66">
        <f t="shared" si="83"/>
        <v>0</v>
      </c>
      <c r="AH168" s="66">
        <f t="shared" si="83"/>
        <v>0</v>
      </c>
      <c r="AI168" s="66">
        <f t="shared" si="83"/>
        <v>0</v>
      </c>
      <c r="AJ168" s="66">
        <f t="shared" ref="AJ168" si="84">ROUND(SUM(AJ165:AJ167),5)</f>
        <v>0</v>
      </c>
      <c r="AL168" s="221"/>
    </row>
    <row r="169" spans="1:43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81"/>
        <v>0</v>
      </c>
      <c r="O169" s="73">
        <f t="shared" si="81"/>
        <v>0</v>
      </c>
      <c r="P169" s="74">
        <f t="shared" si="59"/>
        <v>0</v>
      </c>
      <c r="Q169" s="74">
        <f t="shared" si="59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  <c r="AG169" s="73">
        <v>0</v>
      </c>
      <c r="AH169" s="73">
        <v>0</v>
      </c>
      <c r="AI169" s="73">
        <v>0</v>
      </c>
      <c r="AJ169" s="73">
        <v>0</v>
      </c>
      <c r="AL169" s="221"/>
    </row>
    <row r="170" spans="1:43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85">ROUND(H117+H124+H130+H135+H141+H144+H151+H156+H159+H164+SUM(H168:H169),5)</f>
        <v>849140</v>
      </c>
      <c r="I170" s="63">
        <f t="shared" si="85"/>
        <v>925000</v>
      </c>
      <c r="J170" s="64">
        <f t="shared" si="85"/>
        <v>875015</v>
      </c>
      <c r="K170" s="64">
        <f t="shared" si="85"/>
        <v>833784.54</v>
      </c>
      <c r="L170" s="65">
        <f t="shared" si="85"/>
        <v>921335</v>
      </c>
      <c r="M170" s="65">
        <f t="shared" si="85"/>
        <v>890121</v>
      </c>
      <c r="N170" s="66">
        <f t="shared" si="81"/>
        <v>2645490</v>
      </c>
      <c r="O170" s="66">
        <f t="shared" si="81"/>
        <v>2648905.54</v>
      </c>
      <c r="P170" s="69">
        <f t="shared" si="59"/>
        <v>881830</v>
      </c>
      <c r="Q170" s="69">
        <f t="shared" si="59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 t="shared" ref="AB170:AI170" si="86">ROUND(AB117+AB124+AB130+AB135+AB141+AB144+AB151+AB156+AB159+AB164+SUM(AB168:AB169),5)</f>
        <v>927688.31</v>
      </c>
      <c r="AC170" s="80">
        <f t="shared" si="86"/>
        <v>927688.31</v>
      </c>
      <c r="AD170" s="80">
        <f t="shared" si="86"/>
        <v>927688.31</v>
      </c>
      <c r="AE170" s="80">
        <f t="shared" si="86"/>
        <v>927688.31</v>
      </c>
      <c r="AF170" s="80">
        <f t="shared" si="86"/>
        <v>950880</v>
      </c>
      <c r="AG170" s="80">
        <f t="shared" si="86"/>
        <v>987511</v>
      </c>
      <c r="AH170" s="80">
        <f t="shared" si="86"/>
        <v>987511</v>
      </c>
      <c r="AI170" s="80">
        <f t="shared" si="86"/>
        <v>987511</v>
      </c>
      <c r="AJ170" s="80">
        <f t="shared" ref="AJ170" si="87">ROUND(AJ117+AJ124+AJ130+AJ135+AJ141+AJ144+AJ151+AJ156+AJ159+AJ164+SUM(AJ168:AJ169),5)</f>
        <v>987511</v>
      </c>
      <c r="AK170" s="173"/>
      <c r="AL170" s="226" t="s">
        <v>988</v>
      </c>
      <c r="AQ170" s="318" t="s">
        <v>996</v>
      </c>
    </row>
    <row r="171" spans="1:43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59"/>
        <v>0</v>
      </c>
      <c r="Q171" s="69">
        <f t="shared" si="59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  <c r="AF171" s="66"/>
      <c r="AG171" s="66"/>
      <c r="AH171" s="66"/>
      <c r="AI171" s="66"/>
      <c r="AJ171" s="66"/>
      <c r="AL171" s="228"/>
      <c r="AQ171" s="318"/>
    </row>
    <row r="172" spans="1:43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88">ROUND(H172+J172+L172,5)</f>
        <v>322169.82</v>
      </c>
      <c r="O172" s="66">
        <f t="shared" si="88"/>
        <v>137000</v>
      </c>
      <c r="P172" s="69">
        <f t="shared" si="59"/>
        <v>107389.94</v>
      </c>
      <c r="Q172" s="69">
        <f t="shared" si="59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G172" s="66">
        <f>130000+264250+77125</f>
        <v>471375</v>
      </c>
      <c r="AH172" s="66">
        <f>130000+264250+77125+125000</f>
        <v>596375</v>
      </c>
      <c r="AI172" s="66">
        <f>130000+264250+77125+125000-66000</f>
        <v>530375</v>
      </c>
      <c r="AJ172" s="66">
        <f>130000+264250+77125+62500</f>
        <v>533875</v>
      </c>
      <c r="AK172" s="182">
        <f>50*2500</f>
        <v>125000</v>
      </c>
      <c r="AL172" s="229"/>
      <c r="AN172" s="214" t="s">
        <v>1005</v>
      </c>
      <c r="AO172" s="159">
        <v>30000</v>
      </c>
      <c r="AQ172" s="171">
        <f>AO172/5</f>
        <v>6000</v>
      </c>
    </row>
    <row r="173" spans="1:43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88"/>
        <v>242478.99</v>
      </c>
      <c r="O173" s="66">
        <f t="shared" si="88"/>
        <v>253000</v>
      </c>
      <c r="P173" s="69">
        <f>N173/3</f>
        <v>80826.33</v>
      </c>
      <c r="Q173" s="69">
        <f t="shared" si="59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 t="shared" ref="AB173:AJ173" si="89">26750+29750+19500+10625</f>
        <v>86625</v>
      </c>
      <c r="AC173" s="66">
        <f t="shared" si="89"/>
        <v>86625</v>
      </c>
      <c r="AD173" s="66">
        <f t="shared" si="89"/>
        <v>86625</v>
      </c>
      <c r="AE173" s="66">
        <f t="shared" si="89"/>
        <v>86625</v>
      </c>
      <c r="AF173" s="66">
        <f t="shared" si="89"/>
        <v>86625</v>
      </c>
      <c r="AG173" s="66">
        <f t="shared" si="89"/>
        <v>86625</v>
      </c>
      <c r="AH173" s="66">
        <f t="shared" si="89"/>
        <v>86625</v>
      </c>
      <c r="AI173" s="66">
        <f t="shared" si="89"/>
        <v>86625</v>
      </c>
      <c r="AJ173" s="66">
        <f t="shared" si="89"/>
        <v>86625</v>
      </c>
      <c r="AK173" s="182">
        <f>AK172/2</f>
        <v>62500</v>
      </c>
      <c r="AL173" s="228"/>
      <c r="AN173" s="217">
        <v>307</v>
      </c>
      <c r="AO173" s="159">
        <v>30000</v>
      </c>
      <c r="AP173" s="46" t="s">
        <v>957</v>
      </c>
      <c r="AQ173" s="171">
        <f>AO173/5</f>
        <v>6000</v>
      </c>
    </row>
    <row r="174" spans="1:43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88"/>
        <v>7072</v>
      </c>
      <c r="O174" s="66">
        <f t="shared" si="88"/>
        <v>8000</v>
      </c>
      <c r="P174" s="69">
        <f t="shared" si="59"/>
        <v>2357.3333333333335</v>
      </c>
      <c r="Q174" s="69">
        <f t="shared" si="59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H174" s="66">
        <v>0</v>
      </c>
      <c r="AI174" s="66">
        <v>0</v>
      </c>
      <c r="AJ174" s="66">
        <v>0</v>
      </c>
      <c r="AL174" s="228"/>
      <c r="AN174" s="217">
        <v>308</v>
      </c>
      <c r="AO174" s="159">
        <v>64250</v>
      </c>
      <c r="AP174" s="46" t="s">
        <v>957</v>
      </c>
      <c r="AQ174" s="171">
        <f t="shared" ref="AQ174:AQ179" si="90">AO174/5</f>
        <v>12850</v>
      </c>
    </row>
    <row r="175" spans="1:43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88"/>
        <v>0</v>
      </c>
      <c r="O175" s="66">
        <f t="shared" si="88"/>
        <v>0</v>
      </c>
      <c r="P175" s="69">
        <f t="shared" si="59"/>
        <v>0</v>
      </c>
      <c r="Q175" s="69">
        <f t="shared" si="59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0</v>
      </c>
      <c r="AI175" s="66">
        <v>0</v>
      </c>
      <c r="AJ175" s="66">
        <v>0</v>
      </c>
      <c r="AK175" s="173"/>
      <c r="AL175" s="228"/>
      <c r="AN175" s="217">
        <v>251</v>
      </c>
      <c r="AO175" s="159">
        <v>20000</v>
      </c>
      <c r="AQ175" s="171">
        <f t="shared" si="90"/>
        <v>4000</v>
      </c>
    </row>
    <row r="176" spans="1:43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88"/>
        <v>11385</v>
      </c>
      <c r="O176" s="66">
        <f t="shared" si="88"/>
        <v>39800</v>
      </c>
      <c r="P176" s="69">
        <f t="shared" si="59"/>
        <v>3795</v>
      </c>
      <c r="Q176" s="69">
        <f t="shared" si="59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G176" s="66">
        <f>ROUND(7425*1.5, 0)</f>
        <v>11138</v>
      </c>
      <c r="AH176" s="66">
        <f>ROUND(7425*1.5, 0)</f>
        <v>11138</v>
      </c>
      <c r="AI176" s="66">
        <f>ROUND(7425*1.5, 0)</f>
        <v>11138</v>
      </c>
      <c r="AJ176" s="66">
        <f>ROUND(7425*1.5, 0)</f>
        <v>11138</v>
      </c>
      <c r="AL176" s="221" t="s">
        <v>989</v>
      </c>
      <c r="AN176" s="217">
        <v>503</v>
      </c>
      <c r="AO176" s="159">
        <v>20000</v>
      </c>
      <c r="AQ176" s="171">
        <f t="shared" si="90"/>
        <v>4000</v>
      </c>
    </row>
    <row r="177" spans="1:44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88"/>
        <v>0</v>
      </c>
      <c r="O177" s="66">
        <f t="shared" si="88"/>
        <v>15000</v>
      </c>
      <c r="P177" s="69">
        <f t="shared" si="59"/>
        <v>0</v>
      </c>
      <c r="Q177" s="69">
        <f t="shared" si="59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0</v>
      </c>
      <c r="AI177" s="66">
        <v>0</v>
      </c>
      <c r="AJ177" s="66">
        <v>0</v>
      </c>
      <c r="AL177" s="230"/>
      <c r="AN177" s="214" t="s">
        <v>949</v>
      </c>
      <c r="AO177" s="159">
        <v>50000</v>
      </c>
      <c r="AQ177" s="171">
        <f t="shared" si="90"/>
        <v>10000</v>
      </c>
    </row>
    <row r="178" spans="1:44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88"/>
        <v>3000</v>
      </c>
      <c r="O178" s="66">
        <f t="shared" si="88"/>
        <v>11000</v>
      </c>
      <c r="P178" s="69">
        <f t="shared" si="59"/>
        <v>1000</v>
      </c>
      <c r="Q178" s="69">
        <f t="shared" si="59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H178" s="66">
        <v>0</v>
      </c>
      <c r="AI178" s="66">
        <v>0</v>
      </c>
      <c r="AJ178" s="66">
        <v>0</v>
      </c>
      <c r="AL178" s="147"/>
      <c r="AN178" s="214" t="s">
        <v>950</v>
      </c>
      <c r="AO178" s="159">
        <v>50000</v>
      </c>
      <c r="AQ178" s="171">
        <f t="shared" si="90"/>
        <v>10000</v>
      </c>
    </row>
    <row r="179" spans="1:44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88"/>
        <v>56296.39</v>
      </c>
      <c r="O179" s="66">
        <f t="shared" si="88"/>
        <v>28065</v>
      </c>
      <c r="P179" s="69">
        <f t="shared" si="59"/>
        <v>18765.463333333333</v>
      </c>
      <c r="Q179" s="69">
        <f t="shared" si="59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G179" s="66">
        <v>16325</v>
      </c>
      <c r="AH179" s="66">
        <v>16325</v>
      </c>
      <c r="AI179" s="66">
        <v>16325</v>
      </c>
      <c r="AJ179" s="66">
        <v>16325</v>
      </c>
      <c r="AL179" s="182"/>
      <c r="AN179" s="214" t="s">
        <v>951</v>
      </c>
      <c r="AO179" s="159">
        <v>30000</v>
      </c>
      <c r="AQ179" s="171">
        <f t="shared" si="90"/>
        <v>6000</v>
      </c>
    </row>
    <row r="180" spans="1:44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88"/>
        <v>9375</v>
      </c>
      <c r="O180" s="66">
        <f t="shared" si="88"/>
        <v>18070</v>
      </c>
      <c r="P180" s="69">
        <f t="shared" si="59"/>
        <v>3125</v>
      </c>
      <c r="Q180" s="69">
        <f t="shared" si="59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G180" s="66">
        <v>10050</v>
      </c>
      <c r="AH180" s="66">
        <v>10050</v>
      </c>
      <c r="AI180" s="66">
        <v>10050</v>
      </c>
      <c r="AJ180" s="66">
        <v>10050</v>
      </c>
      <c r="AM180" s="171"/>
      <c r="AN180" s="216" t="s">
        <v>999</v>
      </c>
      <c r="AO180" s="170">
        <f>SUM(AO172:AO179)</f>
        <v>294250</v>
      </c>
      <c r="AQ180" s="171"/>
      <c r="AR180" s="171">
        <f>AO180/5</f>
        <v>58850</v>
      </c>
    </row>
    <row r="181" spans="1:44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88"/>
        <v>5322.15</v>
      </c>
      <c r="O181" s="66">
        <f t="shared" si="88"/>
        <v>4200</v>
      </c>
      <c r="P181" s="69">
        <f t="shared" si="59"/>
        <v>1774.05</v>
      </c>
      <c r="Q181" s="69">
        <f t="shared" si="59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G181" s="66">
        <v>1200</v>
      </c>
      <c r="AH181" s="66">
        <v>1200</v>
      </c>
      <c r="AI181" s="66">
        <v>1200</v>
      </c>
      <c r="AJ181" s="66">
        <v>1200</v>
      </c>
      <c r="AM181" s="62" t="s">
        <v>998</v>
      </c>
      <c r="AN181" s="205" t="s">
        <v>948</v>
      </c>
      <c r="AO181" s="201">
        <v>225000</v>
      </c>
    </row>
    <row r="182" spans="1:44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91">ROUND(SUM(H171:H181),5)</f>
        <v>94478.28</v>
      </c>
      <c r="I182" s="83">
        <f t="shared" si="91"/>
        <v>186755</v>
      </c>
      <c r="J182" s="84">
        <f t="shared" si="91"/>
        <v>252523.42</v>
      </c>
      <c r="K182" s="84">
        <f t="shared" si="91"/>
        <v>146000</v>
      </c>
      <c r="L182" s="85">
        <f t="shared" si="91"/>
        <v>310097.65000000002</v>
      </c>
      <c r="M182" s="85">
        <f t="shared" si="91"/>
        <v>181380</v>
      </c>
      <c r="N182" s="86">
        <f t="shared" si="88"/>
        <v>657099.35</v>
      </c>
      <c r="O182" s="86">
        <f t="shared" si="88"/>
        <v>514135</v>
      </c>
      <c r="P182" s="87">
        <f t="shared" si="59"/>
        <v>219033.11666666667</v>
      </c>
      <c r="Q182" s="87">
        <f t="shared" si="59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 t="shared" ref="AB182:AI182" si="92">ROUND(SUM(AB171:AB181),5)</f>
        <v>385875</v>
      </c>
      <c r="AC182" s="88">
        <f t="shared" si="92"/>
        <v>385875</v>
      </c>
      <c r="AD182" s="88">
        <f t="shared" si="92"/>
        <v>385875</v>
      </c>
      <c r="AE182" s="88">
        <f t="shared" si="92"/>
        <v>385875</v>
      </c>
      <c r="AF182" s="88">
        <f t="shared" si="92"/>
        <v>515875</v>
      </c>
      <c r="AG182" s="88">
        <f t="shared" si="92"/>
        <v>596713</v>
      </c>
      <c r="AH182" s="88">
        <f t="shared" si="92"/>
        <v>721713</v>
      </c>
      <c r="AI182" s="88">
        <f t="shared" si="92"/>
        <v>655713</v>
      </c>
      <c r="AJ182" s="88">
        <f t="shared" ref="AJ182" si="93">ROUND(SUM(AJ171:AJ181),5)</f>
        <v>659213</v>
      </c>
    </row>
    <row r="183" spans="1:44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94">ROUND(H7+H116+H170+H182,5)</f>
        <v>1704028.01</v>
      </c>
      <c r="I183" s="63">
        <f t="shared" si="94"/>
        <v>2024739</v>
      </c>
      <c r="J183" s="64">
        <f t="shared" si="94"/>
        <v>1983347.64</v>
      </c>
      <c r="K183" s="64">
        <f t="shared" si="94"/>
        <v>1884399.92</v>
      </c>
      <c r="L183" s="65">
        <f t="shared" si="94"/>
        <v>2267674.2599999998</v>
      </c>
      <c r="M183" s="65">
        <f t="shared" si="94"/>
        <v>1998330</v>
      </c>
      <c r="N183" s="66">
        <f t="shared" si="88"/>
        <v>5955049.9100000001</v>
      </c>
      <c r="O183" s="66">
        <f t="shared" si="88"/>
        <v>5907468.9199999999</v>
      </c>
      <c r="P183" s="69">
        <f t="shared" si="59"/>
        <v>1985016.6366666667</v>
      </c>
      <c r="Q183" s="69">
        <f t="shared" si="59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 t="shared" ref="AB183:AI183" si="95">ROUND(AB7+AB116+AB170+AB182,5)</f>
        <v>2274348.11</v>
      </c>
      <c r="AC183" s="66">
        <f t="shared" si="95"/>
        <v>2274348.11</v>
      </c>
      <c r="AD183" s="66">
        <f t="shared" si="95"/>
        <v>2339617.5099999998</v>
      </c>
      <c r="AE183" s="66">
        <f t="shared" si="95"/>
        <v>2339617.5099999998</v>
      </c>
      <c r="AF183" s="66">
        <f t="shared" si="95"/>
        <v>2492809.2000000002</v>
      </c>
      <c r="AG183" s="66">
        <f t="shared" si="95"/>
        <v>2610278</v>
      </c>
      <c r="AH183" s="66">
        <f t="shared" si="95"/>
        <v>2755278</v>
      </c>
      <c r="AI183" s="66">
        <f t="shared" si="95"/>
        <v>2689278</v>
      </c>
      <c r="AJ183" s="66">
        <f t="shared" ref="AJ183" si="96">ROUND(AJ7+AJ116+AJ170+AJ182,5)</f>
        <v>2692778</v>
      </c>
      <c r="AL183" s="177"/>
      <c r="AN183" s="111" t="s">
        <v>959</v>
      </c>
      <c r="AO183" s="111">
        <f>2800*5</f>
        <v>14000</v>
      </c>
      <c r="AQ183" s="112">
        <f>AO183/5</f>
        <v>2800</v>
      </c>
    </row>
    <row r="184" spans="1:44" x14ac:dyDescent="0.35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59"/>
        <v>0</v>
      </c>
      <c r="Q184" s="69">
        <f t="shared" si="59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  <c r="AF184" s="66"/>
      <c r="AG184" s="66"/>
      <c r="AH184" s="66"/>
      <c r="AI184" s="66"/>
      <c r="AJ184" s="66"/>
      <c r="AL184" s="178"/>
      <c r="AN184" s="111" t="s">
        <v>960</v>
      </c>
      <c r="AO184" s="111">
        <v>10000</v>
      </c>
      <c r="AQ184" s="112">
        <f>AO184/5</f>
        <v>2000</v>
      </c>
    </row>
    <row r="185" spans="1:44" x14ac:dyDescent="0.35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97">ROUND(H185+J185+L185,5)</f>
        <v>465847.8</v>
      </c>
      <c r="O185" s="66">
        <f t="shared" si="97"/>
        <v>521768</v>
      </c>
      <c r="P185" s="69">
        <f t="shared" si="59"/>
        <v>155282.6</v>
      </c>
      <c r="Q185" s="69">
        <f t="shared" si="59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 t="shared" ref="AB185:AJ185" si="98">ROUND(94796.75, 0)</f>
        <v>94797</v>
      </c>
      <c r="AC185" s="66">
        <f t="shared" si="98"/>
        <v>94797</v>
      </c>
      <c r="AD185" s="66">
        <f t="shared" si="98"/>
        <v>94797</v>
      </c>
      <c r="AE185" s="66">
        <f t="shared" si="98"/>
        <v>94797</v>
      </c>
      <c r="AF185" s="66">
        <f t="shared" si="98"/>
        <v>94797</v>
      </c>
      <c r="AG185" s="66">
        <f t="shared" si="98"/>
        <v>94797</v>
      </c>
      <c r="AH185" s="66">
        <f t="shared" si="98"/>
        <v>94797</v>
      </c>
      <c r="AI185" s="66">
        <f t="shared" si="98"/>
        <v>94797</v>
      </c>
      <c r="AJ185" s="66">
        <f t="shared" si="98"/>
        <v>94797</v>
      </c>
      <c r="AL185" s="179"/>
      <c r="AN185" s="111" t="s">
        <v>961</v>
      </c>
      <c r="AO185" s="111">
        <v>20000</v>
      </c>
      <c r="AQ185" s="112">
        <f>AO185/5</f>
        <v>4000</v>
      </c>
    </row>
    <row r="186" spans="1:44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97"/>
        <v>77592.62</v>
      </c>
      <c r="O186" s="66">
        <f t="shared" si="97"/>
        <v>92000</v>
      </c>
      <c r="P186" s="69">
        <f t="shared" si="59"/>
        <v>25864.206666666665</v>
      </c>
      <c r="Q186" s="69">
        <f t="shared" si="59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G186" s="66">
        <v>15000</v>
      </c>
      <c r="AH186" s="66">
        <v>15000</v>
      </c>
      <c r="AI186" s="66">
        <v>15000</v>
      </c>
      <c r="AJ186" s="66">
        <v>15000</v>
      </c>
      <c r="AN186" s="205" t="s">
        <v>963</v>
      </c>
      <c r="AO186" s="205">
        <v>33125</v>
      </c>
      <c r="AP186" s="112"/>
      <c r="AR186" s="112">
        <f>SUM(AO183:AO185)/5</f>
        <v>8800</v>
      </c>
    </row>
    <row r="187" spans="1:44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97"/>
        <v>15133.13</v>
      </c>
      <c r="O187" s="66">
        <f t="shared" si="97"/>
        <v>61000</v>
      </c>
      <c r="P187" s="69">
        <f t="shared" si="59"/>
        <v>5044.3766666666661</v>
      </c>
      <c r="Q187" s="69">
        <f t="shared" si="59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  <c r="AG187" s="66">
        <v>5000</v>
      </c>
      <c r="AH187" s="66">
        <v>5000</v>
      </c>
      <c r="AI187" s="66">
        <v>5000</v>
      </c>
      <c r="AJ187" s="66">
        <v>5000</v>
      </c>
      <c r="AO187" s="111"/>
      <c r="AR187" s="171">
        <f>SUM(AR180:AR186)</f>
        <v>67650</v>
      </c>
    </row>
    <row r="188" spans="1:44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99">ROUND(SUM(H184:H187),5)</f>
        <v>213369.38</v>
      </c>
      <c r="I188" s="75">
        <f t="shared" si="99"/>
        <v>213000</v>
      </c>
      <c r="J188" s="76">
        <f t="shared" si="99"/>
        <v>193755.57</v>
      </c>
      <c r="K188" s="76">
        <f t="shared" si="99"/>
        <v>240000</v>
      </c>
      <c r="L188" s="77">
        <f t="shared" si="99"/>
        <v>151448.6</v>
      </c>
      <c r="M188" s="77">
        <f t="shared" si="99"/>
        <v>221768</v>
      </c>
      <c r="N188" s="78">
        <f t="shared" si="97"/>
        <v>558573.55000000005</v>
      </c>
      <c r="O188" s="78">
        <f t="shared" si="97"/>
        <v>674768</v>
      </c>
      <c r="P188" s="79">
        <f t="shared" si="59"/>
        <v>186191.18333333335</v>
      </c>
      <c r="Q188" s="79">
        <f t="shared" si="59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 t="shared" ref="AB188:AI188" si="100">ROUND(SUM(AB184:AB187),5)</f>
        <v>124797</v>
      </c>
      <c r="AC188" s="80">
        <f t="shared" si="100"/>
        <v>124797</v>
      </c>
      <c r="AD188" s="80">
        <f t="shared" si="100"/>
        <v>124797</v>
      </c>
      <c r="AE188" s="80">
        <f t="shared" si="100"/>
        <v>114797</v>
      </c>
      <c r="AF188" s="80">
        <f t="shared" si="100"/>
        <v>114797</v>
      </c>
      <c r="AG188" s="80">
        <f t="shared" si="100"/>
        <v>114797</v>
      </c>
      <c r="AH188" s="80">
        <f t="shared" si="100"/>
        <v>114797</v>
      </c>
      <c r="AI188" s="80">
        <f t="shared" si="100"/>
        <v>114797</v>
      </c>
      <c r="AJ188" s="80">
        <f t="shared" ref="AJ188" si="101">ROUND(SUM(AJ184:AJ187),5)</f>
        <v>114797</v>
      </c>
      <c r="AL188" s="147"/>
      <c r="AN188" s="199" t="s">
        <v>840</v>
      </c>
      <c r="AO188" s="199">
        <f>SUM(AO180:AO186)</f>
        <v>596375</v>
      </c>
    </row>
    <row r="189" spans="1:44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59"/>
        <v>0</v>
      </c>
      <c r="Q189" s="69">
        <f t="shared" si="59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66"/>
      <c r="AG189" s="66"/>
      <c r="AH189" s="66"/>
      <c r="AI189" s="66"/>
      <c r="AJ189" s="66"/>
      <c r="AN189" s="199" t="s">
        <v>997</v>
      </c>
      <c r="AO189" s="199">
        <f>AO188-AO186-AO181</f>
        <v>338250</v>
      </c>
      <c r="AQ189" s="199">
        <f>SUM(AQ172:AQ185)</f>
        <v>67650</v>
      </c>
    </row>
    <row r="190" spans="1:44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59"/>
        <v>96804.536666666667</v>
      </c>
      <c r="Q190" s="74">
        <f t="shared" si="59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  <c r="AG190" s="73">
        <v>90000</v>
      </c>
      <c r="AH190" s="73">
        <v>90000</v>
      </c>
      <c r="AI190" s="73">
        <v>90000</v>
      </c>
      <c r="AJ190" s="73">
        <v>90000</v>
      </c>
      <c r="AL190" s="221" t="s">
        <v>1016</v>
      </c>
      <c r="AN190" s="199" t="s">
        <v>842</v>
      </c>
      <c r="AO190" s="111"/>
      <c r="AP190" s="202">
        <f>AO189-AQ189</f>
        <v>270600</v>
      </c>
    </row>
    <row r="191" spans="1:44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102">ROUND(SUM(H189:H190),5)</f>
        <v>61772.91</v>
      </c>
      <c r="I191" s="63">
        <f t="shared" si="102"/>
        <v>30000</v>
      </c>
      <c r="J191" s="64">
        <f t="shared" si="102"/>
        <v>114884.79</v>
      </c>
      <c r="K191" s="64">
        <f t="shared" si="102"/>
        <v>60000</v>
      </c>
      <c r="L191" s="65">
        <f t="shared" si="102"/>
        <v>113755.91</v>
      </c>
      <c r="M191" s="65">
        <f t="shared" si="102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59"/>
        <v>96804.536666666667</v>
      </c>
      <c r="Q191" s="69">
        <f t="shared" si="59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 t="shared" ref="AB191:AI191" si="103">ROUND(SUM(AB189:AB190),5)</f>
        <v>100000</v>
      </c>
      <c r="AC191" s="80">
        <f t="shared" si="103"/>
        <v>100000</v>
      </c>
      <c r="AD191" s="80">
        <f t="shared" si="103"/>
        <v>100000</v>
      </c>
      <c r="AE191" s="80">
        <f t="shared" si="103"/>
        <v>90000</v>
      </c>
      <c r="AF191" s="80">
        <f t="shared" si="103"/>
        <v>90000</v>
      </c>
      <c r="AG191" s="80">
        <f t="shared" si="103"/>
        <v>90000</v>
      </c>
      <c r="AH191" s="80">
        <f t="shared" si="103"/>
        <v>90000</v>
      </c>
      <c r="AI191" s="80">
        <f t="shared" si="103"/>
        <v>90000</v>
      </c>
      <c r="AJ191" s="80">
        <f t="shared" ref="AJ191" si="104">ROUND(SUM(AJ189:AJ190),5)</f>
        <v>90000</v>
      </c>
      <c r="AO191" s="111"/>
      <c r="AQ191" s="111"/>
    </row>
    <row r="192" spans="1:44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  <c r="AF192" s="66"/>
      <c r="AG192" s="66"/>
      <c r="AH192" s="66"/>
      <c r="AI192" s="66"/>
      <c r="AJ192" s="66"/>
      <c r="AO192" s="111"/>
    </row>
    <row r="193" spans="1:43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105">ROUND(H193+J193+L193,5)</f>
        <v>333403.68</v>
      </c>
      <c r="O193" s="66">
        <f t="shared" si="105"/>
        <v>338929</v>
      </c>
      <c r="P193" s="69">
        <f t="shared" si="59"/>
        <v>111134.56</v>
      </c>
      <c r="Q193" s="69">
        <f t="shared" si="59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 t="shared" ref="AB193:AJ193" si="106">ROUND(142010.17, 0)</f>
        <v>142010</v>
      </c>
      <c r="AC193" s="66">
        <f t="shared" si="106"/>
        <v>142010</v>
      </c>
      <c r="AD193" s="66">
        <f t="shared" si="106"/>
        <v>142010</v>
      </c>
      <c r="AE193" s="66">
        <f t="shared" si="106"/>
        <v>142010</v>
      </c>
      <c r="AF193" s="66">
        <f t="shared" si="106"/>
        <v>142010</v>
      </c>
      <c r="AG193" s="66">
        <f t="shared" si="106"/>
        <v>142010</v>
      </c>
      <c r="AH193" s="66">
        <f t="shared" si="106"/>
        <v>142010</v>
      </c>
      <c r="AI193" s="66">
        <f t="shared" si="106"/>
        <v>142010</v>
      </c>
      <c r="AJ193" s="66">
        <f t="shared" si="106"/>
        <v>142010</v>
      </c>
      <c r="AL193" s="221" t="s">
        <v>1020</v>
      </c>
      <c r="AO193" s="111"/>
    </row>
    <row r="194" spans="1:43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105"/>
        <v>694468.19</v>
      </c>
      <c r="O194" s="66">
        <f t="shared" si="105"/>
        <v>750379</v>
      </c>
      <c r="P194" s="69">
        <f t="shared" si="59"/>
        <v>231489.39666666664</v>
      </c>
      <c r="Q194" s="69">
        <f t="shared" si="59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  <c r="AG194" s="66">
        <v>299000</v>
      </c>
      <c r="AH194" s="66">
        <v>299000</v>
      </c>
      <c r="AI194" s="66">
        <v>299000</v>
      </c>
      <c r="AJ194" s="66">
        <v>299000</v>
      </c>
      <c r="AL194" s="221" t="s">
        <v>1021</v>
      </c>
      <c r="AO194"/>
      <c r="AP194"/>
    </row>
    <row r="195" spans="1:43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105"/>
        <v>76944.899999999994</v>
      </c>
      <c r="O195" s="66">
        <f t="shared" si="105"/>
        <v>54756</v>
      </c>
      <c r="P195" s="69">
        <f t="shared" si="59"/>
        <v>25648.3</v>
      </c>
      <c r="Q195" s="69">
        <f t="shared" si="59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 t="shared" ref="AB195:AJ195" si="107">(88*12)*25</f>
        <v>26400</v>
      </c>
      <c r="AC195" s="66">
        <f t="shared" si="107"/>
        <v>26400</v>
      </c>
      <c r="AD195" s="66">
        <f t="shared" si="107"/>
        <v>26400</v>
      </c>
      <c r="AE195" s="66">
        <f t="shared" si="107"/>
        <v>26400</v>
      </c>
      <c r="AF195" s="66">
        <f t="shared" si="107"/>
        <v>26400</v>
      </c>
      <c r="AG195" s="66">
        <f t="shared" si="107"/>
        <v>26400</v>
      </c>
      <c r="AH195" s="66">
        <f t="shared" si="107"/>
        <v>26400</v>
      </c>
      <c r="AI195" s="66">
        <f t="shared" si="107"/>
        <v>26400</v>
      </c>
      <c r="AJ195" s="66">
        <f t="shared" si="107"/>
        <v>26400</v>
      </c>
      <c r="AL195" s="221" t="s">
        <v>972</v>
      </c>
      <c r="AO195"/>
      <c r="AP195"/>
      <c r="AQ195"/>
    </row>
    <row r="196" spans="1:43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105"/>
        <v>582630.68999999994</v>
      </c>
      <c r="O196" s="66">
        <f t="shared" si="105"/>
        <v>470773.25</v>
      </c>
      <c r="P196" s="69">
        <f t="shared" si="59"/>
        <v>194210.22999999998</v>
      </c>
      <c r="Q196" s="69">
        <f t="shared" si="59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G196" s="66">
        <f>ROUND(199878.15, -2)</f>
        <v>199900</v>
      </c>
      <c r="AH196" s="66">
        <f>ROUND(199878.15, -2)</f>
        <v>199900</v>
      </c>
      <c r="AI196" s="66">
        <f>ROUND(199878.15, -2)</f>
        <v>199900</v>
      </c>
      <c r="AJ196" s="66">
        <f>ROUND(199878.15, -2)</f>
        <v>199900</v>
      </c>
      <c r="AL196" s="221" t="s">
        <v>973</v>
      </c>
      <c r="AP196" s="112"/>
    </row>
    <row r="197" spans="1:43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105"/>
        <v>3315663.86</v>
      </c>
      <c r="O197" s="66">
        <f t="shared" si="105"/>
        <v>3738792</v>
      </c>
      <c r="P197" s="69">
        <f t="shared" si="59"/>
        <v>1105221.2866666666</v>
      </c>
      <c r="Q197" s="69">
        <f t="shared" si="59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  <c r="AG197" s="66">
        <v>1187244</v>
      </c>
      <c r="AH197" s="66">
        <v>1187244</v>
      </c>
      <c r="AI197" s="66">
        <v>1187244</v>
      </c>
      <c r="AJ197" s="66">
        <v>1187244</v>
      </c>
      <c r="AL197" s="180"/>
      <c r="AP197" s="112"/>
    </row>
    <row r="198" spans="1:43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108">ROUND(SUM(H192:H197),5)</f>
        <v>1617990.72</v>
      </c>
      <c r="I198" s="75">
        <f t="shared" si="108"/>
        <v>1764843.75</v>
      </c>
      <c r="J198" s="76">
        <f t="shared" si="108"/>
        <v>1649149.39</v>
      </c>
      <c r="K198" s="76">
        <f t="shared" si="108"/>
        <v>1716700</v>
      </c>
      <c r="L198" s="77">
        <f t="shared" si="108"/>
        <v>1735971.21</v>
      </c>
      <c r="M198" s="77">
        <f t="shared" si="108"/>
        <v>1872085.5</v>
      </c>
      <c r="N198" s="78">
        <f t="shared" si="105"/>
        <v>5003111.32</v>
      </c>
      <c r="O198" s="78">
        <f t="shared" si="105"/>
        <v>5353629.25</v>
      </c>
      <c r="P198" s="79">
        <f t="shared" si="59"/>
        <v>1667703.7733333334</v>
      </c>
      <c r="Q198" s="79">
        <f t="shared" si="59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 t="shared" ref="AB198:AI198" si="109">ROUND(SUM(AB192:AB197),5)</f>
        <v>1916936</v>
      </c>
      <c r="AC198" s="80">
        <f t="shared" si="109"/>
        <v>1916936</v>
      </c>
      <c r="AD198" s="80">
        <f t="shared" si="109"/>
        <v>1916936</v>
      </c>
      <c r="AE198" s="80">
        <f t="shared" si="109"/>
        <v>1916936</v>
      </c>
      <c r="AF198" s="80">
        <f t="shared" si="109"/>
        <v>1916936</v>
      </c>
      <c r="AG198" s="80">
        <f t="shared" si="109"/>
        <v>1854554</v>
      </c>
      <c r="AH198" s="80">
        <f t="shared" si="109"/>
        <v>1854554</v>
      </c>
      <c r="AI198" s="80">
        <f t="shared" si="109"/>
        <v>1854554</v>
      </c>
      <c r="AJ198" s="80">
        <f t="shared" ref="AJ198" si="110">ROUND(SUM(AJ192:AJ197),5)</f>
        <v>1854554</v>
      </c>
      <c r="AL198" s="181"/>
    </row>
    <row r="199" spans="1:43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  <c r="AF199" s="66"/>
      <c r="AG199" s="66"/>
      <c r="AH199" s="66"/>
      <c r="AI199" s="66"/>
      <c r="AJ199" s="66"/>
      <c r="AP199" s="111"/>
    </row>
    <row r="200" spans="1:43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111">N200/3</f>
        <v>5375.666666666667</v>
      </c>
      <c r="Q200" s="74">
        <f t="shared" si="111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G200" s="73">
        <v>6980</v>
      </c>
      <c r="AH200" s="73">
        <v>6980</v>
      </c>
      <c r="AI200" s="73">
        <v>6980</v>
      </c>
      <c r="AJ200" s="73">
        <v>6980</v>
      </c>
      <c r="AL200" s="182"/>
      <c r="AP200" s="171"/>
    </row>
    <row r="201" spans="1:43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112">ROUND(SUM(H199:H200),5)</f>
        <v>5928</v>
      </c>
      <c r="I201" s="63">
        <f t="shared" si="112"/>
        <v>6321</v>
      </c>
      <c r="J201" s="64">
        <f t="shared" si="112"/>
        <v>4164</v>
      </c>
      <c r="K201" s="64">
        <f t="shared" si="112"/>
        <v>7265</v>
      </c>
      <c r="L201" s="65">
        <f t="shared" si="112"/>
        <v>6035</v>
      </c>
      <c r="M201" s="65">
        <f t="shared" si="112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111"/>
        <v>5375.666666666667</v>
      </c>
      <c r="Q201" s="69">
        <f t="shared" si="111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 t="shared" ref="AB201:AI201" si="113">ROUND(SUM(AB199:AB200),5)</f>
        <v>6980</v>
      </c>
      <c r="AC201" s="80">
        <f t="shared" si="113"/>
        <v>6980</v>
      </c>
      <c r="AD201" s="80">
        <f t="shared" si="113"/>
        <v>6980</v>
      </c>
      <c r="AE201" s="80">
        <f t="shared" si="113"/>
        <v>6980</v>
      </c>
      <c r="AF201" s="80">
        <f t="shared" si="113"/>
        <v>6980</v>
      </c>
      <c r="AG201" s="80">
        <f t="shared" si="113"/>
        <v>6980</v>
      </c>
      <c r="AH201" s="80">
        <f t="shared" si="113"/>
        <v>6980</v>
      </c>
      <c r="AI201" s="80">
        <f t="shared" si="113"/>
        <v>6980</v>
      </c>
      <c r="AJ201" s="80">
        <f t="shared" ref="AJ201" si="114">ROUND(SUM(AJ199:AJ200),5)</f>
        <v>6980</v>
      </c>
      <c r="AL201" s="182"/>
      <c r="AP201" s="111"/>
    </row>
    <row r="202" spans="1:43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  <c r="AF202" s="66"/>
      <c r="AG202" s="66"/>
      <c r="AH202" s="66"/>
      <c r="AI202" s="66"/>
      <c r="AJ202" s="66"/>
      <c r="AP202" s="111"/>
    </row>
    <row r="203" spans="1:43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111"/>
        <v>4066.6533333333332</v>
      </c>
      <c r="Q203" s="69">
        <f t="shared" si="111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  <c r="AG203" s="66">
        <v>2400</v>
      </c>
      <c r="AH203" s="66">
        <v>2400</v>
      </c>
      <c r="AI203" s="66">
        <v>2400</v>
      </c>
      <c r="AJ203" s="66">
        <v>2400</v>
      </c>
      <c r="AP203" s="111"/>
    </row>
    <row r="204" spans="1:43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111"/>
        <v>666.66666666666663</v>
      </c>
      <c r="Q204" s="69">
        <f t="shared" si="111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H204" s="66">
        <v>0</v>
      </c>
      <c r="AI204" s="66">
        <v>0</v>
      </c>
      <c r="AJ204" s="66">
        <v>0</v>
      </c>
      <c r="AP204" s="111"/>
    </row>
    <row r="205" spans="1:43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111"/>
        <v>330</v>
      </c>
      <c r="Q205" s="69">
        <f t="shared" si="111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  <c r="AG205" s="66">
        <v>210</v>
      </c>
      <c r="AH205" s="66">
        <v>210</v>
      </c>
      <c r="AI205" s="66">
        <v>210</v>
      </c>
      <c r="AJ205" s="66">
        <v>210</v>
      </c>
      <c r="AP205" s="111">
        <f ca="1">SUM(AP199:AP209)</f>
        <v>0</v>
      </c>
    </row>
    <row r="206" spans="1:43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111"/>
        <v>11731.87</v>
      </c>
      <c r="Q206" s="69">
        <f t="shared" si="111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  <c r="AG206" s="66">
        <v>10000</v>
      </c>
      <c r="AH206" s="66">
        <v>10000</v>
      </c>
      <c r="AI206" s="66">
        <v>10000</v>
      </c>
      <c r="AJ206" s="66">
        <v>10000</v>
      </c>
      <c r="AP206" s="111"/>
    </row>
    <row r="207" spans="1:43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115">ROUND(SUM(H202:H206),5)</f>
        <v>22749.62</v>
      </c>
      <c r="I207" s="75">
        <f t="shared" si="115"/>
        <v>7950</v>
      </c>
      <c r="J207" s="76">
        <f t="shared" si="115"/>
        <v>10219.52</v>
      </c>
      <c r="K207" s="76">
        <f t="shared" si="115"/>
        <v>2840</v>
      </c>
      <c r="L207" s="77">
        <f t="shared" si="115"/>
        <v>17416.43</v>
      </c>
      <c r="M207" s="77">
        <f t="shared" si="115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111"/>
        <v>16795.189999999999</v>
      </c>
      <c r="Q207" s="79">
        <f t="shared" si="111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 t="shared" ref="AB207:AI207" si="116">ROUND(SUM(AB202:AB206),5)</f>
        <v>12610</v>
      </c>
      <c r="AC207" s="80">
        <f t="shared" si="116"/>
        <v>12610</v>
      </c>
      <c r="AD207" s="80">
        <f t="shared" si="116"/>
        <v>12610</v>
      </c>
      <c r="AE207" s="80">
        <f t="shared" si="116"/>
        <v>12610</v>
      </c>
      <c r="AF207" s="80">
        <f t="shared" si="116"/>
        <v>12610</v>
      </c>
      <c r="AG207" s="80">
        <f t="shared" si="116"/>
        <v>12610</v>
      </c>
      <c r="AH207" s="80">
        <f t="shared" si="116"/>
        <v>12610</v>
      </c>
      <c r="AI207" s="80">
        <f t="shared" si="116"/>
        <v>12610</v>
      </c>
      <c r="AJ207" s="80">
        <f t="shared" ref="AJ207" si="117">ROUND(SUM(AJ202:AJ206),5)</f>
        <v>12610</v>
      </c>
      <c r="AP207" s="111"/>
    </row>
    <row r="208" spans="1:43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  <c r="AF208" s="66"/>
      <c r="AG208" s="66"/>
      <c r="AH208" s="66"/>
      <c r="AI208" s="66"/>
      <c r="AJ208" s="66"/>
      <c r="AP208" s="111"/>
    </row>
    <row r="209" spans="1:42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  <c r="AF209" s="66"/>
      <c r="AG209" s="66"/>
      <c r="AH209" s="66"/>
      <c r="AI209" s="66"/>
      <c r="AJ209" s="66"/>
      <c r="AP209" s="111"/>
    </row>
    <row r="210" spans="1:42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111"/>
        <v>4434.333333333333</v>
      </c>
      <c r="Q210" s="69">
        <f t="shared" si="111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G210" s="66">
        <v>1500</v>
      </c>
      <c r="AH210" s="66">
        <v>1500</v>
      </c>
      <c r="AI210" s="66">
        <v>1500</v>
      </c>
      <c r="AJ210" s="66">
        <v>1500</v>
      </c>
      <c r="AL210" s="221" t="s">
        <v>901</v>
      </c>
    </row>
    <row r="211" spans="1:42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111"/>
        <v>78916.666666666672</v>
      </c>
      <c r="Q211" s="69">
        <f t="shared" si="111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G211" s="66">
        <v>77000</v>
      </c>
      <c r="AH211" s="66">
        <v>77000</v>
      </c>
      <c r="AI211" s="66">
        <v>77000</v>
      </c>
      <c r="AJ211" s="66">
        <v>77000</v>
      </c>
      <c r="AL211" s="221" t="s">
        <v>854</v>
      </c>
      <c r="AP211" s="111"/>
    </row>
    <row r="212" spans="1:42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111"/>
        <v>1180</v>
      </c>
      <c r="Q212" s="69">
        <f t="shared" si="111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H212" s="66">
        <v>0</v>
      </c>
      <c r="AI212" s="66">
        <v>0</v>
      </c>
      <c r="AJ212" s="66">
        <v>0</v>
      </c>
      <c r="AP212" s="111"/>
    </row>
    <row r="213" spans="1:42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111"/>
        <v>725696</v>
      </c>
      <c r="Q213" s="69">
        <f t="shared" si="111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G213" s="66">
        <v>644500</v>
      </c>
      <c r="AH213" s="66">
        <v>644500</v>
      </c>
      <c r="AI213" s="66">
        <v>644500</v>
      </c>
      <c r="AJ213" s="66">
        <v>644500</v>
      </c>
      <c r="AL213" s="221" t="s">
        <v>853</v>
      </c>
    </row>
    <row r="214" spans="1:42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111"/>
        <v>114800</v>
      </c>
      <c r="Q214" s="69">
        <f t="shared" si="111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G214" s="66">
        <v>153000</v>
      </c>
      <c r="AH214" s="66">
        <v>153000</v>
      </c>
      <c r="AI214" s="66">
        <v>153000</v>
      </c>
      <c r="AJ214" s="66">
        <v>153000</v>
      </c>
      <c r="AL214" s="221" t="s">
        <v>855</v>
      </c>
    </row>
    <row r="215" spans="1:42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118">ROUND(SUM(H209:H214),5)</f>
        <v>884166</v>
      </c>
      <c r="I215" s="75">
        <f t="shared" si="118"/>
        <v>788300</v>
      </c>
      <c r="J215" s="76">
        <f t="shared" si="118"/>
        <v>968225</v>
      </c>
      <c r="K215" s="76">
        <f t="shared" si="118"/>
        <v>966375</v>
      </c>
      <c r="L215" s="77">
        <f t="shared" si="118"/>
        <v>922690</v>
      </c>
      <c r="M215" s="77">
        <f t="shared" si="118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111"/>
        <v>925027</v>
      </c>
      <c r="Q215" s="79">
        <f t="shared" si="111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 t="shared" ref="AB215:AI215" si="119">ROUND(SUM(AB209:AB214),5)</f>
        <v>876000</v>
      </c>
      <c r="AC215" s="80">
        <f t="shared" si="119"/>
        <v>876000</v>
      </c>
      <c r="AD215" s="80">
        <f t="shared" si="119"/>
        <v>876000</v>
      </c>
      <c r="AE215" s="80">
        <f t="shared" si="119"/>
        <v>876000</v>
      </c>
      <c r="AF215" s="80">
        <f t="shared" si="119"/>
        <v>876000</v>
      </c>
      <c r="AG215" s="80">
        <f t="shared" si="119"/>
        <v>876000</v>
      </c>
      <c r="AH215" s="80">
        <f t="shared" si="119"/>
        <v>876000</v>
      </c>
      <c r="AI215" s="80">
        <f t="shared" si="119"/>
        <v>876000</v>
      </c>
      <c r="AJ215" s="80">
        <f t="shared" ref="AJ215" si="120">ROUND(SUM(AJ209:AJ214),5)</f>
        <v>876000</v>
      </c>
      <c r="AL215" s="213" t="s">
        <v>952</v>
      </c>
    </row>
    <row r="216" spans="1:42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F216" s="66"/>
      <c r="AG216" s="66"/>
      <c r="AH216" s="66"/>
      <c r="AI216" s="66"/>
      <c r="AJ216" s="66"/>
      <c r="AL216" s="222">
        <f>AG215-AG423</f>
        <v>5796</v>
      </c>
    </row>
    <row r="217" spans="1:42" ht="16.5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111"/>
        <v>4578.333333333333</v>
      </c>
      <c r="Q217" s="69">
        <f t="shared" si="111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33750</v>
      </c>
      <c r="AH217" s="66">
        <v>33750</v>
      </c>
      <c r="AI217" s="66">
        <v>33750</v>
      </c>
      <c r="AJ217" s="66">
        <v>33750</v>
      </c>
      <c r="AK217" s="206" t="s">
        <v>1000</v>
      </c>
      <c r="AL217" s="221" t="s">
        <v>975</v>
      </c>
    </row>
    <row r="218" spans="1:42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111"/>
        <v>4578.333333333333</v>
      </c>
      <c r="Q218" s="79">
        <f t="shared" si="111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  <c r="AF218" s="86"/>
      <c r="AG218" s="78">
        <f>ROUND(SUM(AG216:AG217),5)</f>
        <v>33750</v>
      </c>
      <c r="AH218" s="78">
        <f>ROUND(SUM(AH216:AH217),5)</f>
        <v>33750</v>
      </c>
      <c r="AI218" s="78">
        <f>ROUND(SUM(AI216:AI217),5)</f>
        <v>33750</v>
      </c>
      <c r="AJ218" s="78">
        <f>ROUND(SUM(AJ216:AJ217),5)</f>
        <v>33750</v>
      </c>
    </row>
    <row r="219" spans="1:42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121">ROUND(H208+H215+H218,5)</f>
        <v>884166</v>
      </c>
      <c r="I219" s="83">
        <f t="shared" si="121"/>
        <v>788300</v>
      </c>
      <c r="J219" s="84">
        <f t="shared" si="121"/>
        <v>981960</v>
      </c>
      <c r="K219" s="84">
        <f t="shared" si="121"/>
        <v>966375</v>
      </c>
      <c r="L219" s="85">
        <f t="shared" si="121"/>
        <v>922690</v>
      </c>
      <c r="M219" s="85">
        <f t="shared" si="121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111"/>
        <v>929605.33333333337</v>
      </c>
      <c r="Q219" s="87">
        <f t="shared" si="111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 t="shared" ref="AB219:AI219" si="122">ROUND(AB208+AB215+AB218,5)</f>
        <v>876000</v>
      </c>
      <c r="AC219" s="88">
        <f t="shared" si="122"/>
        <v>876000</v>
      </c>
      <c r="AD219" s="88">
        <f t="shared" si="122"/>
        <v>876000</v>
      </c>
      <c r="AE219" s="88">
        <f t="shared" si="122"/>
        <v>876000</v>
      </c>
      <c r="AF219" s="88">
        <f t="shared" si="122"/>
        <v>876000</v>
      </c>
      <c r="AG219" s="88">
        <f t="shared" si="122"/>
        <v>909750</v>
      </c>
      <c r="AH219" s="88">
        <f t="shared" si="122"/>
        <v>909750</v>
      </c>
      <c r="AI219" s="88">
        <f t="shared" si="122"/>
        <v>909750</v>
      </c>
      <c r="AJ219" s="88">
        <f t="shared" ref="AJ219" si="123">ROUND(AJ208+AJ215+AJ218,5)</f>
        <v>909750</v>
      </c>
    </row>
    <row r="220" spans="1:42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124">ROUND(H6+H183+H188+H191+H198+H201+H207+H219,5)</f>
        <v>4510004.6399999997</v>
      </c>
      <c r="I220" s="63">
        <f t="shared" si="124"/>
        <v>4835153.75</v>
      </c>
      <c r="J220" s="64">
        <f t="shared" si="124"/>
        <v>4937480.91</v>
      </c>
      <c r="K220" s="64">
        <f t="shared" si="124"/>
        <v>4877579.92</v>
      </c>
      <c r="L220" s="65">
        <f t="shared" si="124"/>
        <v>5214991.41</v>
      </c>
      <c r="M220" s="65">
        <f t="shared" si="124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111"/>
        <v>4887492.32</v>
      </c>
      <c r="Q220" s="69">
        <f t="shared" si="111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 t="shared" ref="AB220:AI220" si="125">ROUND(AB6+AB183+AB188+AB191+AB198+AB201+AB207+AB219,5)</f>
        <v>5311671.1100000003</v>
      </c>
      <c r="AC220" s="66">
        <f t="shared" si="125"/>
        <v>5311671.1100000003</v>
      </c>
      <c r="AD220" s="66">
        <f t="shared" si="125"/>
        <v>5376940.5099999998</v>
      </c>
      <c r="AE220" s="66">
        <f t="shared" si="125"/>
        <v>5356940.51</v>
      </c>
      <c r="AF220" s="66">
        <f t="shared" si="125"/>
        <v>5510132.2000000002</v>
      </c>
      <c r="AG220" s="66">
        <f t="shared" si="125"/>
        <v>5598969</v>
      </c>
      <c r="AH220" s="66">
        <f t="shared" si="125"/>
        <v>5743969</v>
      </c>
      <c r="AI220" s="66">
        <f t="shared" si="125"/>
        <v>5677969</v>
      </c>
      <c r="AJ220" s="66">
        <f t="shared" ref="AJ220" si="126">ROUND(AJ6+AJ183+AJ188+AJ191+AJ198+AJ201+AJ207+AJ219,5)</f>
        <v>5681469</v>
      </c>
      <c r="AL220" s="182"/>
    </row>
    <row r="221" spans="1:42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  <c r="AF221" s="66"/>
      <c r="AG221" s="66"/>
      <c r="AH221" s="66"/>
      <c r="AI221" s="66"/>
      <c r="AJ221" s="66"/>
    </row>
    <row r="222" spans="1:42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  <c r="AF222" s="66"/>
      <c r="AG222" s="66"/>
      <c r="AH222" s="66"/>
      <c r="AI222" s="66"/>
      <c r="AJ222" s="66"/>
    </row>
    <row r="223" spans="1:42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127">ROUND(H223+J223+L223,5)</f>
        <v>14645.71</v>
      </c>
      <c r="O223" s="66">
        <f t="shared" si="127"/>
        <v>15644.98</v>
      </c>
      <c r="P223" s="69">
        <f t="shared" si="111"/>
        <v>4881.9033333333327</v>
      </c>
      <c r="Q223" s="69">
        <f t="shared" si="111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 t="shared" ref="AB223:AJ223" si="128">ROUND(5691.67, 0)</f>
        <v>5692</v>
      </c>
      <c r="AC223" s="66">
        <f t="shared" si="128"/>
        <v>5692</v>
      </c>
      <c r="AD223" s="66">
        <f t="shared" si="128"/>
        <v>5692</v>
      </c>
      <c r="AE223" s="66">
        <f t="shared" si="128"/>
        <v>5692</v>
      </c>
      <c r="AF223" s="66">
        <f t="shared" si="128"/>
        <v>5692</v>
      </c>
      <c r="AG223" s="66">
        <f t="shared" si="128"/>
        <v>5692</v>
      </c>
      <c r="AH223" s="66">
        <f t="shared" si="128"/>
        <v>5692</v>
      </c>
      <c r="AI223" s="66">
        <f t="shared" si="128"/>
        <v>5692</v>
      </c>
      <c r="AJ223" s="66">
        <f t="shared" si="128"/>
        <v>5692</v>
      </c>
    </row>
    <row r="224" spans="1:42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127"/>
        <v>3195.19</v>
      </c>
      <c r="O224" s="66">
        <f t="shared" si="127"/>
        <v>7437.44</v>
      </c>
      <c r="P224" s="69">
        <f t="shared" si="111"/>
        <v>1065.0633333333333</v>
      </c>
      <c r="Q224" s="69">
        <f t="shared" si="111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  <c r="AG224" s="66">
        <v>3348</v>
      </c>
      <c r="AH224" s="66">
        <v>3348</v>
      </c>
      <c r="AI224" s="66">
        <v>3348</v>
      </c>
      <c r="AJ224" s="66">
        <v>3348</v>
      </c>
    </row>
    <row r="225" spans="1:36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129">ROUND(SUM(H222:H224),5)</f>
        <v>5911.22</v>
      </c>
      <c r="I225" s="75">
        <f t="shared" si="129"/>
        <v>5833.45</v>
      </c>
      <c r="J225" s="76">
        <f t="shared" si="129"/>
        <v>5605.52</v>
      </c>
      <c r="K225" s="76">
        <f t="shared" si="129"/>
        <v>5849.17</v>
      </c>
      <c r="L225" s="77">
        <f t="shared" si="129"/>
        <v>6324.16</v>
      </c>
      <c r="M225" s="77">
        <f t="shared" si="129"/>
        <v>11399.8</v>
      </c>
      <c r="N225" s="78">
        <f t="shared" si="127"/>
        <v>17840.900000000001</v>
      </c>
      <c r="O225" s="78">
        <f t="shared" si="127"/>
        <v>23082.42</v>
      </c>
      <c r="P225" s="79">
        <f t="shared" si="111"/>
        <v>5946.9666666666672</v>
      </c>
      <c r="Q225" s="79">
        <f t="shared" si="111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 t="shared" ref="AB225:AI225" si="130">ROUND(SUM(AB222:AB224),5)</f>
        <v>9040</v>
      </c>
      <c r="AC225" s="80">
        <f t="shared" si="130"/>
        <v>9040</v>
      </c>
      <c r="AD225" s="80">
        <f t="shared" si="130"/>
        <v>9040</v>
      </c>
      <c r="AE225" s="80">
        <f t="shared" si="130"/>
        <v>9040</v>
      </c>
      <c r="AF225" s="80">
        <f t="shared" si="130"/>
        <v>9040</v>
      </c>
      <c r="AG225" s="80">
        <f t="shared" si="130"/>
        <v>9040</v>
      </c>
      <c r="AH225" s="80">
        <f t="shared" si="130"/>
        <v>9040</v>
      </c>
      <c r="AI225" s="80">
        <f t="shared" si="130"/>
        <v>9040</v>
      </c>
      <c r="AJ225" s="80">
        <f t="shared" ref="AJ225" si="131">ROUND(SUM(AJ222:AJ224),5)</f>
        <v>9040</v>
      </c>
    </row>
    <row r="226" spans="1:36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  <c r="AF226" s="66"/>
      <c r="AG226" s="66"/>
      <c r="AH226" s="66"/>
      <c r="AI226" s="66"/>
      <c r="AJ226" s="66"/>
    </row>
    <row r="227" spans="1:36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 t="shared" ref="AE227:AJ227" si="132">AE9*0.2</f>
        <v>205210.84</v>
      </c>
      <c r="AF227" s="66">
        <f t="shared" si="132"/>
        <v>205210.84</v>
      </c>
      <c r="AG227" s="66">
        <f t="shared" si="132"/>
        <v>205210.84</v>
      </c>
      <c r="AH227" s="66">
        <f t="shared" si="132"/>
        <v>205210.84</v>
      </c>
      <c r="AI227" s="66">
        <f t="shared" si="132"/>
        <v>205210.84</v>
      </c>
      <c r="AJ227" s="66">
        <f t="shared" si="132"/>
        <v>205210.84</v>
      </c>
    </row>
    <row r="228" spans="1:36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111"/>
        <v>621.57000000000005</v>
      </c>
      <c r="Q228" s="69">
        <f t="shared" si="111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  <c r="AF228" s="66"/>
      <c r="AG228" s="66"/>
      <c r="AH228" s="66"/>
      <c r="AI228" s="66"/>
      <c r="AJ228" s="66"/>
    </row>
    <row r="229" spans="1:36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111"/>
        <v>0</v>
      </c>
      <c r="Q229" s="69">
        <f t="shared" si="111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  <c r="AF229" s="66"/>
      <c r="AG229" s="66"/>
      <c r="AH229" s="66"/>
      <c r="AI229" s="66"/>
      <c r="AJ229" s="66"/>
    </row>
    <row r="230" spans="1:36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133">ROUND(H230+J230+L230,5)</f>
        <v>160678.19</v>
      </c>
      <c r="O230" s="66">
        <f t="shared" si="133"/>
        <v>76847.710000000006</v>
      </c>
      <c r="P230" s="69">
        <f t="shared" si="111"/>
        <v>53559.396666666667</v>
      </c>
      <c r="Q230" s="69">
        <f t="shared" si="111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  <c r="AF230" s="66"/>
      <c r="AG230" s="66"/>
      <c r="AH230" s="66"/>
      <c r="AI230" s="66"/>
      <c r="AJ230" s="66"/>
    </row>
    <row r="231" spans="1:36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133"/>
        <v>4393.6000000000004</v>
      </c>
      <c r="O231" s="66">
        <f t="shared" si="133"/>
        <v>3748.32</v>
      </c>
      <c r="P231" s="69">
        <f t="shared" si="111"/>
        <v>1464.5333333333335</v>
      </c>
      <c r="Q231" s="69">
        <f t="shared" si="111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  <c r="AF231" s="66"/>
      <c r="AG231" s="66"/>
      <c r="AH231" s="66"/>
      <c r="AI231" s="66"/>
      <c r="AJ231" s="66"/>
    </row>
    <row r="232" spans="1:36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133"/>
        <v>3931.71</v>
      </c>
      <c r="O232" s="66">
        <f t="shared" si="133"/>
        <v>1056.04</v>
      </c>
      <c r="P232" s="69">
        <f t="shared" si="111"/>
        <v>1310.57</v>
      </c>
      <c r="Q232" s="69">
        <f t="shared" si="111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  <c r="AF232" s="66"/>
      <c r="AG232" s="66"/>
      <c r="AH232" s="66"/>
      <c r="AI232" s="66"/>
      <c r="AJ232" s="66"/>
    </row>
    <row r="233" spans="1:36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133"/>
        <v>1953.44</v>
      </c>
      <c r="O233" s="73">
        <f t="shared" si="133"/>
        <v>100</v>
      </c>
      <c r="P233" s="74">
        <f t="shared" si="111"/>
        <v>651.14666666666665</v>
      </c>
      <c r="Q233" s="74">
        <f t="shared" si="111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  <c r="AF233" s="73"/>
      <c r="AG233" s="73"/>
      <c r="AH233" s="73"/>
      <c r="AI233" s="73"/>
      <c r="AJ233" s="73"/>
    </row>
    <row r="234" spans="1:36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134">ROUND(SUM(H229:H233),5)</f>
        <v>66004.350000000006</v>
      </c>
      <c r="I234" s="63">
        <f t="shared" si="134"/>
        <v>0</v>
      </c>
      <c r="J234" s="64">
        <f t="shared" si="134"/>
        <v>53975.49</v>
      </c>
      <c r="K234" s="64">
        <f t="shared" si="134"/>
        <v>13281.84</v>
      </c>
      <c r="L234" s="65">
        <f t="shared" si="134"/>
        <v>50977.1</v>
      </c>
      <c r="M234" s="65">
        <f t="shared" si="134"/>
        <v>68470.23</v>
      </c>
      <c r="N234" s="66">
        <f t="shared" si="133"/>
        <v>170956.94</v>
      </c>
      <c r="O234" s="66">
        <f t="shared" si="133"/>
        <v>81752.070000000007</v>
      </c>
      <c r="P234" s="69">
        <f t="shared" si="111"/>
        <v>56985.646666666667</v>
      </c>
      <c r="Q234" s="69">
        <f t="shared" si="111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 t="shared" ref="AB234:AI234" si="135">ROUND(SUM(AB229:AB233),5)</f>
        <v>0</v>
      </c>
      <c r="AC234" s="66">
        <f t="shared" si="135"/>
        <v>0</v>
      </c>
      <c r="AD234" s="66">
        <f t="shared" si="135"/>
        <v>0</v>
      </c>
      <c r="AE234" s="66">
        <f t="shared" si="135"/>
        <v>0</v>
      </c>
      <c r="AF234" s="66">
        <f t="shared" si="135"/>
        <v>0</v>
      </c>
      <c r="AG234" s="66">
        <f t="shared" si="135"/>
        <v>0</v>
      </c>
      <c r="AH234" s="66">
        <f t="shared" si="135"/>
        <v>0</v>
      </c>
      <c r="AI234" s="66">
        <f t="shared" si="135"/>
        <v>0</v>
      </c>
      <c r="AJ234" s="66">
        <f t="shared" ref="AJ234" si="136">ROUND(SUM(AJ229:AJ233),5)</f>
        <v>0</v>
      </c>
    </row>
    <row r="235" spans="1:36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  <c r="AF235" s="66"/>
      <c r="AG235" s="66"/>
      <c r="AH235" s="66"/>
      <c r="AI235" s="66"/>
      <c r="AJ235" s="66"/>
    </row>
    <row r="236" spans="1:36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137">ROUND(H236+J236+L236,5)</f>
        <v>10300.370000000001</v>
      </c>
      <c r="O236" s="66">
        <f t="shared" si="137"/>
        <v>7978.18</v>
      </c>
      <c r="P236" s="69">
        <f t="shared" si="111"/>
        <v>3433.4566666666669</v>
      </c>
      <c r="Q236" s="69">
        <f t="shared" si="111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  <c r="AF236" s="66"/>
      <c r="AG236" s="66"/>
      <c r="AH236" s="66"/>
      <c r="AI236" s="66"/>
      <c r="AJ236" s="66"/>
    </row>
    <row r="237" spans="1:36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137"/>
        <v>265.04000000000002</v>
      </c>
      <c r="O237" s="66">
        <f t="shared" si="137"/>
        <v>2079.58</v>
      </c>
      <c r="P237" s="69">
        <f t="shared" si="111"/>
        <v>88.346666666666678</v>
      </c>
      <c r="Q237" s="69">
        <f t="shared" si="111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  <c r="AF237" s="66"/>
      <c r="AG237" s="66"/>
      <c r="AH237" s="66"/>
      <c r="AI237" s="66"/>
      <c r="AJ237" s="66"/>
    </row>
    <row r="238" spans="1:36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137"/>
        <v>291.58999999999997</v>
      </c>
      <c r="O238" s="66">
        <f t="shared" si="137"/>
        <v>6330.08</v>
      </c>
      <c r="P238" s="69">
        <f t="shared" si="111"/>
        <v>97.196666666666658</v>
      </c>
      <c r="Q238" s="69">
        <f t="shared" si="111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  <c r="AF238" s="66"/>
      <c r="AG238" s="66"/>
      <c r="AH238" s="66"/>
      <c r="AI238" s="66"/>
      <c r="AJ238" s="66"/>
    </row>
    <row r="239" spans="1:36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137"/>
        <v>1002.62</v>
      </c>
      <c r="O239" s="66">
        <f t="shared" si="137"/>
        <v>3299.3</v>
      </c>
      <c r="P239" s="69">
        <f t="shared" si="111"/>
        <v>334.20666666666665</v>
      </c>
      <c r="Q239" s="69">
        <f t="shared" si="111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  <c r="AF239" s="66"/>
      <c r="AG239" s="66"/>
      <c r="AH239" s="66"/>
      <c r="AI239" s="66"/>
      <c r="AJ239" s="66"/>
    </row>
    <row r="240" spans="1:36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137"/>
        <v>384.28</v>
      </c>
      <c r="O240" s="66">
        <f t="shared" si="137"/>
        <v>0</v>
      </c>
      <c r="P240" s="69">
        <f t="shared" si="111"/>
        <v>128.09333333333333</v>
      </c>
      <c r="Q240" s="69">
        <f t="shared" si="111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  <c r="AF240" s="66"/>
      <c r="AG240" s="66"/>
      <c r="AH240" s="66"/>
      <c r="AI240" s="66"/>
      <c r="AJ240" s="66"/>
    </row>
    <row r="241" spans="1:36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137"/>
        <v>1703.01</v>
      </c>
      <c r="O241" s="66">
        <f t="shared" si="137"/>
        <v>6458.46</v>
      </c>
      <c r="P241" s="69">
        <f t="shared" si="111"/>
        <v>567.66999999999996</v>
      </c>
      <c r="Q241" s="69">
        <f t="shared" si="111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  <c r="AF241" s="66"/>
      <c r="AG241" s="66"/>
      <c r="AH241" s="66"/>
      <c r="AI241" s="66"/>
      <c r="AJ241" s="66"/>
    </row>
    <row r="242" spans="1:36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137"/>
        <v>844.98</v>
      </c>
      <c r="O242" s="66">
        <f t="shared" si="137"/>
        <v>4878.88</v>
      </c>
      <c r="P242" s="69">
        <f t="shared" si="111"/>
        <v>281.66000000000003</v>
      </c>
      <c r="Q242" s="69">
        <f t="shared" si="111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  <c r="AF242" s="66"/>
      <c r="AG242" s="66"/>
      <c r="AH242" s="66"/>
      <c r="AI242" s="66"/>
      <c r="AJ242" s="66"/>
    </row>
    <row r="243" spans="1:36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137"/>
        <v>952.7</v>
      </c>
      <c r="O243" s="66">
        <f t="shared" si="137"/>
        <v>759.86</v>
      </c>
      <c r="P243" s="69">
        <f t="shared" si="111"/>
        <v>317.56666666666666</v>
      </c>
      <c r="Q243" s="69">
        <f t="shared" si="111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  <c r="AF243" s="66"/>
      <c r="AG243" s="66"/>
      <c r="AH243" s="66"/>
      <c r="AI243" s="66"/>
      <c r="AJ243" s="66"/>
    </row>
    <row r="244" spans="1:36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137"/>
        <v>-279.7</v>
      </c>
      <c r="O244" s="66">
        <v>0</v>
      </c>
      <c r="P244" s="69">
        <f t="shared" si="111"/>
        <v>-93.233333333333334</v>
      </c>
      <c r="Q244" s="69">
        <f t="shared" si="111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  <c r="AF244" s="66"/>
      <c r="AG244" s="66"/>
      <c r="AH244" s="66"/>
      <c r="AI244" s="66"/>
      <c r="AJ244" s="66"/>
    </row>
    <row r="245" spans="1:36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137"/>
        <v>2068.73</v>
      </c>
      <c r="O245" s="66">
        <f>ROUND(I245+K245+M245,5)</f>
        <v>600</v>
      </c>
      <c r="P245" s="69">
        <f t="shared" si="111"/>
        <v>689.57666666666671</v>
      </c>
      <c r="Q245" s="69">
        <f t="shared" si="111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  <c r="AF245" s="66"/>
      <c r="AG245" s="66"/>
      <c r="AH245" s="66"/>
      <c r="AI245" s="66"/>
      <c r="AJ245" s="66"/>
    </row>
    <row r="246" spans="1:36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137"/>
        <v>126.77</v>
      </c>
      <c r="O246" s="66">
        <f>ROUND(I246+K246+M246,5)</f>
        <v>100</v>
      </c>
      <c r="P246" s="69">
        <f t="shared" si="111"/>
        <v>42.256666666666668</v>
      </c>
      <c r="Q246" s="69">
        <f t="shared" si="111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  <c r="AF246" s="66"/>
      <c r="AG246" s="66"/>
      <c r="AH246" s="66"/>
      <c r="AI246" s="66"/>
      <c r="AJ246" s="66"/>
    </row>
    <row r="247" spans="1:36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137"/>
        <v>4683.93</v>
      </c>
      <c r="O247" s="66">
        <f>ROUND(I247+K247+M247,5)</f>
        <v>7118.32</v>
      </c>
      <c r="P247" s="69">
        <f t="shared" si="111"/>
        <v>1561.3100000000002</v>
      </c>
      <c r="Q247" s="69">
        <f t="shared" si="111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  <c r="AF247" s="66"/>
      <c r="AG247" s="66"/>
      <c r="AH247" s="66"/>
      <c r="AI247" s="66"/>
      <c r="AJ247" s="66"/>
    </row>
    <row r="248" spans="1:36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137"/>
        <v>2913.09</v>
      </c>
      <c r="O248" s="66">
        <f>ROUND(I248+K248+M248,5)</f>
        <v>4719.0200000000004</v>
      </c>
      <c r="P248" s="69">
        <f t="shared" si="111"/>
        <v>971.03000000000009</v>
      </c>
      <c r="Q248" s="69">
        <f t="shared" si="111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  <c r="AF248" s="66"/>
      <c r="AG248" s="66"/>
      <c r="AH248" s="66"/>
      <c r="AI248" s="66"/>
      <c r="AJ248" s="66"/>
    </row>
    <row r="249" spans="1:36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137"/>
        <v>4608.63</v>
      </c>
      <c r="O249" s="66">
        <f>ROUND(I249+K249+M249,5)</f>
        <v>1619.72</v>
      </c>
      <c r="P249" s="69">
        <f t="shared" si="111"/>
        <v>1536.21</v>
      </c>
      <c r="Q249" s="69">
        <f t="shared" si="111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  <c r="AF249" s="66"/>
      <c r="AG249" s="66"/>
      <c r="AH249" s="66"/>
      <c r="AI249" s="66"/>
      <c r="AJ249" s="66"/>
    </row>
    <row r="250" spans="1:36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137"/>
        <v>78.989999999999995</v>
      </c>
      <c r="O250" s="66">
        <v>0</v>
      </c>
      <c r="P250" s="69">
        <f t="shared" si="111"/>
        <v>26.33</v>
      </c>
      <c r="Q250" s="69">
        <f t="shared" si="111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  <c r="AF250" s="66"/>
      <c r="AG250" s="66"/>
      <c r="AH250" s="66"/>
      <c r="AI250" s="66"/>
      <c r="AJ250" s="66"/>
    </row>
    <row r="251" spans="1:36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137"/>
        <v>0</v>
      </c>
      <c r="O251" s="66">
        <f>ROUND(I251+K251+M251,5)</f>
        <v>1219.72</v>
      </c>
      <c r="P251" s="69">
        <f t="shared" si="111"/>
        <v>0</v>
      </c>
      <c r="Q251" s="69">
        <f t="shared" si="111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  <c r="AF251" s="66"/>
      <c r="AG251" s="66"/>
      <c r="AH251" s="66"/>
      <c r="AI251" s="66"/>
      <c r="AJ251" s="66"/>
    </row>
    <row r="252" spans="1:36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138">ROUND(H252+J252+L252,5)</f>
        <v>469.32</v>
      </c>
      <c r="O252" s="66">
        <f>ROUND(I252+K252+M252,5)</f>
        <v>356.04</v>
      </c>
      <c r="P252" s="69">
        <f t="shared" si="111"/>
        <v>156.44</v>
      </c>
      <c r="Q252" s="69">
        <f t="shared" si="111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  <c r="AF252" s="66"/>
      <c r="AG252" s="66"/>
      <c r="AH252" s="66"/>
      <c r="AI252" s="66"/>
      <c r="AJ252" s="66"/>
    </row>
    <row r="253" spans="1:36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138"/>
        <v>0</v>
      </c>
      <c r="O253" s="66">
        <f>ROUND(I253+K253+M253,5)</f>
        <v>1524.16</v>
      </c>
      <c r="P253" s="69">
        <f t="shared" si="111"/>
        <v>0</v>
      </c>
      <c r="Q253" s="69">
        <f t="shared" si="111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  <c r="AF253" s="66"/>
      <c r="AG253" s="66"/>
      <c r="AH253" s="66"/>
      <c r="AI253" s="66"/>
      <c r="AJ253" s="66"/>
    </row>
    <row r="254" spans="1:36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138"/>
        <v>295.95</v>
      </c>
      <c r="O254" s="66">
        <v>0</v>
      </c>
      <c r="P254" s="69">
        <f t="shared" si="111"/>
        <v>98.649999999999991</v>
      </c>
      <c r="Q254" s="69">
        <f t="shared" si="111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  <c r="AF254" s="66"/>
      <c r="AG254" s="66"/>
      <c r="AH254" s="66"/>
      <c r="AI254" s="66"/>
      <c r="AJ254" s="66"/>
    </row>
    <row r="255" spans="1:36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138"/>
        <v>0</v>
      </c>
      <c r="O255" s="66">
        <f>ROUND(I255+K255+M255,5)</f>
        <v>0</v>
      </c>
      <c r="P255" s="69">
        <f t="shared" si="111"/>
        <v>0</v>
      </c>
      <c r="Q255" s="69">
        <f t="shared" si="111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  <c r="AF255" s="66"/>
      <c r="AG255" s="66"/>
      <c r="AH255" s="66"/>
      <c r="AI255" s="66"/>
      <c r="AJ255" s="66"/>
    </row>
    <row r="256" spans="1:36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138"/>
        <v>0</v>
      </c>
      <c r="O256" s="73">
        <f>ROUND(I256+K256+M256,5)</f>
        <v>0</v>
      </c>
      <c r="P256" s="74">
        <f t="shared" si="111"/>
        <v>0</v>
      </c>
      <c r="Q256" s="74">
        <f t="shared" si="111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  <c r="AF256" s="73"/>
      <c r="AG256" s="73"/>
      <c r="AH256" s="73"/>
      <c r="AI256" s="73"/>
      <c r="AJ256" s="73"/>
    </row>
    <row r="257" spans="1:36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139">ROUND(SUM(H235:H256),5)</f>
        <v>9952.77</v>
      </c>
      <c r="I257" s="63">
        <f t="shared" si="139"/>
        <v>0</v>
      </c>
      <c r="J257" s="64">
        <f t="shared" si="139"/>
        <v>12257.65</v>
      </c>
      <c r="K257" s="64">
        <f t="shared" si="139"/>
        <v>43741.32</v>
      </c>
      <c r="L257" s="65">
        <f t="shared" si="139"/>
        <v>8499.8799999999992</v>
      </c>
      <c r="M257" s="65">
        <f t="shared" si="139"/>
        <v>5300</v>
      </c>
      <c r="N257" s="66">
        <f t="shared" si="138"/>
        <v>30710.3</v>
      </c>
      <c r="O257" s="66">
        <f>ROUND(I257+K257+M257,5)</f>
        <v>49041.32</v>
      </c>
      <c r="P257" s="69">
        <f t="shared" si="111"/>
        <v>10236.766666666666</v>
      </c>
      <c r="Q257" s="69">
        <f t="shared" si="111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 t="shared" ref="AB257:AI257" si="140">ROUND(SUM(AB235:AB256),5)</f>
        <v>0</v>
      </c>
      <c r="AC257" s="66">
        <f t="shared" si="140"/>
        <v>0</v>
      </c>
      <c r="AD257" s="66">
        <f t="shared" si="140"/>
        <v>0</v>
      </c>
      <c r="AE257" s="66">
        <f t="shared" si="140"/>
        <v>0</v>
      </c>
      <c r="AF257" s="66">
        <f t="shared" si="140"/>
        <v>0</v>
      </c>
      <c r="AG257" s="66">
        <f t="shared" si="140"/>
        <v>0</v>
      </c>
      <c r="AH257" s="66">
        <f t="shared" si="140"/>
        <v>0</v>
      </c>
      <c r="AI257" s="66">
        <f t="shared" si="140"/>
        <v>0</v>
      </c>
      <c r="AJ257" s="66">
        <f t="shared" ref="AJ257" si="141">ROUND(SUM(AJ235:AJ256),5)</f>
        <v>0</v>
      </c>
    </row>
    <row r="258" spans="1:36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111"/>
        <v>0</v>
      </c>
      <c r="Q258" s="69">
        <f t="shared" si="111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  <c r="AF258" s="66"/>
      <c r="AG258" s="66"/>
      <c r="AH258" s="66"/>
      <c r="AI258" s="66"/>
      <c r="AJ258" s="66"/>
    </row>
    <row r="259" spans="1:36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142">ROUND(H259+J259+L259,5)</f>
        <v>292.07</v>
      </c>
      <c r="O259" s="66">
        <f t="shared" si="142"/>
        <v>3559.16</v>
      </c>
      <c r="P259" s="69">
        <f t="shared" si="111"/>
        <v>97.356666666666669</v>
      </c>
      <c r="Q259" s="69">
        <f t="shared" si="111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  <c r="AF259" s="66"/>
      <c r="AG259" s="66"/>
      <c r="AH259" s="66"/>
      <c r="AI259" s="66"/>
      <c r="AJ259" s="66"/>
    </row>
    <row r="260" spans="1:36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142"/>
        <v>0</v>
      </c>
      <c r="O260" s="66">
        <f t="shared" si="142"/>
        <v>0</v>
      </c>
      <c r="P260" s="69">
        <f t="shared" ref="P260:Q323" si="143">N260/3</f>
        <v>0</v>
      </c>
      <c r="Q260" s="69">
        <f t="shared" si="143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  <c r="AF260" s="66"/>
      <c r="AG260" s="66"/>
      <c r="AH260" s="66"/>
      <c r="AI260" s="66"/>
      <c r="AJ260" s="66"/>
    </row>
    <row r="261" spans="1:36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142"/>
        <v>414.94</v>
      </c>
      <c r="O261" s="66">
        <f t="shared" si="142"/>
        <v>1624.16</v>
      </c>
      <c r="P261" s="69">
        <f t="shared" si="143"/>
        <v>138.31333333333333</v>
      </c>
      <c r="Q261" s="69">
        <f t="shared" si="143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  <c r="AF261" s="66"/>
      <c r="AG261" s="66"/>
      <c r="AH261" s="66"/>
      <c r="AI261" s="66"/>
      <c r="AJ261" s="66"/>
    </row>
    <row r="262" spans="1:36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142"/>
        <v>0</v>
      </c>
      <c r="O262" s="73">
        <f t="shared" si="142"/>
        <v>0</v>
      </c>
      <c r="P262" s="74">
        <f t="shared" si="143"/>
        <v>0</v>
      </c>
      <c r="Q262" s="74">
        <f t="shared" si="143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  <c r="AF262" s="73"/>
      <c r="AG262" s="73"/>
      <c r="AH262" s="73"/>
      <c r="AI262" s="73"/>
      <c r="AJ262" s="73"/>
    </row>
    <row r="263" spans="1:36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144">ROUND(SUM(H258:H262),5)</f>
        <v>414.94</v>
      </c>
      <c r="I263" s="63">
        <f t="shared" si="144"/>
        <v>0</v>
      </c>
      <c r="J263" s="64">
        <f t="shared" si="144"/>
        <v>73.44</v>
      </c>
      <c r="K263" s="64">
        <f t="shared" si="144"/>
        <v>4783.32</v>
      </c>
      <c r="L263" s="65">
        <f t="shared" si="144"/>
        <v>218.63</v>
      </c>
      <c r="M263" s="65">
        <f t="shared" si="144"/>
        <v>400</v>
      </c>
      <c r="N263" s="66">
        <f t="shared" si="142"/>
        <v>707.01</v>
      </c>
      <c r="O263" s="66">
        <f t="shared" si="142"/>
        <v>5183.32</v>
      </c>
      <c r="P263" s="69">
        <f t="shared" si="143"/>
        <v>235.67</v>
      </c>
      <c r="Q263" s="69">
        <f t="shared" si="143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 t="shared" ref="AB263:AI263" si="145">ROUND(SUM(AB258:AB262),5)</f>
        <v>0</v>
      </c>
      <c r="AC263" s="66">
        <f t="shared" si="145"/>
        <v>0</v>
      </c>
      <c r="AD263" s="66">
        <f t="shared" si="145"/>
        <v>0</v>
      </c>
      <c r="AE263" s="66">
        <f t="shared" si="145"/>
        <v>0</v>
      </c>
      <c r="AF263" s="66">
        <f t="shared" si="145"/>
        <v>0</v>
      </c>
      <c r="AG263" s="66">
        <f t="shared" si="145"/>
        <v>0</v>
      </c>
      <c r="AH263" s="66">
        <f t="shared" si="145"/>
        <v>0</v>
      </c>
      <c r="AI263" s="66">
        <f t="shared" si="145"/>
        <v>0</v>
      </c>
      <c r="AJ263" s="66">
        <f t="shared" ref="AJ263" si="146">ROUND(SUM(AJ258:AJ262),5)</f>
        <v>0</v>
      </c>
    </row>
    <row r="264" spans="1:36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  <c r="AF264" s="66"/>
      <c r="AG264" s="66"/>
      <c r="AH264" s="66"/>
      <c r="AI264" s="66"/>
      <c r="AJ264" s="66"/>
    </row>
    <row r="265" spans="1:36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147">ROUND(H265+J265+L265,5)</f>
        <v>9233.0499999999993</v>
      </c>
      <c r="O265" s="66">
        <f t="shared" si="147"/>
        <v>5438.74</v>
      </c>
      <c r="P265" s="69">
        <f t="shared" si="143"/>
        <v>3077.6833333333329</v>
      </c>
      <c r="Q265" s="69">
        <f t="shared" si="143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  <c r="AF265" s="66"/>
      <c r="AG265" s="66"/>
      <c r="AH265" s="66"/>
      <c r="AI265" s="66"/>
      <c r="AJ265" s="66"/>
    </row>
    <row r="266" spans="1:36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147"/>
        <v>173.59</v>
      </c>
      <c r="O266" s="66">
        <f t="shared" si="147"/>
        <v>2539.44</v>
      </c>
      <c r="P266" s="69">
        <f t="shared" si="143"/>
        <v>57.863333333333337</v>
      </c>
      <c r="Q266" s="69">
        <f t="shared" si="143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  <c r="AF266" s="66"/>
      <c r="AG266" s="66"/>
      <c r="AH266" s="66"/>
      <c r="AI266" s="66"/>
      <c r="AJ266" s="66"/>
    </row>
    <row r="267" spans="1:36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147"/>
        <v>99.76</v>
      </c>
      <c r="O267" s="66">
        <f t="shared" si="147"/>
        <v>1980.2</v>
      </c>
      <c r="P267" s="69">
        <f t="shared" si="143"/>
        <v>33.253333333333337</v>
      </c>
      <c r="Q267" s="69">
        <f t="shared" si="143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  <c r="AF267" s="66"/>
      <c r="AG267" s="66"/>
      <c r="AH267" s="66"/>
      <c r="AI267" s="66"/>
      <c r="AJ267" s="66"/>
    </row>
    <row r="268" spans="1:36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147"/>
        <v>2756.34</v>
      </c>
      <c r="O268" s="66">
        <f t="shared" si="147"/>
        <v>956.04</v>
      </c>
      <c r="P268" s="69">
        <f t="shared" si="143"/>
        <v>918.78000000000009</v>
      </c>
      <c r="Q268" s="69">
        <f t="shared" si="143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  <c r="AF268" s="66"/>
      <c r="AG268" s="66"/>
      <c r="AH268" s="66"/>
      <c r="AI268" s="66"/>
      <c r="AJ268" s="66"/>
    </row>
    <row r="269" spans="1:36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147"/>
        <v>62</v>
      </c>
      <c r="O269" s="66">
        <f t="shared" si="147"/>
        <v>718</v>
      </c>
      <c r="P269" s="69">
        <f t="shared" si="143"/>
        <v>20.666666666666668</v>
      </c>
      <c r="Q269" s="69">
        <f t="shared" si="143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  <c r="AF269" s="66"/>
      <c r="AG269" s="66"/>
      <c r="AH269" s="66"/>
      <c r="AI269" s="66"/>
      <c r="AJ269" s="66"/>
    </row>
    <row r="270" spans="1:36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147"/>
        <v>5017.79</v>
      </c>
      <c r="O270" s="66">
        <f t="shared" si="147"/>
        <v>1535.1</v>
      </c>
      <c r="P270" s="69">
        <f t="shared" si="143"/>
        <v>1672.5966666666666</v>
      </c>
      <c r="Q270" s="69">
        <f t="shared" si="143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  <c r="AF270" s="66"/>
      <c r="AG270" s="66"/>
      <c r="AH270" s="66"/>
      <c r="AI270" s="66"/>
      <c r="AJ270" s="66"/>
    </row>
    <row r="271" spans="1:36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147"/>
        <v>0</v>
      </c>
      <c r="O271" s="66">
        <f t="shared" si="147"/>
        <v>1880.2</v>
      </c>
      <c r="P271" s="69">
        <f t="shared" si="143"/>
        <v>0</v>
      </c>
      <c r="Q271" s="69">
        <f t="shared" si="143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  <c r="AF271" s="66"/>
      <c r="AG271" s="66"/>
      <c r="AH271" s="66"/>
      <c r="AI271" s="66"/>
      <c r="AJ271" s="66"/>
    </row>
    <row r="272" spans="1:36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147"/>
        <v>1851.6</v>
      </c>
      <c r="O272" s="66">
        <f t="shared" si="147"/>
        <v>1624.16</v>
      </c>
      <c r="P272" s="69">
        <f t="shared" si="143"/>
        <v>617.19999999999993</v>
      </c>
      <c r="Q272" s="69">
        <f t="shared" si="143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  <c r="AF272" s="66"/>
      <c r="AG272" s="66"/>
      <c r="AH272" s="66"/>
      <c r="AI272" s="66"/>
      <c r="AJ272" s="66"/>
    </row>
    <row r="273" spans="1:36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147"/>
        <v>0</v>
      </c>
      <c r="O273" s="66">
        <f t="shared" si="147"/>
        <v>6709.32</v>
      </c>
      <c r="P273" s="69">
        <f t="shared" si="143"/>
        <v>0</v>
      </c>
      <c r="Q273" s="69">
        <f t="shared" si="143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  <c r="AF273" s="66"/>
      <c r="AG273" s="66"/>
      <c r="AH273" s="66"/>
      <c r="AI273" s="66"/>
      <c r="AJ273" s="66"/>
    </row>
    <row r="274" spans="1:36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147"/>
        <v>0</v>
      </c>
      <c r="O274" s="66">
        <f t="shared" si="147"/>
        <v>1983.36</v>
      </c>
      <c r="P274" s="69">
        <f t="shared" si="143"/>
        <v>0</v>
      </c>
      <c r="Q274" s="69">
        <f t="shared" si="143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  <c r="AF274" s="66"/>
      <c r="AG274" s="66"/>
      <c r="AH274" s="66"/>
      <c r="AI274" s="66"/>
      <c r="AJ274" s="66"/>
    </row>
    <row r="275" spans="1:36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147"/>
        <v>0</v>
      </c>
      <c r="O275" s="66">
        <f t="shared" si="147"/>
        <v>4759.01</v>
      </c>
      <c r="P275" s="69">
        <f t="shared" si="143"/>
        <v>0</v>
      </c>
      <c r="Q275" s="69">
        <f t="shared" si="143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  <c r="AF275" s="66"/>
      <c r="AG275" s="66"/>
      <c r="AH275" s="66"/>
      <c r="AI275" s="66"/>
      <c r="AJ275" s="66"/>
    </row>
    <row r="276" spans="1:36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147"/>
        <v>8987.11</v>
      </c>
      <c r="O276" s="66">
        <f t="shared" si="147"/>
        <v>17088.16</v>
      </c>
      <c r="P276" s="69">
        <f t="shared" si="143"/>
        <v>2995.7033333333334</v>
      </c>
      <c r="Q276" s="69">
        <f t="shared" si="143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  <c r="AF276" s="66"/>
      <c r="AG276" s="66"/>
      <c r="AH276" s="66"/>
      <c r="AI276" s="66"/>
      <c r="AJ276" s="66"/>
    </row>
    <row r="277" spans="1:36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147"/>
        <v>170.91</v>
      </c>
      <c r="O277" s="66">
        <f t="shared" si="147"/>
        <v>4097.04</v>
      </c>
      <c r="P277" s="69">
        <f t="shared" si="143"/>
        <v>56.97</v>
      </c>
      <c r="Q277" s="69">
        <f t="shared" si="143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  <c r="AF277" s="66"/>
      <c r="AG277" s="66"/>
      <c r="AH277" s="66"/>
      <c r="AI277" s="66"/>
      <c r="AJ277" s="66"/>
    </row>
    <row r="278" spans="1:36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147"/>
        <v>1914.86</v>
      </c>
      <c r="O278" s="66">
        <f t="shared" si="147"/>
        <v>1668.12</v>
      </c>
      <c r="P278" s="69">
        <f t="shared" si="143"/>
        <v>638.28666666666663</v>
      </c>
      <c r="Q278" s="69">
        <f t="shared" si="143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  <c r="AF278" s="66"/>
      <c r="AG278" s="66"/>
      <c r="AH278" s="66"/>
      <c r="AI278" s="66"/>
      <c r="AJ278" s="66"/>
    </row>
    <row r="279" spans="1:36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147"/>
        <v>581.79999999999995</v>
      </c>
      <c r="O279" s="73">
        <f t="shared" si="147"/>
        <v>0</v>
      </c>
      <c r="P279" s="74">
        <f t="shared" si="143"/>
        <v>193.93333333333331</v>
      </c>
      <c r="Q279" s="74">
        <f t="shared" si="143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  <c r="AF279" s="73"/>
      <c r="AG279" s="73"/>
      <c r="AH279" s="73"/>
      <c r="AI279" s="73"/>
      <c r="AJ279" s="73"/>
    </row>
    <row r="280" spans="1:36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148">ROUND(SUM(H264:H279),5)</f>
        <v>11247.41</v>
      </c>
      <c r="I280" s="63">
        <f t="shared" si="148"/>
        <v>0</v>
      </c>
      <c r="J280" s="64">
        <f t="shared" si="148"/>
        <v>13538.34</v>
      </c>
      <c r="K280" s="64">
        <f t="shared" si="148"/>
        <v>43816.14</v>
      </c>
      <c r="L280" s="65">
        <f t="shared" si="148"/>
        <v>6063.06</v>
      </c>
      <c r="M280" s="65">
        <f t="shared" si="148"/>
        <v>9160.75</v>
      </c>
      <c r="N280" s="66">
        <f t="shared" si="147"/>
        <v>30848.81</v>
      </c>
      <c r="O280" s="66">
        <f t="shared" si="147"/>
        <v>52976.89</v>
      </c>
      <c r="P280" s="69">
        <f t="shared" si="143"/>
        <v>10282.936666666666</v>
      </c>
      <c r="Q280" s="69">
        <f t="shared" si="143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 t="shared" ref="AB280:AI280" si="149">ROUND(SUM(AB264:AB279),5)</f>
        <v>0</v>
      </c>
      <c r="AC280" s="66">
        <f t="shared" si="149"/>
        <v>0</v>
      </c>
      <c r="AD280" s="66">
        <f t="shared" si="149"/>
        <v>0</v>
      </c>
      <c r="AE280" s="66">
        <f t="shared" si="149"/>
        <v>0</v>
      </c>
      <c r="AF280" s="66">
        <f t="shared" si="149"/>
        <v>0</v>
      </c>
      <c r="AG280" s="66">
        <f t="shared" si="149"/>
        <v>0</v>
      </c>
      <c r="AH280" s="66">
        <f t="shared" si="149"/>
        <v>0</v>
      </c>
      <c r="AI280" s="66">
        <f t="shared" si="149"/>
        <v>0</v>
      </c>
      <c r="AJ280" s="66">
        <f t="shared" ref="AJ280" si="150">ROUND(SUM(AJ264:AJ279),5)</f>
        <v>0</v>
      </c>
    </row>
    <row r="281" spans="1:36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143"/>
        <v>0</v>
      </c>
      <c r="Q281" s="69">
        <f t="shared" si="143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  <c r="AF281" s="66"/>
      <c r="AG281" s="66"/>
      <c r="AH281" s="66"/>
      <c r="AI281" s="66"/>
      <c r="AJ281" s="66"/>
    </row>
    <row r="282" spans="1:36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151">ROUND(H282+J282+L282,5)</f>
        <v>9840.1</v>
      </c>
      <c r="O282" s="66">
        <f t="shared" si="151"/>
        <v>6658.46</v>
      </c>
      <c r="P282" s="69">
        <f t="shared" si="143"/>
        <v>3280.0333333333333</v>
      </c>
      <c r="Q282" s="69">
        <f t="shared" si="143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  <c r="AF282" s="66"/>
      <c r="AG282" s="66"/>
      <c r="AH282" s="66"/>
      <c r="AI282" s="66"/>
      <c r="AJ282" s="66"/>
    </row>
    <row r="283" spans="1:36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151"/>
        <v>9035.52</v>
      </c>
      <c r="O283" s="66">
        <f t="shared" si="151"/>
        <v>7418.32</v>
      </c>
      <c r="P283" s="69">
        <f t="shared" si="143"/>
        <v>3011.84</v>
      </c>
      <c r="Q283" s="69">
        <f t="shared" si="143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  <c r="AF283" s="66"/>
      <c r="AG283" s="66"/>
      <c r="AH283" s="66"/>
      <c r="AI283" s="66"/>
      <c r="AJ283" s="66"/>
    </row>
    <row r="284" spans="1:36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151"/>
        <v>0</v>
      </c>
      <c r="O284" s="66">
        <f t="shared" si="151"/>
        <v>656.04</v>
      </c>
      <c r="P284" s="69">
        <f t="shared" si="143"/>
        <v>0</v>
      </c>
      <c r="Q284" s="69">
        <f t="shared" si="143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  <c r="AF284" s="66"/>
      <c r="AG284" s="66"/>
      <c r="AH284" s="66"/>
      <c r="AI284" s="66"/>
      <c r="AJ284" s="66"/>
    </row>
    <row r="285" spans="1:36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151"/>
        <v>2620.06</v>
      </c>
      <c r="O285" s="66">
        <f t="shared" si="151"/>
        <v>7118.32</v>
      </c>
      <c r="P285" s="69">
        <f t="shared" si="143"/>
        <v>873.35333333333335</v>
      </c>
      <c r="Q285" s="69">
        <f t="shared" si="143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  <c r="AF285" s="66"/>
      <c r="AG285" s="66"/>
      <c r="AH285" s="66"/>
      <c r="AI285" s="66"/>
      <c r="AJ285" s="66"/>
    </row>
    <row r="286" spans="1:36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151"/>
        <v>2099.5700000000002</v>
      </c>
      <c r="O286" s="66">
        <f t="shared" si="151"/>
        <v>1012.08</v>
      </c>
      <c r="P286" s="69">
        <f t="shared" si="143"/>
        <v>699.85666666666668</v>
      </c>
      <c r="Q286" s="69">
        <f t="shared" si="143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  <c r="AF286" s="66"/>
      <c r="AG286" s="66"/>
      <c r="AH286" s="66"/>
      <c r="AI286" s="66"/>
      <c r="AJ286" s="66"/>
    </row>
    <row r="287" spans="1:36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151"/>
        <v>1066.75</v>
      </c>
      <c r="O287" s="73">
        <f t="shared" si="151"/>
        <v>6918.32</v>
      </c>
      <c r="P287" s="74">
        <f t="shared" si="143"/>
        <v>355.58333333333331</v>
      </c>
      <c r="Q287" s="74">
        <f t="shared" si="143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  <c r="AF287" s="73"/>
      <c r="AG287" s="73"/>
      <c r="AH287" s="73"/>
      <c r="AI287" s="73"/>
      <c r="AJ287" s="73"/>
    </row>
    <row r="288" spans="1:36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152">ROUND(SUM(H281:H287),5)</f>
        <v>5366.39</v>
      </c>
      <c r="I288" s="63">
        <f t="shared" si="152"/>
        <v>0</v>
      </c>
      <c r="J288" s="64">
        <f t="shared" si="152"/>
        <v>9447.02</v>
      </c>
      <c r="K288" s="64">
        <f t="shared" si="152"/>
        <v>27381.54</v>
      </c>
      <c r="L288" s="65">
        <f t="shared" si="152"/>
        <v>9848.59</v>
      </c>
      <c r="M288" s="65">
        <f t="shared" si="152"/>
        <v>2400</v>
      </c>
      <c r="N288" s="66">
        <f t="shared" si="151"/>
        <v>24662</v>
      </c>
      <c r="O288" s="66">
        <f t="shared" si="151"/>
        <v>29781.54</v>
      </c>
      <c r="P288" s="69">
        <f t="shared" si="143"/>
        <v>8220.6666666666661</v>
      </c>
      <c r="Q288" s="69">
        <f t="shared" si="143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 t="shared" ref="AB288:AI288" si="153">ROUND(SUM(AB281:AB287),5)</f>
        <v>0</v>
      </c>
      <c r="AC288" s="66">
        <f t="shared" si="153"/>
        <v>0</v>
      </c>
      <c r="AD288" s="66">
        <f t="shared" si="153"/>
        <v>0</v>
      </c>
      <c r="AE288" s="66">
        <f t="shared" si="153"/>
        <v>0</v>
      </c>
      <c r="AF288" s="66">
        <f t="shared" si="153"/>
        <v>0</v>
      </c>
      <c r="AG288" s="66">
        <f t="shared" si="153"/>
        <v>0</v>
      </c>
      <c r="AH288" s="66">
        <f t="shared" si="153"/>
        <v>0</v>
      </c>
      <c r="AI288" s="66">
        <f t="shared" si="153"/>
        <v>0</v>
      </c>
      <c r="AJ288" s="66">
        <f t="shared" ref="AJ288" si="154">ROUND(SUM(AJ281:AJ287),5)</f>
        <v>0</v>
      </c>
    </row>
    <row r="289" spans="1:36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  <c r="AF289" s="66"/>
      <c r="AG289" s="66"/>
      <c r="AH289" s="66"/>
      <c r="AI289" s="66"/>
      <c r="AJ289" s="66"/>
    </row>
    <row r="290" spans="1:36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155">ROUND(H290+J290+L290,5)</f>
        <v>513.95000000000005</v>
      </c>
      <c r="O290" s="66">
        <f t="shared" si="155"/>
        <v>300</v>
      </c>
      <c r="P290" s="69">
        <f t="shared" si="143"/>
        <v>171.31666666666669</v>
      </c>
      <c r="Q290" s="69">
        <f t="shared" si="143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  <c r="AF290" s="66"/>
      <c r="AG290" s="66"/>
      <c r="AH290" s="66"/>
      <c r="AI290" s="66"/>
      <c r="AJ290" s="66"/>
    </row>
    <row r="291" spans="1:36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155"/>
        <v>5543.87</v>
      </c>
      <c r="O291" s="66">
        <f t="shared" si="155"/>
        <v>800</v>
      </c>
      <c r="P291" s="69">
        <f t="shared" si="143"/>
        <v>1847.9566666666667</v>
      </c>
      <c r="Q291" s="69">
        <f t="shared" si="143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  <c r="AF291" s="66"/>
      <c r="AG291" s="66"/>
      <c r="AH291" s="66"/>
      <c r="AI291" s="66"/>
      <c r="AJ291" s="66"/>
    </row>
    <row r="292" spans="1:36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155"/>
        <v>0</v>
      </c>
      <c r="O292" s="66">
        <f t="shared" si="155"/>
        <v>6718.32</v>
      </c>
      <c r="P292" s="69">
        <f t="shared" si="143"/>
        <v>0</v>
      </c>
      <c r="Q292" s="69">
        <f t="shared" si="143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  <c r="AF292" s="66"/>
      <c r="AG292" s="66"/>
      <c r="AH292" s="66"/>
      <c r="AI292" s="66"/>
      <c r="AJ292" s="66"/>
    </row>
    <row r="293" spans="1:36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155"/>
        <v>1829.97</v>
      </c>
      <c r="O293" s="66">
        <f t="shared" si="155"/>
        <v>400</v>
      </c>
      <c r="P293" s="69">
        <f t="shared" si="143"/>
        <v>609.99</v>
      </c>
      <c r="Q293" s="69">
        <f t="shared" si="143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  <c r="AF293" s="66"/>
      <c r="AG293" s="66"/>
      <c r="AH293" s="66"/>
      <c r="AI293" s="66"/>
      <c r="AJ293" s="66"/>
    </row>
    <row r="294" spans="1:36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155"/>
        <v>574.11</v>
      </c>
      <c r="O294" s="66">
        <f t="shared" si="155"/>
        <v>200</v>
      </c>
      <c r="P294" s="69">
        <f t="shared" si="143"/>
        <v>191.37</v>
      </c>
      <c r="Q294" s="69">
        <f t="shared" si="143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  <c r="AF294" s="66"/>
      <c r="AG294" s="66"/>
      <c r="AH294" s="66"/>
      <c r="AI294" s="66"/>
      <c r="AJ294" s="66"/>
    </row>
    <row r="295" spans="1:36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155"/>
        <v>2094.56</v>
      </c>
      <c r="O295" s="66">
        <f t="shared" si="155"/>
        <v>700</v>
      </c>
      <c r="P295" s="69">
        <f t="shared" si="143"/>
        <v>698.18666666666661</v>
      </c>
      <c r="Q295" s="69">
        <f t="shared" si="143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  <c r="AF295" s="66"/>
      <c r="AG295" s="66"/>
      <c r="AH295" s="66"/>
      <c r="AI295" s="66"/>
      <c r="AJ295" s="66"/>
    </row>
    <row r="296" spans="1:36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155"/>
        <v>143.52000000000001</v>
      </c>
      <c r="O296" s="66">
        <f t="shared" si="155"/>
        <v>0</v>
      </c>
      <c r="P296" s="69">
        <f t="shared" si="143"/>
        <v>47.84</v>
      </c>
      <c r="Q296" s="69">
        <f t="shared" si="143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  <c r="AF296" s="66"/>
      <c r="AG296" s="66"/>
      <c r="AH296" s="66"/>
      <c r="AI296" s="66"/>
      <c r="AJ296" s="66"/>
    </row>
    <row r="297" spans="1:36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155"/>
        <v>0</v>
      </c>
      <c r="O297" s="66">
        <f t="shared" si="155"/>
        <v>100</v>
      </c>
      <c r="P297" s="69">
        <f t="shared" si="143"/>
        <v>0</v>
      </c>
      <c r="Q297" s="69">
        <f t="shared" si="143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  <c r="AF297" s="66"/>
      <c r="AG297" s="66"/>
      <c r="AH297" s="66"/>
      <c r="AI297" s="66"/>
      <c r="AJ297" s="66"/>
    </row>
    <row r="298" spans="1:36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155"/>
        <v>1205.7</v>
      </c>
      <c r="O298" s="66">
        <f t="shared" si="155"/>
        <v>0</v>
      </c>
      <c r="P298" s="69">
        <f t="shared" si="143"/>
        <v>401.90000000000003</v>
      </c>
      <c r="Q298" s="69">
        <f t="shared" si="143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  <c r="AF298" s="66"/>
      <c r="AG298" s="66"/>
      <c r="AH298" s="66"/>
      <c r="AI298" s="66"/>
      <c r="AJ298" s="66"/>
    </row>
    <row r="299" spans="1:36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155"/>
        <v>0</v>
      </c>
      <c r="O299" s="66">
        <f t="shared" si="155"/>
        <v>0</v>
      </c>
      <c r="P299" s="69">
        <f t="shared" si="143"/>
        <v>0</v>
      </c>
      <c r="Q299" s="69">
        <f t="shared" si="143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  <c r="AF299" s="66"/>
      <c r="AG299" s="66"/>
      <c r="AH299" s="66"/>
      <c r="AI299" s="66"/>
      <c r="AJ299" s="66"/>
    </row>
    <row r="300" spans="1:36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155"/>
        <v>0</v>
      </c>
      <c r="O300" s="73">
        <f t="shared" si="155"/>
        <v>0</v>
      </c>
      <c r="P300" s="74">
        <f t="shared" si="143"/>
        <v>0</v>
      </c>
      <c r="Q300" s="74">
        <f t="shared" si="143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  <c r="AF300" s="73"/>
      <c r="AG300" s="73"/>
      <c r="AH300" s="73"/>
      <c r="AI300" s="73"/>
      <c r="AJ300" s="73"/>
    </row>
    <row r="301" spans="1:36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156">ROUND(SUM(H289:H300),5)</f>
        <v>3691.61</v>
      </c>
      <c r="I301" s="63">
        <f t="shared" si="156"/>
        <v>0</v>
      </c>
      <c r="J301" s="64">
        <f t="shared" si="156"/>
        <v>4249.07</v>
      </c>
      <c r="K301" s="64">
        <f t="shared" si="156"/>
        <v>6718.32</v>
      </c>
      <c r="L301" s="65">
        <f t="shared" si="156"/>
        <v>3965</v>
      </c>
      <c r="M301" s="65">
        <f t="shared" si="156"/>
        <v>2500</v>
      </c>
      <c r="N301" s="66">
        <f t="shared" si="155"/>
        <v>11905.68</v>
      </c>
      <c r="O301" s="66">
        <f t="shared" si="155"/>
        <v>9218.32</v>
      </c>
      <c r="P301" s="69">
        <f t="shared" si="143"/>
        <v>3968.56</v>
      </c>
      <c r="Q301" s="69">
        <f t="shared" si="143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 t="shared" ref="AB301:AI301" si="157">ROUND(SUM(AB289:AB300),5)</f>
        <v>0</v>
      </c>
      <c r="AC301" s="66">
        <f t="shared" si="157"/>
        <v>0</v>
      </c>
      <c r="AD301" s="66">
        <f t="shared" si="157"/>
        <v>0</v>
      </c>
      <c r="AE301" s="66">
        <f t="shared" si="157"/>
        <v>0</v>
      </c>
      <c r="AF301" s="66">
        <f t="shared" si="157"/>
        <v>0</v>
      </c>
      <c r="AG301" s="66">
        <f t="shared" si="157"/>
        <v>0</v>
      </c>
      <c r="AH301" s="66">
        <f t="shared" si="157"/>
        <v>0</v>
      </c>
      <c r="AI301" s="66">
        <f t="shared" si="157"/>
        <v>0</v>
      </c>
      <c r="AJ301" s="66">
        <f t="shared" ref="AJ301" si="158">ROUND(SUM(AJ289:AJ300),5)</f>
        <v>0</v>
      </c>
    </row>
    <row r="302" spans="1:36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  <c r="AF302" s="66"/>
      <c r="AG302" s="66"/>
      <c r="AH302" s="66"/>
      <c r="AI302" s="66"/>
      <c r="AJ302" s="66"/>
    </row>
    <row r="303" spans="1:36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159">ROUND(H303+J303+L303,5)</f>
        <v>4407.63</v>
      </c>
      <c r="O303" s="66">
        <f t="shared" si="159"/>
        <v>7218.32</v>
      </c>
      <c r="P303" s="69">
        <f t="shared" si="143"/>
        <v>1469.21</v>
      </c>
      <c r="Q303" s="69">
        <f t="shared" si="143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  <c r="AF303" s="66"/>
      <c r="AG303" s="66"/>
      <c r="AH303" s="66"/>
      <c r="AI303" s="66"/>
      <c r="AJ303" s="66"/>
    </row>
    <row r="304" spans="1:36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159"/>
        <v>62.18</v>
      </c>
      <c r="O304" s="66">
        <f t="shared" si="159"/>
        <v>659.86</v>
      </c>
      <c r="P304" s="69">
        <f t="shared" si="143"/>
        <v>20.726666666666667</v>
      </c>
      <c r="Q304" s="69">
        <f t="shared" si="143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  <c r="AF304" s="66"/>
      <c r="AG304" s="66"/>
      <c r="AH304" s="66"/>
      <c r="AI304" s="66"/>
      <c r="AJ304" s="66"/>
    </row>
    <row r="305" spans="1:36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159"/>
        <v>1422.94</v>
      </c>
      <c r="O305" s="66">
        <f t="shared" si="159"/>
        <v>5438.74</v>
      </c>
      <c r="P305" s="69">
        <f t="shared" si="143"/>
        <v>474.31333333333333</v>
      </c>
      <c r="Q305" s="69">
        <f t="shared" si="143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  <c r="AF305" s="66"/>
      <c r="AG305" s="66"/>
      <c r="AH305" s="66"/>
      <c r="AI305" s="66"/>
      <c r="AJ305" s="66"/>
    </row>
    <row r="306" spans="1:36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159"/>
        <v>602.46</v>
      </c>
      <c r="O306" s="73">
        <f t="shared" si="159"/>
        <v>756.04</v>
      </c>
      <c r="P306" s="74">
        <f t="shared" si="143"/>
        <v>200.82000000000002</v>
      </c>
      <c r="Q306" s="74">
        <f t="shared" si="143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  <c r="AF306" s="73"/>
      <c r="AG306" s="73"/>
      <c r="AH306" s="73"/>
      <c r="AI306" s="73"/>
      <c r="AJ306" s="73"/>
    </row>
    <row r="307" spans="1:36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160">ROUND(SUM(H302:H306),5)</f>
        <v>358.49</v>
      </c>
      <c r="I307" s="63">
        <f t="shared" si="160"/>
        <v>0</v>
      </c>
      <c r="J307" s="64">
        <f t="shared" si="160"/>
        <v>1711.98</v>
      </c>
      <c r="K307" s="64">
        <f t="shared" si="160"/>
        <v>12672.96</v>
      </c>
      <c r="L307" s="65">
        <f t="shared" si="160"/>
        <v>4424.74</v>
      </c>
      <c r="M307" s="65">
        <f t="shared" si="160"/>
        <v>1400</v>
      </c>
      <c r="N307" s="66">
        <f t="shared" si="159"/>
        <v>6495.21</v>
      </c>
      <c r="O307" s="66">
        <f t="shared" si="159"/>
        <v>14072.96</v>
      </c>
      <c r="P307" s="69">
        <f t="shared" si="143"/>
        <v>2165.0700000000002</v>
      </c>
      <c r="Q307" s="69">
        <f t="shared" si="143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 t="shared" ref="AB307:AI307" si="161">ROUND(SUM(AB302:AB306),5)</f>
        <v>0</v>
      </c>
      <c r="AC307" s="66">
        <f t="shared" si="161"/>
        <v>0</v>
      </c>
      <c r="AD307" s="66">
        <f t="shared" si="161"/>
        <v>0</v>
      </c>
      <c r="AE307" s="66">
        <f t="shared" si="161"/>
        <v>0</v>
      </c>
      <c r="AF307" s="66">
        <f t="shared" si="161"/>
        <v>0</v>
      </c>
      <c r="AG307" s="66">
        <f t="shared" si="161"/>
        <v>0</v>
      </c>
      <c r="AH307" s="66">
        <f t="shared" si="161"/>
        <v>0</v>
      </c>
      <c r="AI307" s="66">
        <f t="shared" si="161"/>
        <v>0</v>
      </c>
      <c r="AJ307" s="66">
        <f t="shared" ref="AJ307" si="162">ROUND(SUM(AJ302:AJ306),5)</f>
        <v>0</v>
      </c>
    </row>
    <row r="308" spans="1:36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  <c r="AF308" s="66"/>
      <c r="AG308" s="66"/>
      <c r="AH308" s="66"/>
      <c r="AI308" s="66"/>
      <c r="AJ308" s="66"/>
    </row>
    <row r="309" spans="1:36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163">ROUND(H309+J309+L309,5)</f>
        <v>9703.68</v>
      </c>
      <c r="O309" s="66">
        <f t="shared" si="163"/>
        <v>5278.88</v>
      </c>
      <c r="P309" s="69">
        <f t="shared" si="143"/>
        <v>3234.56</v>
      </c>
      <c r="Q309" s="69">
        <f t="shared" si="143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  <c r="AF309" s="66"/>
      <c r="AG309" s="66"/>
      <c r="AH309" s="66"/>
      <c r="AI309" s="66"/>
      <c r="AJ309" s="66"/>
    </row>
    <row r="310" spans="1:36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163"/>
        <v>884.39</v>
      </c>
      <c r="O310" s="66">
        <f t="shared" si="163"/>
        <v>2439.44</v>
      </c>
      <c r="P310" s="69">
        <f t="shared" si="143"/>
        <v>294.79666666666668</v>
      </c>
      <c r="Q310" s="69">
        <f t="shared" si="143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  <c r="AF310" s="66"/>
      <c r="AG310" s="66"/>
      <c r="AH310" s="66"/>
      <c r="AI310" s="66"/>
      <c r="AJ310" s="66"/>
    </row>
    <row r="311" spans="1:36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163"/>
        <v>979.97</v>
      </c>
      <c r="O311" s="66">
        <f t="shared" si="163"/>
        <v>6758.46</v>
      </c>
      <c r="P311" s="69">
        <f t="shared" si="143"/>
        <v>326.65666666666669</v>
      </c>
      <c r="Q311" s="69">
        <f t="shared" si="143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  <c r="AF311" s="66"/>
      <c r="AG311" s="66"/>
      <c r="AH311" s="66"/>
      <c r="AI311" s="66"/>
      <c r="AJ311" s="66"/>
    </row>
    <row r="312" spans="1:36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163"/>
        <v>404.46</v>
      </c>
      <c r="O312" s="66">
        <f t="shared" si="163"/>
        <v>1679.58</v>
      </c>
      <c r="P312" s="69">
        <f t="shared" si="143"/>
        <v>134.82</v>
      </c>
      <c r="Q312" s="69">
        <f t="shared" si="143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  <c r="AF312" s="66"/>
      <c r="AG312" s="66"/>
      <c r="AH312" s="66"/>
      <c r="AI312" s="66"/>
      <c r="AJ312" s="66"/>
    </row>
    <row r="313" spans="1:36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163"/>
        <v>4314.07</v>
      </c>
      <c r="O313" s="66">
        <f t="shared" si="163"/>
        <v>2480.1999999999998</v>
      </c>
      <c r="P313" s="69">
        <f t="shared" si="143"/>
        <v>1438.0233333333333</v>
      </c>
      <c r="Q313" s="69">
        <f t="shared" si="143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  <c r="AF313" s="66"/>
      <c r="AG313" s="66"/>
      <c r="AH313" s="66"/>
      <c r="AI313" s="66"/>
      <c r="AJ313" s="66"/>
    </row>
    <row r="314" spans="1:36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163"/>
        <v>487.74</v>
      </c>
      <c r="O314" s="66">
        <f t="shared" si="163"/>
        <v>912.08</v>
      </c>
      <c r="P314" s="69">
        <f t="shared" si="143"/>
        <v>162.58000000000001</v>
      </c>
      <c r="Q314" s="69">
        <f t="shared" si="143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  <c r="AF314" s="66"/>
      <c r="AG314" s="66"/>
      <c r="AH314" s="66"/>
      <c r="AI314" s="66"/>
      <c r="AJ314" s="66"/>
    </row>
    <row r="315" spans="1:36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163"/>
        <v>2326.19</v>
      </c>
      <c r="O315" s="66">
        <f t="shared" si="163"/>
        <v>6398.6</v>
      </c>
      <c r="P315" s="69">
        <f t="shared" si="143"/>
        <v>775.39666666666665</v>
      </c>
      <c r="Q315" s="69">
        <f t="shared" si="143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  <c r="AF315" s="66"/>
      <c r="AG315" s="66"/>
      <c r="AH315" s="66"/>
      <c r="AI315" s="66"/>
      <c r="AJ315" s="66"/>
    </row>
    <row r="316" spans="1:36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163"/>
        <v>229.23</v>
      </c>
      <c r="O316" s="66">
        <f t="shared" si="163"/>
        <v>2239.44</v>
      </c>
      <c r="P316" s="69">
        <f t="shared" si="143"/>
        <v>76.41</v>
      </c>
      <c r="Q316" s="69">
        <f t="shared" si="143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  <c r="AF316" s="66"/>
      <c r="AG316" s="66"/>
      <c r="AH316" s="66"/>
      <c r="AI316" s="66"/>
      <c r="AJ316" s="66"/>
    </row>
    <row r="317" spans="1:36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163"/>
        <v>759.74</v>
      </c>
      <c r="O317" s="66">
        <f t="shared" si="163"/>
        <v>1524.12</v>
      </c>
      <c r="P317" s="69">
        <f t="shared" si="143"/>
        <v>253.24666666666667</v>
      </c>
      <c r="Q317" s="69">
        <f t="shared" si="143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  <c r="AF317" s="66"/>
      <c r="AG317" s="66"/>
      <c r="AH317" s="66"/>
      <c r="AI317" s="66"/>
      <c r="AJ317" s="66"/>
    </row>
    <row r="318" spans="1:36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163"/>
        <v>84.4</v>
      </c>
      <c r="O318" s="73">
        <f t="shared" si="163"/>
        <v>0</v>
      </c>
      <c r="P318" s="74">
        <f t="shared" si="143"/>
        <v>28.133333333333336</v>
      </c>
      <c r="Q318" s="74">
        <f t="shared" si="143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  <c r="AF318" s="73"/>
      <c r="AG318" s="73"/>
      <c r="AH318" s="73"/>
      <c r="AI318" s="73"/>
      <c r="AJ318" s="73"/>
    </row>
    <row r="319" spans="1:36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164">ROUND(SUM(H308:H318),5)</f>
        <v>5951.81</v>
      </c>
      <c r="I319" s="63">
        <f t="shared" si="164"/>
        <v>0</v>
      </c>
      <c r="J319" s="64">
        <f t="shared" si="164"/>
        <v>9394.2800000000007</v>
      </c>
      <c r="K319" s="64">
        <f t="shared" si="164"/>
        <v>26310.799999999999</v>
      </c>
      <c r="L319" s="65">
        <f t="shared" si="164"/>
        <v>4827.78</v>
      </c>
      <c r="M319" s="65">
        <f t="shared" si="164"/>
        <v>3400</v>
      </c>
      <c r="N319" s="66">
        <f t="shared" si="163"/>
        <v>20173.87</v>
      </c>
      <c r="O319" s="66">
        <f t="shared" si="163"/>
        <v>29710.799999999999</v>
      </c>
      <c r="P319" s="69">
        <f t="shared" si="143"/>
        <v>6724.623333333333</v>
      </c>
      <c r="Q319" s="69">
        <f t="shared" si="143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 t="shared" ref="AB319:AI319" si="165">ROUND(SUM(AB308:AB318),5)</f>
        <v>0</v>
      </c>
      <c r="AC319" s="66">
        <f t="shared" si="165"/>
        <v>0</v>
      </c>
      <c r="AD319" s="66">
        <f t="shared" si="165"/>
        <v>0</v>
      </c>
      <c r="AE319" s="66">
        <f t="shared" si="165"/>
        <v>0</v>
      </c>
      <c r="AF319" s="66">
        <f t="shared" si="165"/>
        <v>0</v>
      </c>
      <c r="AG319" s="66">
        <f t="shared" si="165"/>
        <v>0</v>
      </c>
      <c r="AH319" s="66">
        <f t="shared" si="165"/>
        <v>0</v>
      </c>
      <c r="AI319" s="66">
        <f t="shared" si="165"/>
        <v>0</v>
      </c>
      <c r="AJ319" s="66">
        <f t="shared" ref="AJ319" si="166">ROUND(SUM(AJ308:AJ318),5)</f>
        <v>0</v>
      </c>
    </row>
    <row r="320" spans="1:36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  <c r="AF320" s="66"/>
      <c r="AG320" s="66"/>
      <c r="AH320" s="66"/>
      <c r="AI320" s="66"/>
      <c r="AJ320" s="66"/>
    </row>
    <row r="321" spans="1:38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167">ROUND(H321+J321+L321,5)</f>
        <v>17798.97</v>
      </c>
      <c r="O321" s="66">
        <f t="shared" si="167"/>
        <v>26035.49</v>
      </c>
      <c r="P321" s="69">
        <f t="shared" si="143"/>
        <v>5932.9900000000007</v>
      </c>
      <c r="Q321" s="69">
        <f t="shared" si="143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  <c r="AF321" s="66"/>
      <c r="AG321" s="66"/>
      <c r="AH321" s="66"/>
      <c r="AI321" s="66"/>
      <c r="AJ321" s="66"/>
    </row>
    <row r="322" spans="1:38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167"/>
        <v>3570.09</v>
      </c>
      <c r="O322" s="66">
        <f t="shared" si="167"/>
        <v>10078.280000000001</v>
      </c>
      <c r="P322" s="69">
        <f t="shared" si="143"/>
        <v>1190.03</v>
      </c>
      <c r="Q322" s="69">
        <f t="shared" si="143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  <c r="AF322" s="66"/>
      <c r="AG322" s="66"/>
      <c r="AH322" s="66"/>
      <c r="AI322" s="66"/>
      <c r="AJ322" s="66"/>
    </row>
    <row r="323" spans="1:38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167"/>
        <v>7211.43</v>
      </c>
      <c r="O323" s="66">
        <f t="shared" si="167"/>
        <v>7893.22</v>
      </c>
      <c r="P323" s="69">
        <f t="shared" si="143"/>
        <v>2403.81</v>
      </c>
      <c r="Q323" s="69">
        <f t="shared" si="143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  <c r="AF323" s="66"/>
      <c r="AG323" s="66"/>
      <c r="AH323" s="66"/>
      <c r="AI323" s="66"/>
      <c r="AJ323" s="66"/>
    </row>
    <row r="324" spans="1:38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167"/>
        <v>1219.69</v>
      </c>
      <c r="O324" s="66">
        <f t="shared" si="167"/>
        <v>1271.28</v>
      </c>
      <c r="P324" s="69">
        <f t="shared" ref="P324:Q387" si="168">N324/3</f>
        <v>406.56333333333333</v>
      </c>
      <c r="Q324" s="69">
        <f t="shared" si="168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  <c r="AF324" s="66"/>
      <c r="AG324" s="66"/>
      <c r="AH324" s="66"/>
      <c r="AI324" s="66"/>
      <c r="AJ324" s="66"/>
    </row>
    <row r="325" spans="1:38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167"/>
        <v>20508.62</v>
      </c>
      <c r="O325" s="66">
        <f t="shared" si="167"/>
        <v>19153.73</v>
      </c>
      <c r="P325" s="69">
        <f t="shared" si="168"/>
        <v>6836.206666666666</v>
      </c>
      <c r="Q325" s="69">
        <f t="shared" si="168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  <c r="AF325" s="66"/>
      <c r="AG325" s="66"/>
      <c r="AH325" s="66"/>
      <c r="AI325" s="66"/>
      <c r="AJ325" s="66"/>
    </row>
    <row r="326" spans="1:38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167"/>
        <v>2276.86</v>
      </c>
      <c r="O326" s="66">
        <f t="shared" si="167"/>
        <v>0</v>
      </c>
      <c r="P326" s="69">
        <f t="shared" si="168"/>
        <v>758.95333333333338</v>
      </c>
      <c r="Q326" s="69">
        <f t="shared" si="168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  <c r="AF326" s="66"/>
      <c r="AG326" s="66"/>
      <c r="AH326" s="66"/>
      <c r="AI326" s="66"/>
      <c r="AJ326" s="66"/>
    </row>
    <row r="327" spans="1:38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  <c r="AF327" s="73"/>
      <c r="AG327" s="73"/>
      <c r="AH327" s="73"/>
      <c r="AI327" s="73"/>
      <c r="AJ327" s="73"/>
    </row>
    <row r="328" spans="1:38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169">ROUND(SUM(H320:H326),5)</f>
        <v>14703.25</v>
      </c>
      <c r="I328" s="63">
        <f t="shared" si="169"/>
        <v>0</v>
      </c>
      <c r="J328" s="64">
        <f t="shared" si="169"/>
        <v>19844.400000000001</v>
      </c>
      <c r="K328" s="64">
        <f t="shared" si="169"/>
        <v>9669.84</v>
      </c>
      <c r="L328" s="65">
        <f t="shared" si="169"/>
        <v>18038.009999999998</v>
      </c>
      <c r="M328" s="65">
        <f t="shared" si="169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168"/>
        <v>17528.553333333333</v>
      </c>
      <c r="Q328" s="69">
        <f t="shared" si="168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 t="shared" ref="AB328:AI328" si="170">ROUND(SUM(AB320:AB327),5)</f>
        <v>0</v>
      </c>
      <c r="AC328" s="66">
        <f t="shared" si="170"/>
        <v>0</v>
      </c>
      <c r="AD328" s="66">
        <f t="shared" si="170"/>
        <v>0</v>
      </c>
      <c r="AE328" s="66">
        <f t="shared" si="170"/>
        <v>0</v>
      </c>
      <c r="AF328" s="66">
        <f t="shared" si="170"/>
        <v>0</v>
      </c>
      <c r="AG328" s="66">
        <f t="shared" si="170"/>
        <v>0</v>
      </c>
      <c r="AH328" s="66">
        <f t="shared" si="170"/>
        <v>0</v>
      </c>
      <c r="AI328" s="66">
        <f t="shared" si="170"/>
        <v>0</v>
      </c>
      <c r="AJ328" s="66">
        <f t="shared" ref="AJ328" si="171">ROUND(SUM(AJ320:AJ327),5)</f>
        <v>0</v>
      </c>
    </row>
    <row r="329" spans="1:38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  <c r="AF329" s="66"/>
      <c r="AG329" s="66"/>
      <c r="AH329" s="66"/>
      <c r="AI329" s="66"/>
      <c r="AJ329" s="66"/>
    </row>
    <row r="330" spans="1:38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172">ROUND(H330+J330+L330,5)</f>
        <v>291196.26</v>
      </c>
      <c r="O330" s="73">
        <f t="shared" si="172"/>
        <v>74045.47</v>
      </c>
      <c r="P330" s="74">
        <f t="shared" si="168"/>
        <v>97065.42</v>
      </c>
      <c r="Q330" s="74">
        <f t="shared" si="168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  <c r="AF330" s="73"/>
      <c r="AG330" s="73"/>
      <c r="AH330" s="73"/>
      <c r="AI330" s="73"/>
      <c r="AJ330" s="73"/>
    </row>
    <row r="331" spans="1:38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173">ROUND(SUM(H329:H330),5)</f>
        <v>70479.55</v>
      </c>
      <c r="I331" s="63">
        <f t="shared" si="173"/>
        <v>74045.47</v>
      </c>
      <c r="J331" s="64">
        <f t="shared" si="173"/>
        <v>78550</v>
      </c>
      <c r="K331" s="64">
        <f t="shared" si="173"/>
        <v>0</v>
      </c>
      <c r="L331" s="65">
        <f t="shared" si="173"/>
        <v>142166.71</v>
      </c>
      <c r="M331" s="65">
        <f t="shared" si="173"/>
        <v>0</v>
      </c>
      <c r="N331" s="66">
        <f t="shared" si="172"/>
        <v>291196.26</v>
      </c>
      <c r="O331" s="66">
        <f t="shared" si="172"/>
        <v>74045.47</v>
      </c>
      <c r="P331" s="69">
        <f t="shared" si="168"/>
        <v>97065.42</v>
      </c>
      <c r="Q331" s="69">
        <f t="shared" si="168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I331" si="174">ROUND(SUM(Z329:Z330),5)</f>
        <v>0</v>
      </c>
      <c r="AA331" s="140"/>
      <c r="AB331" s="66">
        <f t="shared" si="174"/>
        <v>0</v>
      </c>
      <c r="AC331" s="66">
        <f t="shared" si="174"/>
        <v>0</v>
      </c>
      <c r="AD331" s="66">
        <f t="shared" si="174"/>
        <v>0</v>
      </c>
      <c r="AE331" s="66">
        <f t="shared" si="174"/>
        <v>0</v>
      </c>
      <c r="AF331" s="66">
        <f t="shared" si="174"/>
        <v>0</v>
      </c>
      <c r="AG331" s="66">
        <f t="shared" si="174"/>
        <v>0</v>
      </c>
      <c r="AH331" s="66">
        <f t="shared" si="174"/>
        <v>0</v>
      </c>
      <c r="AI331" s="66">
        <f t="shared" si="174"/>
        <v>0</v>
      </c>
      <c r="AJ331" s="66">
        <f t="shared" ref="AJ331" si="175">ROUND(SUM(AJ329:AJ330),5)</f>
        <v>0</v>
      </c>
    </row>
    <row r="332" spans="1:38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172"/>
        <v>0</v>
      </c>
      <c r="O332" s="73">
        <f t="shared" si="172"/>
        <v>61404.95</v>
      </c>
      <c r="P332" s="74">
        <f t="shared" si="168"/>
        <v>0</v>
      </c>
      <c r="Q332" s="74">
        <f t="shared" si="168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  <c r="AH332" s="73">
        <v>0</v>
      </c>
      <c r="AI332" s="73">
        <v>0</v>
      </c>
      <c r="AJ332" s="73">
        <v>0</v>
      </c>
    </row>
    <row r="333" spans="1:38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76">ROUND(SUM(H227:H228)+H234+H257+H263+H280+H288+H301+H307+H319+H328+SUM(H331:H332),5)</f>
        <v>188585.61</v>
      </c>
      <c r="I333" s="63">
        <f t="shared" si="176"/>
        <v>138009</v>
      </c>
      <c r="J333" s="64">
        <f t="shared" si="176"/>
        <v>203924.74</v>
      </c>
      <c r="K333" s="64">
        <f t="shared" si="176"/>
        <v>194923.04</v>
      </c>
      <c r="L333" s="65">
        <f t="shared" si="176"/>
        <v>249596.1</v>
      </c>
      <c r="M333" s="65">
        <f t="shared" si="176"/>
        <v>148293.14000000001</v>
      </c>
      <c r="N333" s="66">
        <f t="shared" si="172"/>
        <v>642106.44999999995</v>
      </c>
      <c r="O333" s="66">
        <f t="shared" si="172"/>
        <v>481225.18</v>
      </c>
      <c r="P333" s="69">
        <f t="shared" si="168"/>
        <v>214035.48333333331</v>
      </c>
      <c r="Q333" s="69">
        <f t="shared" si="168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 t="shared" ref="AB333:AF333" si="177">ROUND(SUM(AB227:AB228)+AB234+AB257+AB263+AB280+AB288+AB301+AB307+AB319+AB328+SUM(AB331:AB332),5)</f>
        <v>227894.31142000001</v>
      </c>
      <c r="AC333" s="80">
        <f t="shared" si="177"/>
        <v>227894.31142000001</v>
      </c>
      <c r="AD333" s="80">
        <f t="shared" si="177"/>
        <v>243375.95202</v>
      </c>
      <c r="AE333" s="80">
        <f t="shared" si="177"/>
        <v>205210.84</v>
      </c>
      <c r="AF333" s="80">
        <f t="shared" si="177"/>
        <v>205210.84</v>
      </c>
      <c r="AG333" s="80">
        <f>ROUND(SUM(AG227:AG228)+AG234+AG257+AG263+AG280+AG288+AG301+AG307+AG319+AG328+SUM(AG331:AG332),0)</f>
        <v>205211</v>
      </c>
      <c r="AH333" s="80">
        <f>ROUND(SUM(AH227:AH228)+AH234+AH257+AH263+AH280+AH288+AH301+AH307+AH319+AH328+SUM(AH331:AH332),0)</f>
        <v>205211</v>
      </c>
      <c r="AI333" s="80">
        <f>ROUND(SUM(AI227:AI228)+AI234+AI257+AI263+AI280+AI288+AI301+AI307+AI319+AI328+SUM(AI331:AI332),0)</f>
        <v>205211</v>
      </c>
      <c r="AJ333" s="80">
        <f>ROUND(SUM(AJ227:AJ228)+AJ234+AJ257+AJ263+AJ280+AJ288+AJ301+AJ307+AJ319+AJ328+SUM(AJ331:AJ332),0)</f>
        <v>205211</v>
      </c>
      <c r="AL333" s="221" t="s">
        <v>987</v>
      </c>
    </row>
    <row r="334" spans="1:38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66"/>
      <c r="AG334" s="66"/>
      <c r="AH334" s="66"/>
      <c r="AI334" s="66"/>
      <c r="AJ334" s="66"/>
      <c r="AK334" s="195"/>
      <c r="AL334" s="185"/>
    </row>
    <row r="335" spans="1:38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66"/>
      <c r="AG335" s="66"/>
      <c r="AH335" s="66"/>
      <c r="AI335" s="66"/>
      <c r="AJ335" s="66"/>
      <c r="AK335" s="195"/>
      <c r="AL335" s="185"/>
    </row>
    <row r="336" spans="1:38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178">ROUND(H336+J336+L336,5)</f>
        <v>21365</v>
      </c>
      <c r="O336" s="66">
        <v>0</v>
      </c>
      <c r="P336" s="69">
        <f t="shared" si="168"/>
        <v>7121.666666666667</v>
      </c>
      <c r="Q336" s="69">
        <f t="shared" si="168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  <c r="AH336" s="66">
        <v>0</v>
      </c>
      <c r="AI336" s="66">
        <v>0</v>
      </c>
      <c r="AJ336" s="66">
        <v>0</v>
      </c>
    </row>
    <row r="337" spans="1:38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78"/>
        <v>97979.59</v>
      </c>
      <c r="O337" s="66">
        <f>ROUND(I337+K337+M337,5)</f>
        <v>40000</v>
      </c>
      <c r="P337" s="69">
        <f t="shared" si="168"/>
        <v>32659.863333333331</v>
      </c>
      <c r="Q337" s="69">
        <f t="shared" si="168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</v>
      </c>
      <c r="AI337" s="66">
        <v>0</v>
      </c>
      <c r="AJ337" s="66">
        <v>0</v>
      </c>
      <c r="AL337" s="174" t="s">
        <v>1018</v>
      </c>
    </row>
    <row r="338" spans="1:38" ht="16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78"/>
        <v>22480.97</v>
      </c>
      <c r="O338" s="66">
        <v>0</v>
      </c>
      <c r="P338" s="69">
        <f t="shared" si="168"/>
        <v>7493.6566666666668</v>
      </c>
      <c r="Q338" s="69">
        <f t="shared" si="168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125000</v>
      </c>
      <c r="AI338" s="66">
        <v>125000</v>
      </c>
      <c r="AJ338" s="66">
        <v>62500</v>
      </c>
      <c r="AK338" s="243" t="s">
        <v>1019</v>
      </c>
      <c r="AL338" s="221" t="s">
        <v>1007</v>
      </c>
    </row>
    <row r="339" spans="1:38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78"/>
        <v>680</v>
      </c>
      <c r="O339" s="66">
        <f>ROUND(I339+K339+M339,5)</f>
        <v>0</v>
      </c>
      <c r="P339" s="69">
        <f t="shared" si="168"/>
        <v>226.66666666666666</v>
      </c>
      <c r="Q339" s="69">
        <f t="shared" si="168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  <c r="AG339" s="168">
        <v>50000</v>
      </c>
      <c r="AH339" s="168">
        <v>50000</v>
      </c>
      <c r="AI339" s="168">
        <v>50000</v>
      </c>
      <c r="AJ339" s="168">
        <v>50000</v>
      </c>
    </row>
    <row r="340" spans="1:38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  <c r="AG340" s="168">
        <v>50000</v>
      </c>
      <c r="AH340" s="168">
        <v>50000</v>
      </c>
      <c r="AI340" s="168">
        <v>50000</v>
      </c>
      <c r="AJ340" s="168">
        <v>50000</v>
      </c>
    </row>
    <row r="341" spans="1:38" ht="16.5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78"/>
        <v>6830</v>
      </c>
      <c r="O341" s="73">
        <f>ROUND(I341+K341+M341,5)</f>
        <v>26000</v>
      </c>
      <c r="P341" s="74">
        <f t="shared" si="168"/>
        <v>2276.6666666666665</v>
      </c>
      <c r="Q341" s="74">
        <f t="shared" si="168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  <c r="AF341" s="73">
        <v>0</v>
      </c>
      <c r="AG341" s="66">
        <v>33125</v>
      </c>
      <c r="AH341" s="66">
        <v>33125</v>
      </c>
      <c r="AI341" s="66">
        <v>33125</v>
      </c>
      <c r="AJ341" s="66">
        <v>33125</v>
      </c>
      <c r="AK341" s="206" t="s">
        <v>1000</v>
      </c>
      <c r="AL341" s="221" t="s">
        <v>962</v>
      </c>
    </row>
    <row r="342" spans="1:38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79">ROUND(SUM(H335:H341),5)</f>
        <v>19670</v>
      </c>
      <c r="I342" s="63">
        <f t="shared" si="179"/>
        <v>0</v>
      </c>
      <c r="J342" s="64">
        <f t="shared" si="179"/>
        <v>94715.56</v>
      </c>
      <c r="K342" s="64">
        <f t="shared" si="179"/>
        <v>26000</v>
      </c>
      <c r="L342" s="65">
        <f t="shared" si="179"/>
        <v>34950</v>
      </c>
      <c r="M342" s="65">
        <f t="shared" si="179"/>
        <v>40000</v>
      </c>
      <c r="N342" s="66">
        <f t="shared" si="178"/>
        <v>149335.56</v>
      </c>
      <c r="O342" s="66">
        <f>ROUND(I342+K342+M342,5)</f>
        <v>66000</v>
      </c>
      <c r="P342" s="69">
        <f t="shared" si="168"/>
        <v>49778.52</v>
      </c>
      <c r="Q342" s="69">
        <f t="shared" si="168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 t="shared" ref="AB342:AI342" si="180">ROUND(SUM(AB335:AB341),5)</f>
        <v>100000</v>
      </c>
      <c r="AC342" s="80">
        <f t="shared" si="180"/>
        <v>100000</v>
      </c>
      <c r="AD342" s="80">
        <f t="shared" si="180"/>
        <v>100000</v>
      </c>
      <c r="AE342" s="80">
        <f t="shared" si="180"/>
        <v>100000</v>
      </c>
      <c r="AF342" s="80">
        <f t="shared" si="180"/>
        <v>100000</v>
      </c>
      <c r="AG342" s="80">
        <f t="shared" si="180"/>
        <v>133125</v>
      </c>
      <c r="AH342" s="80">
        <f t="shared" si="180"/>
        <v>258125</v>
      </c>
      <c r="AI342" s="80">
        <f t="shared" si="180"/>
        <v>258125</v>
      </c>
      <c r="AJ342" s="80">
        <f t="shared" ref="AJ342" si="181">ROUND(SUM(AJ335:AJ341),5)</f>
        <v>195625</v>
      </c>
    </row>
    <row r="343" spans="1:38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78"/>
        <v>110000</v>
      </c>
      <c r="O343" s="66">
        <f>ROUND(I343+K343+M343,5)</f>
        <v>135000</v>
      </c>
      <c r="P343" s="69">
        <f t="shared" si="168"/>
        <v>36666.666666666664</v>
      </c>
      <c r="Q343" s="69">
        <f t="shared" si="168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  <c r="AG343" s="66">
        <v>35000</v>
      </c>
      <c r="AH343" s="66">
        <v>35000</v>
      </c>
      <c r="AI343" s="66">
        <v>35000</v>
      </c>
      <c r="AJ343" s="66">
        <v>35000</v>
      </c>
    </row>
    <row r="344" spans="1:38" ht="16" x14ac:dyDescent="0.35">
      <c r="A344" s="66"/>
      <c r="B344" s="66"/>
      <c r="C344" s="49"/>
      <c r="D344" s="49"/>
      <c r="E344" s="49"/>
      <c r="F344" s="49" t="s">
        <v>990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78"/>
        <v>2807</v>
      </c>
      <c r="O344" s="66">
        <f>ROUND(I344+K344+M344,5)</f>
        <v>71745</v>
      </c>
      <c r="P344" s="69">
        <f t="shared" si="168"/>
        <v>935.66666666666663</v>
      </c>
      <c r="Q344" s="69">
        <f t="shared" si="168"/>
        <v>23915</v>
      </c>
      <c r="R344" s="54"/>
      <c r="S344" s="49"/>
      <c r="T344" s="49"/>
      <c r="U344" s="49"/>
      <c r="V344" s="49"/>
      <c r="W344" s="49"/>
      <c r="X344" s="49" t="s">
        <v>990</v>
      </c>
      <c r="Y344" s="49"/>
      <c r="Z344" s="66">
        <v>0</v>
      </c>
      <c r="AA344" s="140"/>
      <c r="AB344" s="168">
        <v>0</v>
      </c>
      <c r="AC344" s="168">
        <v>0</v>
      </c>
      <c r="AD344" s="168">
        <v>0</v>
      </c>
      <c r="AE344" s="168">
        <v>0</v>
      </c>
      <c r="AF344" s="168">
        <v>10000</v>
      </c>
      <c r="AG344" s="66">
        <v>10000</v>
      </c>
      <c r="AH344" s="66">
        <v>10000</v>
      </c>
      <c r="AI344" s="66">
        <v>10000</v>
      </c>
      <c r="AJ344" s="66">
        <v>10000</v>
      </c>
      <c r="AK344" s="206" t="s">
        <v>1000</v>
      </c>
      <c r="AL344" s="225" t="s">
        <v>955</v>
      </c>
    </row>
    <row r="345" spans="1:38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78"/>
        <v>600</v>
      </c>
      <c r="O345" s="66">
        <v>0</v>
      </c>
      <c r="P345" s="69">
        <f t="shared" si="168"/>
        <v>200</v>
      </c>
      <c r="Q345" s="69">
        <f t="shared" si="168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0</v>
      </c>
      <c r="AI345" s="66">
        <v>0</v>
      </c>
      <c r="AJ345" s="66">
        <v>0</v>
      </c>
    </row>
    <row r="346" spans="1:38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78"/>
        <v>4601.16</v>
      </c>
      <c r="O346" s="66">
        <f t="shared" si="178"/>
        <v>5000</v>
      </c>
      <c r="P346" s="69">
        <f t="shared" si="168"/>
        <v>1533.72</v>
      </c>
      <c r="Q346" s="69">
        <f t="shared" si="168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  <c r="AG346" s="66">
        <v>1500</v>
      </c>
      <c r="AH346" s="66">
        <v>1500</v>
      </c>
      <c r="AI346" s="66">
        <v>1500</v>
      </c>
      <c r="AJ346" s="66">
        <v>1500</v>
      </c>
    </row>
    <row r="347" spans="1:38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78"/>
        <v>0</v>
      </c>
      <c r="O347" s="66">
        <f t="shared" si="178"/>
        <v>0</v>
      </c>
      <c r="P347" s="69">
        <f t="shared" si="168"/>
        <v>0</v>
      </c>
      <c r="Q347" s="69">
        <f t="shared" si="168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  <c r="AH347" s="66">
        <v>0</v>
      </c>
      <c r="AI347" s="66">
        <v>0</v>
      </c>
      <c r="AJ347" s="66">
        <v>0</v>
      </c>
    </row>
    <row r="348" spans="1:38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78"/>
        <v>55866.65</v>
      </c>
      <c r="O348" s="66">
        <f t="shared" si="178"/>
        <v>39369.230000000003</v>
      </c>
      <c r="P348" s="69">
        <f t="shared" si="168"/>
        <v>18622.216666666667</v>
      </c>
      <c r="Q348" s="69">
        <f t="shared" si="168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  <c r="AG348" s="66">
        <v>19164</v>
      </c>
      <c r="AH348" s="66">
        <v>19164</v>
      </c>
      <c r="AI348" s="66">
        <v>19164</v>
      </c>
      <c r="AJ348" s="66">
        <v>19164</v>
      </c>
    </row>
    <row r="349" spans="1:38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78"/>
        <v>12578.7</v>
      </c>
      <c r="O349" s="66">
        <f t="shared" si="178"/>
        <v>11353.85</v>
      </c>
      <c r="P349" s="69">
        <f t="shared" si="168"/>
        <v>4192.9000000000005</v>
      </c>
      <c r="Q349" s="69">
        <f t="shared" si="168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  <c r="AG349" s="66">
        <v>4000</v>
      </c>
      <c r="AH349" s="66">
        <v>4000</v>
      </c>
      <c r="AI349" s="66">
        <v>4000</v>
      </c>
      <c r="AJ349" s="66">
        <v>4000</v>
      </c>
    </row>
    <row r="350" spans="1:38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78"/>
        <v>43549.17</v>
      </c>
      <c r="O350" s="66">
        <f t="shared" si="178"/>
        <v>35000</v>
      </c>
      <c r="P350" s="69">
        <f t="shared" si="168"/>
        <v>14516.39</v>
      </c>
      <c r="Q350" s="69">
        <f t="shared" si="168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G350" s="66">
        <f>ROUND(12117.4*1.5, 0)</f>
        <v>18176</v>
      </c>
      <c r="AH350" s="66">
        <f>ROUND(12117.4*1.5, 0)</f>
        <v>18176</v>
      </c>
      <c r="AI350" s="66">
        <f>ROUND(12117.4*1.5, 0)</f>
        <v>18176</v>
      </c>
      <c r="AJ350" s="66">
        <f>ROUND(12117.4*1.5, 0)</f>
        <v>18176</v>
      </c>
      <c r="AK350" s="182"/>
    </row>
    <row r="351" spans="1:38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78"/>
        <v>7760.69</v>
      </c>
      <c r="O351" s="66">
        <f t="shared" si="178"/>
        <v>20000</v>
      </c>
      <c r="P351" s="69">
        <f t="shared" si="168"/>
        <v>2586.8966666666665</v>
      </c>
      <c r="Q351" s="69">
        <f t="shared" si="168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66">
        <v>0</v>
      </c>
      <c r="AI351" s="66">
        <v>0</v>
      </c>
      <c r="AJ351" s="66">
        <v>0</v>
      </c>
      <c r="AK351" s="190"/>
    </row>
    <row r="352" spans="1:38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78"/>
        <v>44149.02</v>
      </c>
      <c r="O352" s="66">
        <f t="shared" si="178"/>
        <v>34250.04</v>
      </c>
      <c r="P352" s="69">
        <f t="shared" si="168"/>
        <v>14716.339999999998</v>
      </c>
      <c r="Q352" s="69">
        <f t="shared" si="168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  <c r="AG352" s="66">
        <v>20000</v>
      </c>
      <c r="AH352" s="66">
        <v>20000</v>
      </c>
      <c r="AI352" s="66">
        <v>20000</v>
      </c>
      <c r="AJ352" s="66">
        <v>20000</v>
      </c>
    </row>
    <row r="353" spans="1:37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78"/>
        <v>1956.11</v>
      </c>
      <c r="O353" s="66">
        <f t="shared" si="178"/>
        <v>22500</v>
      </c>
      <c r="P353" s="69">
        <f t="shared" si="168"/>
        <v>652.03666666666663</v>
      </c>
      <c r="Q353" s="69">
        <f t="shared" si="168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6">
        <v>0</v>
      </c>
      <c r="AI353" s="66">
        <v>0</v>
      </c>
      <c r="AJ353" s="66">
        <v>0</v>
      </c>
    </row>
    <row r="354" spans="1:37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78"/>
        <v>34446</v>
      </c>
      <c r="O354" s="66">
        <f t="shared" si="178"/>
        <v>20748</v>
      </c>
      <c r="P354" s="69">
        <f t="shared" si="168"/>
        <v>11482</v>
      </c>
      <c r="Q354" s="69">
        <f t="shared" si="168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>
        <v>0</v>
      </c>
      <c r="AI354" s="66">
        <v>0</v>
      </c>
      <c r="AJ354" s="66">
        <v>0</v>
      </c>
    </row>
    <row r="355" spans="1:37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78"/>
        <v>2154.44</v>
      </c>
      <c r="O355" s="66">
        <f t="shared" si="178"/>
        <v>3605</v>
      </c>
      <c r="P355" s="69">
        <f t="shared" si="168"/>
        <v>718.14666666666665</v>
      </c>
      <c r="Q355" s="69">
        <f t="shared" si="168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>
        <v>0</v>
      </c>
      <c r="AI355" s="66">
        <v>0</v>
      </c>
      <c r="AJ355" s="66">
        <v>0</v>
      </c>
    </row>
    <row r="356" spans="1:37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78"/>
        <v>20339.71</v>
      </c>
      <c r="O356" s="66">
        <f t="shared" si="178"/>
        <v>13000</v>
      </c>
      <c r="P356" s="69">
        <f t="shared" si="168"/>
        <v>6779.9033333333327</v>
      </c>
      <c r="Q356" s="69">
        <f t="shared" si="168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  <c r="AG356" s="66">
        <v>9000</v>
      </c>
      <c r="AH356" s="66">
        <v>9000</v>
      </c>
      <c r="AI356" s="66">
        <v>9000</v>
      </c>
      <c r="AJ356" s="66">
        <v>9000</v>
      </c>
    </row>
    <row r="357" spans="1:37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78"/>
        <v>500</v>
      </c>
      <c r="O357" s="66">
        <f t="shared" si="178"/>
        <v>0</v>
      </c>
      <c r="P357" s="69">
        <f t="shared" si="168"/>
        <v>166.66666666666666</v>
      </c>
      <c r="Q357" s="69">
        <f t="shared" si="168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  <c r="AH357" s="66">
        <v>0</v>
      </c>
      <c r="AI357" s="66">
        <v>0</v>
      </c>
      <c r="AJ357" s="66">
        <v>0</v>
      </c>
    </row>
    <row r="358" spans="1:37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  <c r="AF358" s="66"/>
      <c r="AG358" s="66"/>
      <c r="AH358" s="66"/>
      <c r="AI358" s="66"/>
      <c r="AJ358" s="66"/>
    </row>
    <row r="359" spans="1:37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82">ROUND(H359+J359+L359,5)</f>
        <v>84190</v>
      </c>
      <c r="O359" s="66">
        <f t="shared" si="182"/>
        <v>49784.88</v>
      </c>
      <c r="P359" s="69">
        <f t="shared" si="168"/>
        <v>28063.333333333332</v>
      </c>
      <c r="Q359" s="69">
        <f t="shared" si="168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  <c r="AG359" s="66">
        <v>0</v>
      </c>
      <c r="AH359" s="66">
        <v>0</v>
      </c>
      <c r="AI359" s="66">
        <v>0</v>
      </c>
      <c r="AJ359" s="66">
        <v>0</v>
      </c>
    </row>
    <row r="360" spans="1:37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82"/>
        <v>0</v>
      </c>
      <c r="O360" s="73">
        <f t="shared" si="182"/>
        <v>15000</v>
      </c>
      <c r="P360" s="74">
        <f t="shared" si="168"/>
        <v>0</v>
      </c>
      <c r="Q360" s="74">
        <f t="shared" si="168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  <c r="AG360" s="73">
        <v>0</v>
      </c>
      <c r="AH360" s="73">
        <v>0</v>
      </c>
      <c r="AI360" s="73">
        <v>0</v>
      </c>
      <c r="AJ360" s="73">
        <v>0</v>
      </c>
    </row>
    <row r="361" spans="1:37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83">ROUND(SUM(H358:H360),5)</f>
        <v>31425</v>
      </c>
      <c r="I361" s="63">
        <f t="shared" si="183"/>
        <v>15000</v>
      </c>
      <c r="J361" s="64">
        <f t="shared" si="183"/>
        <v>27367.5</v>
      </c>
      <c r="K361" s="64">
        <f t="shared" si="183"/>
        <v>28917.38</v>
      </c>
      <c r="L361" s="65">
        <f t="shared" si="183"/>
        <v>25397.5</v>
      </c>
      <c r="M361" s="65">
        <f t="shared" si="183"/>
        <v>20867.5</v>
      </c>
      <c r="N361" s="66">
        <f t="shared" si="182"/>
        <v>84190</v>
      </c>
      <c r="O361" s="66">
        <f t="shared" si="182"/>
        <v>64784.88</v>
      </c>
      <c r="P361" s="69">
        <f t="shared" si="168"/>
        <v>28063.333333333332</v>
      </c>
      <c r="Q361" s="69">
        <f t="shared" si="168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 t="shared" ref="AB361:AI361" si="184">ROUND(SUM(AB358:AB360),5)</f>
        <v>0</v>
      </c>
      <c r="AC361" s="80">
        <f t="shared" si="184"/>
        <v>0</v>
      </c>
      <c r="AD361" s="80">
        <f t="shared" si="184"/>
        <v>0</v>
      </c>
      <c r="AE361" s="80">
        <f t="shared" si="184"/>
        <v>0</v>
      </c>
      <c r="AF361" s="80">
        <f t="shared" si="184"/>
        <v>0</v>
      </c>
      <c r="AG361" s="80">
        <f t="shared" si="184"/>
        <v>0</v>
      </c>
      <c r="AH361" s="80">
        <f t="shared" si="184"/>
        <v>0</v>
      </c>
      <c r="AI361" s="80">
        <f t="shared" si="184"/>
        <v>0</v>
      </c>
      <c r="AJ361" s="80">
        <f t="shared" ref="AJ361" si="185">ROUND(SUM(AJ358:AJ360),5)</f>
        <v>0</v>
      </c>
    </row>
    <row r="362" spans="1:37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82"/>
        <v>0</v>
      </c>
      <c r="O362" s="66">
        <f t="shared" si="182"/>
        <v>0</v>
      </c>
      <c r="P362" s="69">
        <f t="shared" si="168"/>
        <v>0</v>
      </c>
      <c r="Q362" s="69">
        <f t="shared" si="168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  <c r="AF362" s="66"/>
      <c r="AG362" s="66"/>
      <c r="AH362" s="66"/>
      <c r="AI362" s="66"/>
      <c r="AJ362" s="66"/>
    </row>
    <row r="363" spans="1:37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86">ROUND(H334+SUM(H342:H357)+SUM(H361:H362),5)</f>
        <v>166149.76999999999</v>
      </c>
      <c r="I363" s="83">
        <f t="shared" si="186"/>
        <v>161924.6</v>
      </c>
      <c r="J363" s="84">
        <f t="shared" si="186"/>
        <v>213318.06</v>
      </c>
      <c r="K363" s="84">
        <f t="shared" si="186"/>
        <v>155784.65</v>
      </c>
      <c r="L363" s="85">
        <f t="shared" si="186"/>
        <v>195366.38</v>
      </c>
      <c r="M363" s="85">
        <f t="shared" si="186"/>
        <v>224646.75</v>
      </c>
      <c r="N363" s="86">
        <f t="shared" si="182"/>
        <v>574834.21</v>
      </c>
      <c r="O363" s="86">
        <f t="shared" si="182"/>
        <v>542356</v>
      </c>
      <c r="P363" s="87">
        <f t="shared" si="168"/>
        <v>191611.40333333332</v>
      </c>
      <c r="Q363" s="87">
        <f t="shared" si="168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 t="shared" ref="AB363:AG363" si="187">ROUND(AB334+SUM(AB342:AB357)+SUM(AB361:AB362),5)</f>
        <v>199017.1</v>
      </c>
      <c r="AC363" s="88">
        <f t="shared" si="187"/>
        <v>199017.1</v>
      </c>
      <c r="AD363" s="88">
        <f t="shared" si="187"/>
        <v>202281.4</v>
      </c>
      <c r="AE363" s="88">
        <f t="shared" si="187"/>
        <v>200781.4</v>
      </c>
      <c r="AF363" s="88">
        <f t="shared" si="187"/>
        <v>210781.4</v>
      </c>
      <c r="AG363" s="88">
        <f t="shared" si="187"/>
        <v>249965</v>
      </c>
      <c r="AH363" s="88">
        <f t="shared" ref="AH363:AI363" si="188">ROUND(AH334+SUM(AH342:AH357)+SUM(AH361:AH362),5)</f>
        <v>374965</v>
      </c>
      <c r="AI363" s="88">
        <f t="shared" si="188"/>
        <v>374965</v>
      </c>
      <c r="AJ363" s="88">
        <f t="shared" ref="AJ363" si="189">ROUND(AJ334+SUM(AJ342:AJ357)+SUM(AJ361:AJ362),5)</f>
        <v>312465</v>
      </c>
    </row>
    <row r="364" spans="1:37" ht="16" thickBot="1" x14ac:dyDescent="0.4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90">ROUND(H226+H333+H363,5)</f>
        <v>354735.38</v>
      </c>
      <c r="I364" s="63">
        <f t="shared" si="190"/>
        <v>299933.59999999998</v>
      </c>
      <c r="J364" s="64">
        <f t="shared" si="190"/>
        <v>417242.8</v>
      </c>
      <c r="K364" s="64">
        <f t="shared" si="190"/>
        <v>350707.69</v>
      </c>
      <c r="L364" s="65">
        <f t="shared" si="190"/>
        <v>444962.48</v>
      </c>
      <c r="M364" s="65">
        <f t="shared" si="190"/>
        <v>372939.89</v>
      </c>
      <c r="N364" s="66">
        <f t="shared" si="182"/>
        <v>1216940.6599999999</v>
      </c>
      <c r="O364" s="66">
        <f t="shared" si="182"/>
        <v>1023581.18</v>
      </c>
      <c r="P364" s="69">
        <f t="shared" si="168"/>
        <v>405646.88666666666</v>
      </c>
      <c r="Q364" s="69">
        <f t="shared" si="168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 t="shared" ref="AB364:AI364" si="191">ROUND(AB226+AB333+AB363,5)</f>
        <v>426911.41142000002</v>
      </c>
      <c r="AC364" s="66">
        <f t="shared" si="191"/>
        <v>426911.41142000002</v>
      </c>
      <c r="AD364" s="66">
        <f t="shared" si="191"/>
        <v>445657.35201999999</v>
      </c>
      <c r="AE364" s="66">
        <f t="shared" si="191"/>
        <v>405992.24</v>
      </c>
      <c r="AF364" s="66">
        <f t="shared" si="191"/>
        <v>415992.24</v>
      </c>
      <c r="AG364" s="66">
        <f t="shared" si="191"/>
        <v>455176</v>
      </c>
      <c r="AH364" s="88">
        <f t="shared" si="191"/>
        <v>580176</v>
      </c>
      <c r="AI364" s="88">
        <f t="shared" si="191"/>
        <v>580176</v>
      </c>
      <c r="AJ364" s="88">
        <f t="shared" ref="AJ364" si="192">ROUND(AJ226+AJ333+AJ363,5)</f>
        <v>517676</v>
      </c>
    </row>
    <row r="365" spans="1:37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  <c r="AF365" s="66"/>
      <c r="AG365" s="66"/>
      <c r="AH365" s="66"/>
      <c r="AI365" s="66"/>
      <c r="AJ365" s="66"/>
    </row>
    <row r="366" spans="1:37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93">ROUND(H366+J366+L366,5)</f>
        <v>65072</v>
      </c>
      <c r="O366" s="66">
        <f t="shared" si="193"/>
        <v>51375.6</v>
      </c>
      <c r="P366" s="69">
        <f t="shared" si="168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  <c r="AG366" s="66">
        <v>33936</v>
      </c>
      <c r="AH366" s="66">
        <v>33936</v>
      </c>
      <c r="AI366" s="66">
        <v>33936</v>
      </c>
      <c r="AJ366" s="66">
        <v>33936</v>
      </c>
      <c r="AK366" s="182"/>
    </row>
    <row r="367" spans="1:37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93"/>
        <v>111140.02</v>
      </c>
      <c r="O367" s="66">
        <f t="shared" si="193"/>
        <v>112544.8</v>
      </c>
      <c r="P367" s="69">
        <f t="shared" si="168"/>
        <v>37046.673333333332</v>
      </c>
      <c r="Q367" s="69">
        <f t="shared" si="168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 t="shared" ref="AB367:AJ367" si="194">ROUND(37896.24, 0)</f>
        <v>37896</v>
      </c>
      <c r="AC367" s="66">
        <f t="shared" si="194"/>
        <v>37896</v>
      </c>
      <c r="AD367" s="66">
        <f t="shared" si="194"/>
        <v>37896</v>
      </c>
      <c r="AE367" s="66">
        <f t="shared" si="194"/>
        <v>37896</v>
      </c>
      <c r="AF367" s="66">
        <f t="shared" si="194"/>
        <v>37896</v>
      </c>
      <c r="AG367" s="66">
        <f t="shared" si="194"/>
        <v>37896</v>
      </c>
      <c r="AH367" s="66">
        <f t="shared" si="194"/>
        <v>37896</v>
      </c>
      <c r="AI367" s="66">
        <f t="shared" si="194"/>
        <v>37896</v>
      </c>
      <c r="AJ367" s="66">
        <f t="shared" si="194"/>
        <v>37896</v>
      </c>
      <c r="AK367" s="182"/>
    </row>
    <row r="368" spans="1:37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93"/>
        <v>73064.12</v>
      </c>
      <c r="O368" s="66">
        <f t="shared" si="193"/>
        <v>69064.929999999993</v>
      </c>
      <c r="P368" s="69">
        <f t="shared" si="168"/>
        <v>24354.706666666665</v>
      </c>
      <c r="Q368" s="69">
        <f t="shared" si="168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  <c r="AG368" s="66">
        <v>27067</v>
      </c>
      <c r="AH368" s="66">
        <v>27067</v>
      </c>
      <c r="AI368" s="66">
        <v>27067</v>
      </c>
      <c r="AJ368" s="66">
        <v>27067</v>
      </c>
      <c r="AK368" s="182"/>
    </row>
    <row r="369" spans="1:38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93"/>
        <v>83751.37</v>
      </c>
      <c r="O369" s="66">
        <f t="shared" si="193"/>
        <v>83288.960000000006</v>
      </c>
      <c r="P369" s="69">
        <f t="shared" si="168"/>
        <v>27917.123333333333</v>
      </c>
      <c r="Q369" s="69">
        <f t="shared" si="168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  <c r="AG369" s="66">
        <v>29904</v>
      </c>
      <c r="AH369" s="66">
        <v>29904</v>
      </c>
      <c r="AI369" s="66">
        <v>29904</v>
      </c>
      <c r="AJ369" s="66">
        <v>29904</v>
      </c>
      <c r="AK369" s="182"/>
    </row>
    <row r="370" spans="1:38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93"/>
        <v>28135.19</v>
      </c>
      <c r="O370" s="66">
        <f t="shared" si="193"/>
        <v>34600</v>
      </c>
      <c r="P370" s="69">
        <f t="shared" si="168"/>
        <v>9378.3966666666656</v>
      </c>
      <c r="Q370" s="69">
        <f t="shared" si="168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  <c r="AG370" s="66">
        <v>10000</v>
      </c>
      <c r="AH370" s="66">
        <v>10000</v>
      </c>
      <c r="AI370" s="66">
        <v>10000</v>
      </c>
      <c r="AJ370" s="66">
        <v>10000</v>
      </c>
      <c r="AK370" s="182"/>
    </row>
    <row r="371" spans="1:38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95">ROUND(SUM(H365:H370),5)</f>
        <v>114632.84</v>
      </c>
      <c r="I371" s="75">
        <f t="shared" si="195"/>
        <v>107960.9</v>
      </c>
      <c r="J371" s="76">
        <f t="shared" si="195"/>
        <v>123159.01</v>
      </c>
      <c r="K371" s="76">
        <f t="shared" si="195"/>
        <v>112474.39</v>
      </c>
      <c r="L371" s="77">
        <f t="shared" si="195"/>
        <v>123370.85</v>
      </c>
      <c r="M371" s="77">
        <f t="shared" si="195"/>
        <v>130439</v>
      </c>
      <c r="N371" s="78">
        <f t="shared" si="193"/>
        <v>361162.7</v>
      </c>
      <c r="O371" s="78">
        <f t="shared" si="193"/>
        <v>350874.29</v>
      </c>
      <c r="P371" s="79">
        <f t="shared" si="168"/>
        <v>120387.56666666667</v>
      </c>
      <c r="Q371" s="79">
        <f t="shared" si="168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 t="shared" ref="AB371:AI371" si="196">ROUND(SUM(AB365:AB370),5)</f>
        <v>129087</v>
      </c>
      <c r="AC371" s="80">
        <f t="shared" si="196"/>
        <v>129087</v>
      </c>
      <c r="AD371" s="80">
        <f t="shared" si="196"/>
        <v>129087</v>
      </c>
      <c r="AE371" s="80">
        <f t="shared" si="196"/>
        <v>138803</v>
      </c>
      <c r="AF371" s="80">
        <f t="shared" si="196"/>
        <v>138803</v>
      </c>
      <c r="AG371" s="80">
        <f t="shared" si="196"/>
        <v>138803</v>
      </c>
      <c r="AH371" s="80">
        <f t="shared" si="196"/>
        <v>138803</v>
      </c>
      <c r="AI371" s="80">
        <f t="shared" si="196"/>
        <v>138803</v>
      </c>
      <c r="AJ371" s="80">
        <f t="shared" ref="AJ371" si="197">ROUND(SUM(AJ365:AJ370),5)</f>
        <v>138803</v>
      </c>
    </row>
    <row r="372" spans="1:38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168"/>
        <v>0</v>
      </c>
      <c r="Q372" s="69">
        <f t="shared" si="168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  <c r="AF372" s="66"/>
      <c r="AG372" s="66"/>
      <c r="AH372" s="66"/>
      <c r="AI372" s="66"/>
      <c r="AJ372" s="66"/>
    </row>
    <row r="373" spans="1:38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98">ROUND(H373+J373+L373,5)</f>
        <v>4736691.54</v>
      </c>
      <c r="O373" s="66">
        <f t="shared" si="198"/>
        <v>4809206.6399999997</v>
      </c>
      <c r="P373" s="69">
        <f t="shared" si="168"/>
        <v>1578897.18</v>
      </c>
      <c r="Q373" s="69">
        <f t="shared" si="168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>ROUND(1728649.91, 0)</f>
        <v>1728650</v>
      </c>
      <c r="AG373" s="66">
        <f>ROUND(1728649.91, 0)</f>
        <v>1728650</v>
      </c>
      <c r="AH373" s="66">
        <f>ROUND(1728649.91, 0)</f>
        <v>1728650</v>
      </c>
      <c r="AI373" s="66">
        <f>ROUND(1728649.91, 0)</f>
        <v>1728650</v>
      </c>
      <c r="AJ373" s="66">
        <f>ROUND(1728649.91, 0)</f>
        <v>1728650</v>
      </c>
      <c r="AL373" s="221" t="s">
        <v>889</v>
      </c>
    </row>
    <row r="374" spans="1:38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98"/>
        <v>186600.3</v>
      </c>
      <c r="O374" s="66">
        <f t="shared" si="198"/>
        <v>192368.27</v>
      </c>
      <c r="P374" s="69">
        <f t="shared" si="168"/>
        <v>62200.1</v>
      </c>
      <c r="Q374" s="69">
        <f t="shared" si="168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>ROUND(69146, 0)</f>
        <v>69146</v>
      </c>
      <c r="AG374" s="66">
        <f>ROUND(69146, 0)</f>
        <v>69146</v>
      </c>
      <c r="AH374" s="66">
        <f>ROUND(69146, 0)</f>
        <v>69146</v>
      </c>
      <c r="AI374" s="66">
        <f>ROUND(69146, 0)</f>
        <v>69146</v>
      </c>
      <c r="AJ374" s="66">
        <f>ROUND(69146, 0)</f>
        <v>69146</v>
      </c>
      <c r="AL374" s="221" t="s">
        <v>891</v>
      </c>
    </row>
    <row r="375" spans="1:38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98"/>
        <v>1242428.6000000001</v>
      </c>
      <c r="O375" s="66">
        <f t="shared" si="198"/>
        <v>1421274.67</v>
      </c>
      <c r="P375" s="69">
        <f t="shared" si="168"/>
        <v>414142.8666666667</v>
      </c>
      <c r="Q375" s="69">
        <f t="shared" si="168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>ROUND(485404.9, 0)</f>
        <v>485405</v>
      </c>
      <c r="AG375" s="66">
        <f>ROUND(485404.9, 0)</f>
        <v>485405</v>
      </c>
      <c r="AH375" s="66">
        <f>ROUND(485404.9, 0)</f>
        <v>485405</v>
      </c>
      <c r="AI375" s="66">
        <f>ROUND(485404.9, 0)</f>
        <v>485405</v>
      </c>
      <c r="AJ375" s="66">
        <f>ROUND(485404.9, 0)</f>
        <v>485405</v>
      </c>
      <c r="AL375" s="221" t="s">
        <v>890</v>
      </c>
    </row>
    <row r="376" spans="1:38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199">ROUND(SUM(H372:H375),5)</f>
        <v>1912297.24</v>
      </c>
      <c r="I376" s="75">
        <f t="shared" si="199"/>
        <v>2105179.7200000002</v>
      </c>
      <c r="J376" s="76">
        <f t="shared" si="199"/>
        <v>2104075.4500000002</v>
      </c>
      <c r="K376" s="76">
        <f t="shared" si="199"/>
        <v>2112580.67</v>
      </c>
      <c r="L376" s="77">
        <f t="shared" si="199"/>
        <v>2149347.75</v>
      </c>
      <c r="M376" s="77">
        <f t="shared" si="199"/>
        <v>2205089.19</v>
      </c>
      <c r="N376" s="78">
        <f t="shared" si="198"/>
        <v>6165720.4400000004</v>
      </c>
      <c r="O376" s="78">
        <f t="shared" si="198"/>
        <v>6422849.5800000001</v>
      </c>
      <c r="P376" s="79">
        <f t="shared" si="168"/>
        <v>2055240.1466666667</v>
      </c>
      <c r="Q376" s="79">
        <f t="shared" si="168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 t="shared" ref="AB376:AI376" si="200">ROUND(SUM(AB372:AB375),5)</f>
        <v>2291617</v>
      </c>
      <c r="AC376" s="80">
        <f t="shared" si="200"/>
        <v>2252385</v>
      </c>
      <c r="AD376" s="80">
        <f t="shared" si="200"/>
        <v>2252385</v>
      </c>
      <c r="AE376" s="80">
        <f t="shared" si="200"/>
        <v>2252385</v>
      </c>
      <c r="AF376" s="80">
        <f t="shared" si="200"/>
        <v>2283201</v>
      </c>
      <c r="AG376" s="80">
        <f t="shared" si="200"/>
        <v>2283201</v>
      </c>
      <c r="AH376" s="80">
        <f t="shared" si="200"/>
        <v>2283201</v>
      </c>
      <c r="AI376" s="80">
        <f t="shared" si="200"/>
        <v>2283201</v>
      </c>
      <c r="AJ376" s="80">
        <f t="shared" ref="AJ376" si="201">ROUND(SUM(AJ372:AJ375),5)</f>
        <v>2283201</v>
      </c>
      <c r="AL376" s="223">
        <f>AG376/AG220</f>
        <v>0.4077895412530414</v>
      </c>
    </row>
    <row r="377" spans="1:38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F377" s="66"/>
      <c r="AG377" s="66"/>
      <c r="AH377" s="66"/>
      <c r="AI377" s="66"/>
      <c r="AJ377" s="66"/>
      <c r="AL377" s="188"/>
    </row>
    <row r="378" spans="1:38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  <c r="AF378" s="66"/>
      <c r="AG378" s="66"/>
      <c r="AH378" s="66"/>
      <c r="AI378" s="66"/>
      <c r="AJ378" s="66"/>
    </row>
    <row r="379" spans="1:38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202">ROUND(H379+J379+L379,5)</f>
        <v>4046.28</v>
      </c>
      <c r="O379" s="66">
        <f t="shared" si="202"/>
        <v>3800</v>
      </c>
      <c r="P379" s="69">
        <f t="shared" si="168"/>
        <v>1348.76</v>
      </c>
      <c r="Q379" s="69">
        <f t="shared" si="168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G379" s="66">
        <v>1200</v>
      </c>
      <c r="AH379" s="66">
        <v>1200</v>
      </c>
      <c r="AI379" s="66">
        <v>1200</v>
      </c>
      <c r="AJ379" s="66">
        <v>1200</v>
      </c>
      <c r="AK379" s="173"/>
      <c r="AL379" s="173"/>
    </row>
    <row r="380" spans="1:38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202"/>
        <v>614951.03</v>
      </c>
      <c r="O380" s="66">
        <f t="shared" si="202"/>
        <v>486000</v>
      </c>
      <c r="P380" s="69">
        <f t="shared" si="168"/>
        <v>204983.67666666667</v>
      </c>
      <c r="Q380" s="69">
        <f t="shared" si="168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G380" s="66">
        <v>190000</v>
      </c>
      <c r="AH380" s="66">
        <v>190000</v>
      </c>
      <c r="AI380" s="66">
        <v>190000</v>
      </c>
      <c r="AJ380" s="66">
        <v>190000</v>
      </c>
      <c r="AK380" s="173"/>
      <c r="AL380" s="173"/>
    </row>
    <row r="381" spans="1:38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202"/>
        <v>8559.83</v>
      </c>
      <c r="O381" s="66">
        <f t="shared" si="202"/>
        <v>12510</v>
      </c>
      <c r="P381" s="69">
        <f t="shared" si="168"/>
        <v>2853.2766666666666</v>
      </c>
      <c r="Q381" s="69">
        <f t="shared" si="168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G381" s="66">
        <v>4760</v>
      </c>
      <c r="AH381" s="66">
        <v>4760</v>
      </c>
      <c r="AI381" s="66">
        <v>4760</v>
      </c>
      <c r="AJ381" s="66">
        <v>4760</v>
      </c>
      <c r="AK381" s="173"/>
      <c r="AL381" s="173"/>
    </row>
    <row r="382" spans="1:38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202"/>
        <v>309582.38</v>
      </c>
      <c r="O382" s="66">
        <f t="shared" si="202"/>
        <v>255250</v>
      </c>
      <c r="P382" s="69">
        <f t="shared" si="168"/>
        <v>103194.12666666666</v>
      </c>
      <c r="Q382" s="69">
        <f t="shared" si="168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G382" s="66">
        <v>78000</v>
      </c>
      <c r="AH382" s="66">
        <v>78000</v>
      </c>
      <c r="AI382" s="66">
        <v>78000</v>
      </c>
      <c r="AJ382" s="66">
        <v>78000</v>
      </c>
      <c r="AK382" s="173"/>
      <c r="AL382" s="173"/>
    </row>
    <row r="383" spans="1:38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202"/>
        <v>0</v>
      </c>
      <c r="O383" s="66">
        <v>0</v>
      </c>
      <c r="P383" s="69">
        <f t="shared" si="168"/>
        <v>0</v>
      </c>
      <c r="Q383" s="69">
        <f t="shared" si="168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66">
        <v>0</v>
      </c>
      <c r="AI383" s="66">
        <v>0</v>
      </c>
      <c r="AJ383" s="66">
        <v>0</v>
      </c>
      <c r="AK383" s="173"/>
      <c r="AL383" s="173"/>
    </row>
    <row r="384" spans="1:38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202"/>
        <v>563757.04</v>
      </c>
      <c r="O384" s="66">
        <f t="shared" si="202"/>
        <v>385395</v>
      </c>
      <c r="P384" s="69">
        <f t="shared" si="168"/>
        <v>187919.01333333334</v>
      </c>
      <c r="Q384" s="69">
        <f t="shared" si="168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G384" s="66">
        <v>177320</v>
      </c>
      <c r="AH384" s="66">
        <v>177320</v>
      </c>
      <c r="AI384" s="66">
        <v>177320</v>
      </c>
      <c r="AJ384" s="66">
        <v>177320</v>
      </c>
      <c r="AL384" s="224" t="s">
        <v>991</v>
      </c>
    </row>
    <row r="385" spans="1:38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202"/>
        <v>1218</v>
      </c>
      <c r="O385" s="66">
        <f t="shared" si="202"/>
        <v>18000</v>
      </c>
      <c r="P385" s="69">
        <f t="shared" si="168"/>
        <v>406</v>
      </c>
      <c r="Q385" s="69">
        <f t="shared" si="168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G385" s="66">
        <v>7500</v>
      </c>
      <c r="AH385" s="66">
        <v>7500</v>
      </c>
      <c r="AI385" s="66">
        <v>7500</v>
      </c>
      <c r="AJ385" s="66">
        <v>7500</v>
      </c>
      <c r="AK385" s="173"/>
      <c r="AL385" s="173"/>
    </row>
    <row r="386" spans="1:38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140"/>
      <c r="AB386" s="82"/>
      <c r="AC386" s="82"/>
      <c r="AD386" s="82"/>
      <c r="AE386" s="82"/>
      <c r="AF386" s="66"/>
      <c r="AG386" s="66"/>
      <c r="AH386" s="66"/>
      <c r="AI386" s="66"/>
      <c r="AJ386" s="66"/>
      <c r="AK386" s="173"/>
      <c r="AL386" s="173"/>
    </row>
    <row r="387" spans="1:38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202"/>
        <v>3483</v>
      </c>
      <c r="O387" s="66">
        <f t="shared" si="202"/>
        <v>13000</v>
      </c>
      <c r="P387" s="69">
        <f t="shared" si="168"/>
        <v>1161</v>
      </c>
      <c r="Q387" s="69">
        <f t="shared" si="168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G387" s="66">
        <v>20000</v>
      </c>
      <c r="AH387" s="66">
        <v>20000</v>
      </c>
      <c r="AI387" s="66">
        <v>20000</v>
      </c>
      <c r="AJ387" s="66">
        <v>20000</v>
      </c>
      <c r="AK387" s="173"/>
      <c r="AL387" s="173"/>
    </row>
    <row r="388" spans="1:38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202"/>
        <v>2892.1</v>
      </c>
      <c r="O388" s="66">
        <f t="shared" si="202"/>
        <v>18250</v>
      </c>
      <c r="P388" s="69">
        <f t="shared" ref="P388:Q450" si="203">N388/3</f>
        <v>964.0333333333333</v>
      </c>
      <c r="Q388" s="69">
        <f t="shared" si="203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G388" s="66">
        <v>12000</v>
      </c>
      <c r="AH388" s="66">
        <v>12000</v>
      </c>
      <c r="AI388" s="66">
        <v>12000</v>
      </c>
      <c r="AJ388" s="66">
        <v>12000</v>
      </c>
      <c r="AK388" s="173"/>
      <c r="AL388" s="173"/>
    </row>
    <row r="389" spans="1:38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202"/>
        <v>59350</v>
      </c>
      <c r="O389" s="66">
        <f t="shared" si="202"/>
        <v>38500</v>
      </c>
      <c r="P389" s="69">
        <f t="shared" si="203"/>
        <v>19783.333333333332</v>
      </c>
      <c r="Q389" s="69">
        <f t="shared" si="203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G389" s="66">
        <v>20925</v>
      </c>
      <c r="AH389" s="66">
        <v>20925</v>
      </c>
      <c r="AI389" s="66">
        <v>20925</v>
      </c>
      <c r="AJ389" s="66">
        <v>20925</v>
      </c>
      <c r="AK389" s="173"/>
      <c r="AL389" s="147"/>
    </row>
    <row r="390" spans="1:38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202"/>
        <v>123607.99</v>
      </c>
      <c r="O390" s="66">
        <f t="shared" si="202"/>
        <v>94000</v>
      </c>
      <c r="P390" s="69">
        <f t="shared" si="203"/>
        <v>41202.663333333338</v>
      </c>
      <c r="Q390" s="69">
        <f t="shared" si="203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G390" s="66">
        <v>32000</v>
      </c>
      <c r="AH390" s="66">
        <v>32000</v>
      </c>
      <c r="AI390" s="66">
        <v>32000</v>
      </c>
      <c r="AJ390" s="66">
        <v>32000</v>
      </c>
      <c r="AK390" s="173"/>
      <c r="AL390" s="173"/>
    </row>
    <row r="391" spans="1:38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202"/>
        <v>1886.2</v>
      </c>
      <c r="O391" s="66">
        <f t="shared" si="202"/>
        <v>3000</v>
      </c>
      <c r="P391" s="69">
        <f t="shared" si="203"/>
        <v>628.73333333333335</v>
      </c>
      <c r="Q391" s="69">
        <f t="shared" si="203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1000</v>
      </c>
      <c r="AH391" s="66">
        <v>1000</v>
      </c>
      <c r="AI391" s="66">
        <v>1000</v>
      </c>
      <c r="AJ391" s="66">
        <v>1000</v>
      </c>
      <c r="AK391" s="173"/>
      <c r="AL391" s="173"/>
    </row>
    <row r="392" spans="1:38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202"/>
        <v>103295.59</v>
      </c>
      <c r="O392" s="66">
        <f t="shared" si="202"/>
        <v>55000</v>
      </c>
      <c r="P392" s="69">
        <f t="shared" si="203"/>
        <v>34431.863333333335</v>
      </c>
      <c r="Q392" s="69">
        <f t="shared" si="203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G392" s="66">
        <v>25000</v>
      </c>
      <c r="AH392" s="66">
        <v>25000</v>
      </c>
      <c r="AI392" s="66">
        <v>25000</v>
      </c>
      <c r="AJ392" s="66">
        <v>25000</v>
      </c>
      <c r="AK392" s="173"/>
      <c r="AL392" s="173"/>
    </row>
    <row r="393" spans="1:38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202"/>
        <v>35000</v>
      </c>
      <c r="O393" s="66">
        <f t="shared" si="202"/>
        <v>35000</v>
      </c>
      <c r="P393" s="69">
        <f t="shared" si="203"/>
        <v>11666.666666666666</v>
      </c>
      <c r="Q393" s="69">
        <f t="shared" si="203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G393" s="66">
        <v>15000</v>
      </c>
      <c r="AH393" s="66">
        <v>15000</v>
      </c>
      <c r="AI393" s="66">
        <v>15000</v>
      </c>
      <c r="AJ393" s="66">
        <v>15000</v>
      </c>
      <c r="AK393" s="173"/>
      <c r="AL393" s="173"/>
    </row>
    <row r="394" spans="1:38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202"/>
        <v>37071.82</v>
      </c>
      <c r="O394" s="66">
        <f t="shared" si="202"/>
        <v>21012</v>
      </c>
      <c r="P394" s="69">
        <f t="shared" si="203"/>
        <v>12357.273333333333</v>
      </c>
      <c r="Q394" s="69">
        <f t="shared" si="203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G394" s="66">
        <v>7616</v>
      </c>
      <c r="AH394" s="66">
        <v>7616</v>
      </c>
      <c r="AI394" s="66">
        <v>7616</v>
      </c>
      <c r="AJ394" s="66">
        <v>7616</v>
      </c>
      <c r="AK394" s="173"/>
      <c r="AL394" s="173"/>
    </row>
    <row r="395" spans="1:38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204">ROUND(H395+J395+L395,5)</f>
        <v>8975</v>
      </c>
      <c r="O395" s="66">
        <f t="shared" si="204"/>
        <v>9000</v>
      </c>
      <c r="P395" s="69">
        <f t="shared" si="203"/>
        <v>2991.6666666666665</v>
      </c>
      <c r="Q395" s="69">
        <f t="shared" si="203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G395" s="66">
        <v>3000</v>
      </c>
      <c r="AH395" s="66">
        <v>3000</v>
      </c>
      <c r="AI395" s="66">
        <v>3000</v>
      </c>
      <c r="AJ395" s="66">
        <v>3000</v>
      </c>
      <c r="AK395" s="173"/>
      <c r="AL395" s="173"/>
    </row>
    <row r="396" spans="1:38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204"/>
        <v>52589.599999999999</v>
      </c>
      <c r="O396" s="66">
        <f t="shared" si="204"/>
        <v>30000</v>
      </c>
      <c r="P396" s="69">
        <f t="shared" si="203"/>
        <v>17529.866666666665</v>
      </c>
      <c r="Q396" s="69">
        <f t="shared" si="203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G396" s="66">
        <v>10000</v>
      </c>
      <c r="AH396" s="66">
        <v>10000</v>
      </c>
      <c r="AI396" s="66">
        <v>10000</v>
      </c>
      <c r="AJ396" s="66">
        <v>10000</v>
      </c>
      <c r="AK396" s="173"/>
      <c r="AL396" s="173"/>
    </row>
    <row r="397" spans="1:38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204"/>
        <v>7521.01</v>
      </c>
      <c r="O397" s="66">
        <f t="shared" si="204"/>
        <v>33000</v>
      </c>
      <c r="P397" s="69">
        <f t="shared" si="203"/>
        <v>2507.0033333333336</v>
      </c>
      <c r="Q397" s="69">
        <f t="shared" si="203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G397" s="66">
        <v>10000</v>
      </c>
      <c r="AH397" s="66">
        <v>10000</v>
      </c>
      <c r="AI397" s="66">
        <v>10000</v>
      </c>
      <c r="AJ397" s="66">
        <v>10000</v>
      </c>
      <c r="AK397" s="173"/>
      <c r="AL397" s="173"/>
    </row>
    <row r="398" spans="1:38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204"/>
        <v>0</v>
      </c>
      <c r="O398" s="66">
        <f t="shared" si="204"/>
        <v>600</v>
      </c>
      <c r="P398" s="69">
        <f t="shared" si="203"/>
        <v>0</v>
      </c>
      <c r="Q398" s="69">
        <f t="shared" si="203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66">
        <v>0</v>
      </c>
      <c r="AI398" s="66">
        <v>0</v>
      </c>
      <c r="AJ398" s="66">
        <v>0</v>
      </c>
      <c r="AK398" s="173"/>
      <c r="AL398" s="173"/>
    </row>
    <row r="399" spans="1:38" ht="23.5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204"/>
        <v>0</v>
      </c>
      <c r="O399" s="66">
        <f t="shared" si="204"/>
        <v>2000</v>
      </c>
      <c r="P399" s="69">
        <f t="shared" si="203"/>
        <v>0</v>
      </c>
      <c r="Q399" s="69">
        <f t="shared" si="203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3000</v>
      </c>
      <c r="AH399" s="66">
        <v>3000</v>
      </c>
      <c r="AI399" s="66">
        <v>3000</v>
      </c>
      <c r="AJ399" s="66">
        <v>3000</v>
      </c>
      <c r="AK399" s="241" t="s">
        <v>1014</v>
      </c>
      <c r="AL399" s="173"/>
    </row>
    <row r="400" spans="1:38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204"/>
        <v>17586.919999999998</v>
      </c>
      <c r="O400" s="66">
        <f t="shared" si="204"/>
        <v>14000</v>
      </c>
      <c r="P400" s="69">
        <f t="shared" si="203"/>
        <v>5862.3066666666664</v>
      </c>
      <c r="Q400" s="69">
        <f t="shared" si="203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G400" s="66">
        <v>5000</v>
      </c>
      <c r="AH400" s="66">
        <v>5000</v>
      </c>
      <c r="AI400" s="66">
        <v>5000</v>
      </c>
      <c r="AJ400" s="66">
        <v>5000</v>
      </c>
      <c r="AK400" s="173"/>
      <c r="AL400" s="173"/>
    </row>
    <row r="401" spans="1:38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204"/>
        <v>263874.56</v>
      </c>
      <c r="O401" s="66">
        <f t="shared" si="204"/>
        <v>238680</v>
      </c>
      <c r="P401" s="69">
        <f t="shared" si="203"/>
        <v>87958.186666666661</v>
      </c>
      <c r="Q401" s="69">
        <f t="shared" si="203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G401" s="66">
        <v>73120</v>
      </c>
      <c r="AH401" s="66">
        <v>73120</v>
      </c>
      <c r="AI401" s="66">
        <v>73120</v>
      </c>
      <c r="AJ401" s="66">
        <v>73120</v>
      </c>
      <c r="AK401" s="173"/>
      <c r="AL401" s="173"/>
    </row>
    <row r="402" spans="1:38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204"/>
        <v>40633.14</v>
      </c>
      <c r="O402" s="66">
        <f t="shared" si="204"/>
        <v>30000</v>
      </c>
      <c r="P402" s="69">
        <f t="shared" si="203"/>
        <v>13544.38</v>
      </c>
      <c r="Q402" s="69">
        <f t="shared" si="203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G402" s="66">
        <f>ROUND(-82882.1+10000-1000, 0)</f>
        <v>-73882</v>
      </c>
      <c r="AH402" s="66">
        <f>ROUND(-82882.1+10000-1000, 0)</f>
        <v>-73882</v>
      </c>
      <c r="AI402" s="66">
        <f>ROUND(-82882.1+10000-1000, 0)</f>
        <v>-73882</v>
      </c>
      <c r="AJ402" s="66">
        <f>ROUND(-82882.1+10000-1000, 0)</f>
        <v>-73882</v>
      </c>
      <c r="AK402" s="173"/>
      <c r="AL402" s="224" t="s">
        <v>1017</v>
      </c>
    </row>
    <row r="403" spans="1:38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G403" s="66">
        <v>7000</v>
      </c>
      <c r="AH403" s="66">
        <v>7000</v>
      </c>
      <c r="AI403" s="66">
        <v>7000</v>
      </c>
      <c r="AJ403" s="66">
        <v>7000</v>
      </c>
      <c r="AK403" s="173"/>
      <c r="AL403" s="173"/>
    </row>
    <row r="404" spans="1:38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203"/>
        <v>6954.9000000000005</v>
      </c>
      <c r="Q404" s="74">
        <f t="shared" si="203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66">
        <v>0</v>
      </c>
      <c r="AI404" s="66">
        <v>0</v>
      </c>
      <c r="AJ404" s="66">
        <v>0</v>
      </c>
      <c r="AK404" s="173"/>
      <c r="AL404" s="173"/>
    </row>
    <row r="405" spans="1:38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205">ROUND(SUM(H403:H404),5)</f>
        <v>4300</v>
      </c>
      <c r="I405" s="63">
        <f t="shared" si="205"/>
        <v>5000</v>
      </c>
      <c r="J405" s="64">
        <f t="shared" si="205"/>
        <v>13564.7</v>
      </c>
      <c r="K405" s="64">
        <f t="shared" si="205"/>
        <v>5000</v>
      </c>
      <c r="L405" s="65">
        <f t="shared" si="205"/>
        <v>3000</v>
      </c>
      <c r="M405" s="65">
        <f t="shared" si="205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203"/>
        <v>6954.9000000000005</v>
      </c>
      <c r="Q405" s="69">
        <f t="shared" si="203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F405" s="66"/>
      <c r="AG405" s="66"/>
      <c r="AH405" s="66"/>
      <c r="AI405" s="66"/>
      <c r="AJ405" s="66"/>
      <c r="AK405" s="173"/>
      <c r="AL405" s="173"/>
    </row>
    <row r="406" spans="1:38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206">ROUND(H406+J406+L406,5)</f>
        <v>105788.02</v>
      </c>
      <c r="O406" s="66"/>
      <c r="P406" s="69">
        <f t="shared" si="203"/>
        <v>35262.673333333332</v>
      </c>
      <c r="Q406" s="69">
        <f t="shared" si="203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F406" s="66"/>
      <c r="AG406" s="66"/>
      <c r="AH406" s="66"/>
      <c r="AI406" s="66"/>
      <c r="AJ406" s="66"/>
      <c r="AK406" s="173"/>
      <c r="AL406" s="173"/>
    </row>
    <row r="407" spans="1:38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206"/>
        <v>27888.79</v>
      </c>
      <c r="O407" s="66">
        <f t="shared" si="206"/>
        <v>14500</v>
      </c>
      <c r="P407" s="69">
        <f t="shared" si="203"/>
        <v>9296.2633333333342</v>
      </c>
      <c r="Q407" s="69">
        <f t="shared" si="203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G407" s="66">
        <v>6000</v>
      </c>
      <c r="AH407" s="66">
        <v>6000</v>
      </c>
      <c r="AI407" s="66">
        <v>6000</v>
      </c>
      <c r="AJ407" s="66">
        <v>6000</v>
      </c>
      <c r="AK407" s="173"/>
      <c r="AL407" s="173"/>
    </row>
    <row r="408" spans="1:38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206"/>
        <v>1953.33</v>
      </c>
      <c r="O408" s="66">
        <f t="shared" si="206"/>
        <v>6000</v>
      </c>
      <c r="P408" s="69">
        <f t="shared" si="203"/>
        <v>651.11</v>
      </c>
      <c r="Q408" s="69">
        <f t="shared" si="203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G408" s="66">
        <v>2000</v>
      </c>
      <c r="AH408" s="66">
        <v>2000</v>
      </c>
      <c r="AI408" s="66">
        <v>2000</v>
      </c>
      <c r="AJ408" s="66">
        <v>2000</v>
      </c>
      <c r="AK408" s="173"/>
      <c r="AL408" s="173"/>
    </row>
    <row r="409" spans="1:38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206"/>
        <v>30325</v>
      </c>
      <c r="O409" s="66">
        <f t="shared" si="206"/>
        <v>48125</v>
      </c>
      <c r="P409" s="69">
        <f t="shared" si="203"/>
        <v>10108.333333333334</v>
      </c>
      <c r="Q409" s="69">
        <f t="shared" si="203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G409" s="66">
        <v>10125</v>
      </c>
      <c r="AH409" s="66">
        <v>10125</v>
      </c>
      <c r="AI409" s="66">
        <v>10125</v>
      </c>
      <c r="AJ409" s="66">
        <v>10125</v>
      </c>
      <c r="AK409" s="173"/>
      <c r="AL409" s="147"/>
    </row>
    <row r="410" spans="1:38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206"/>
        <v>27786.38</v>
      </c>
      <c r="O410" s="66">
        <f t="shared" si="206"/>
        <v>28000</v>
      </c>
      <c r="P410" s="69">
        <f t="shared" si="203"/>
        <v>9262.126666666667</v>
      </c>
      <c r="Q410" s="69">
        <f t="shared" si="203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G410" s="66">
        <v>10000</v>
      </c>
      <c r="AH410" s="66">
        <v>10000</v>
      </c>
      <c r="AI410" s="66">
        <v>10000</v>
      </c>
      <c r="AJ410" s="66">
        <v>10000</v>
      </c>
      <c r="AK410" s="173"/>
      <c r="AL410" s="173"/>
    </row>
    <row r="411" spans="1:38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206"/>
        <v>26434.84</v>
      </c>
      <c r="O411" s="66">
        <f t="shared" si="206"/>
        <v>22000</v>
      </c>
      <c r="P411" s="69">
        <f t="shared" si="203"/>
        <v>8811.6133333333328</v>
      </c>
      <c r="Q411" s="69">
        <f t="shared" si="203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G411" s="66">
        <v>8000</v>
      </c>
      <c r="AH411" s="66">
        <v>8000</v>
      </c>
      <c r="AI411" s="66">
        <v>8000</v>
      </c>
      <c r="AJ411" s="66">
        <v>8000</v>
      </c>
      <c r="AK411" s="173"/>
      <c r="AL411" s="173"/>
    </row>
    <row r="412" spans="1:38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206"/>
        <v>345.05</v>
      </c>
      <c r="O412" s="66">
        <f t="shared" si="206"/>
        <v>5000</v>
      </c>
      <c r="P412" s="69">
        <f t="shared" si="203"/>
        <v>115.01666666666667</v>
      </c>
      <c r="Q412" s="69">
        <f t="shared" si="203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G412" s="66">
        <v>2000</v>
      </c>
      <c r="AH412" s="66">
        <v>2000</v>
      </c>
      <c r="AI412" s="66">
        <v>2000</v>
      </c>
      <c r="AJ412" s="66">
        <v>2000</v>
      </c>
      <c r="AK412" s="173"/>
      <c r="AL412" s="173"/>
    </row>
    <row r="413" spans="1:38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206"/>
        <v>3188.14</v>
      </c>
      <c r="O413" s="66">
        <v>0</v>
      </c>
      <c r="P413" s="69">
        <f t="shared" si="203"/>
        <v>1062.7133333333334</v>
      </c>
      <c r="Q413" s="69">
        <f t="shared" si="203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66">
        <v>0</v>
      </c>
      <c r="AI413" s="66">
        <v>0</v>
      </c>
      <c r="AJ413" s="66">
        <v>0</v>
      </c>
      <c r="AK413" s="173"/>
      <c r="AL413" s="173"/>
    </row>
    <row r="414" spans="1:38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206"/>
        <v>15583.87</v>
      </c>
      <c r="O414" s="66">
        <f t="shared" si="206"/>
        <v>20000</v>
      </c>
      <c r="P414" s="69">
        <f t="shared" si="203"/>
        <v>5194.6233333333339</v>
      </c>
      <c r="Q414" s="69">
        <f t="shared" si="203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G414" s="66">
        <v>5000</v>
      </c>
      <c r="AH414" s="66">
        <v>5000</v>
      </c>
      <c r="AI414" s="66">
        <v>5000</v>
      </c>
      <c r="AJ414" s="66">
        <v>5000</v>
      </c>
      <c r="AK414" s="173"/>
      <c r="AL414" s="173"/>
    </row>
    <row r="415" spans="1:38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206"/>
        <v>4107.4799999999996</v>
      </c>
      <c r="O415" s="66">
        <f t="shared" si="206"/>
        <v>8000</v>
      </c>
      <c r="P415" s="69">
        <f t="shared" si="203"/>
        <v>1369.1599999999999</v>
      </c>
      <c r="Q415" s="69">
        <f t="shared" si="203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G415" s="66">
        <v>2000</v>
      </c>
      <c r="AH415" s="66">
        <v>2000</v>
      </c>
      <c r="AI415" s="66">
        <v>2000</v>
      </c>
      <c r="AJ415" s="66">
        <v>2000</v>
      </c>
      <c r="AK415" s="173"/>
      <c r="AL415" s="173"/>
    </row>
    <row r="416" spans="1:38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206"/>
        <v>10387.33</v>
      </c>
      <c r="O416" s="66">
        <f t="shared" si="206"/>
        <v>11000</v>
      </c>
      <c r="P416" s="69">
        <f t="shared" si="203"/>
        <v>3462.4433333333332</v>
      </c>
      <c r="Q416" s="69">
        <f t="shared" si="203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G416" s="66">
        <v>4000</v>
      </c>
      <c r="AH416" s="66">
        <v>4000</v>
      </c>
      <c r="AI416" s="66">
        <v>4000</v>
      </c>
      <c r="AJ416" s="66">
        <v>4000</v>
      </c>
      <c r="AK416" s="173"/>
      <c r="AL416" s="173"/>
    </row>
    <row r="417" spans="1:43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206"/>
        <v>123299.08</v>
      </c>
      <c r="O417" s="66">
        <f t="shared" si="206"/>
        <v>180000</v>
      </c>
      <c r="P417" s="69">
        <f t="shared" si="203"/>
        <v>41099.693333333336</v>
      </c>
      <c r="Q417" s="69">
        <f t="shared" si="203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G417" s="66">
        <v>60000</v>
      </c>
      <c r="AH417" s="66">
        <v>60000</v>
      </c>
      <c r="AI417" s="66">
        <v>60000</v>
      </c>
      <c r="AJ417" s="66">
        <v>60000</v>
      </c>
      <c r="AK417" s="173"/>
      <c r="AL417" s="173"/>
    </row>
    <row r="418" spans="1:43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206"/>
        <v>53539.32</v>
      </c>
      <c r="O418" s="66">
        <f t="shared" si="206"/>
        <v>120000</v>
      </c>
      <c r="P418" s="69">
        <f t="shared" si="203"/>
        <v>17846.439999999999</v>
      </c>
      <c r="Q418" s="69">
        <f t="shared" si="203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G418" s="66">
        <v>35000</v>
      </c>
      <c r="AH418" s="66">
        <v>35000</v>
      </c>
      <c r="AI418" s="66">
        <v>35000</v>
      </c>
      <c r="AJ418" s="66">
        <v>35000</v>
      </c>
      <c r="AK418" s="173"/>
      <c r="AL418" s="173"/>
    </row>
    <row r="419" spans="1:43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206"/>
        <v>81778</v>
      </c>
      <c r="O419" s="66">
        <f t="shared" si="206"/>
        <v>99652</v>
      </c>
      <c r="P419" s="69">
        <f t="shared" si="203"/>
        <v>27259.333333333332</v>
      </c>
      <c r="Q419" s="69">
        <f t="shared" si="203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G419" s="66">
        <v>35520</v>
      </c>
      <c r="AH419" s="66">
        <v>35520</v>
      </c>
      <c r="AI419" s="66">
        <v>35520</v>
      </c>
      <c r="AJ419" s="66">
        <v>35520</v>
      </c>
      <c r="AK419" s="173"/>
      <c r="AL419" s="173"/>
    </row>
    <row r="420" spans="1:43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206"/>
        <v>148630.20000000001</v>
      </c>
      <c r="O420" s="66">
        <f t="shared" si="206"/>
        <v>100000</v>
      </c>
      <c r="P420" s="69">
        <f t="shared" si="203"/>
        <v>49543.4</v>
      </c>
      <c r="Q420" s="69">
        <f t="shared" si="203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G420" s="66">
        <v>40000</v>
      </c>
      <c r="AH420" s="66">
        <v>40000</v>
      </c>
      <c r="AI420" s="66">
        <v>40000</v>
      </c>
      <c r="AJ420" s="66">
        <v>40000</v>
      </c>
      <c r="AK420" s="173"/>
      <c r="AL420" s="173"/>
    </row>
    <row r="421" spans="1:43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206"/>
        <v>1435.5</v>
      </c>
      <c r="O421" s="66">
        <f t="shared" si="206"/>
        <v>10500</v>
      </c>
      <c r="P421" s="69">
        <f t="shared" si="203"/>
        <v>478.5</v>
      </c>
      <c r="Q421" s="69">
        <f t="shared" si="203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0</v>
      </c>
      <c r="AI421" s="66">
        <v>0</v>
      </c>
      <c r="AJ421" s="66">
        <v>0</v>
      </c>
      <c r="AK421" s="173"/>
      <c r="AL421" s="173"/>
    </row>
    <row r="422" spans="1:43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206"/>
        <v>32871.629999999997</v>
      </c>
      <c r="O422" s="66">
        <f t="shared" si="206"/>
        <v>58400</v>
      </c>
      <c r="P422" s="69">
        <f t="shared" si="203"/>
        <v>10957.21</v>
      </c>
      <c r="Q422" s="69">
        <f t="shared" si="203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G422" s="66">
        <v>21000</v>
      </c>
      <c r="AH422" s="66">
        <v>21000</v>
      </c>
      <c r="AI422" s="66">
        <v>21000</v>
      </c>
      <c r="AJ422" s="66">
        <v>21000</v>
      </c>
      <c r="AK422" s="173"/>
    </row>
    <row r="423" spans="1:43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207">ROUND(SUM(H378:H402)+SUM(H405:H422),5)</f>
        <v>971394.67</v>
      </c>
      <c r="I423" s="75">
        <f t="shared" si="207"/>
        <v>759280</v>
      </c>
      <c r="J423" s="76">
        <f t="shared" si="207"/>
        <v>1081537.1200000001</v>
      </c>
      <c r="K423" s="76">
        <f t="shared" si="207"/>
        <v>896198</v>
      </c>
      <c r="L423" s="77">
        <f t="shared" si="207"/>
        <v>923156.36</v>
      </c>
      <c r="M423" s="77">
        <f t="shared" si="207"/>
        <v>887696</v>
      </c>
      <c r="N423" s="78">
        <f t="shared" si="206"/>
        <v>2976088.15</v>
      </c>
      <c r="O423" s="78">
        <f t="shared" si="206"/>
        <v>2543174</v>
      </c>
      <c r="P423" s="79">
        <f t="shared" si="203"/>
        <v>992029.3833333333</v>
      </c>
      <c r="Q423" s="79">
        <f t="shared" si="203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 t="shared" ref="AB423:AI423" si="208">ROUND(SUM(AB378:AB422),5)</f>
        <v>904046</v>
      </c>
      <c r="AC423" s="80">
        <f t="shared" si="208"/>
        <v>904046</v>
      </c>
      <c r="AD423" s="80">
        <f t="shared" si="208"/>
        <v>904046</v>
      </c>
      <c r="AE423" s="80">
        <f t="shared" si="208"/>
        <v>904046</v>
      </c>
      <c r="AF423" s="80">
        <f t="shared" si="208"/>
        <v>862453.9</v>
      </c>
      <c r="AG423" s="80">
        <f t="shared" si="208"/>
        <v>870204</v>
      </c>
      <c r="AH423" s="80">
        <f t="shared" si="208"/>
        <v>870204</v>
      </c>
      <c r="AI423" s="80">
        <f t="shared" si="208"/>
        <v>870204</v>
      </c>
      <c r="AJ423" s="80">
        <f t="shared" ref="AJ423" si="209">ROUND(SUM(AJ378:AJ422),5)</f>
        <v>870204</v>
      </c>
      <c r="AK423" s="173"/>
      <c r="AL423" s="213" t="s">
        <v>952</v>
      </c>
    </row>
    <row r="424" spans="1:43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F424" s="66"/>
      <c r="AG424" s="66"/>
      <c r="AH424" s="66"/>
      <c r="AI424" s="66"/>
      <c r="AJ424" s="66"/>
      <c r="AK424" s="173"/>
      <c r="AL424" s="222">
        <f>AG215-AG423</f>
        <v>5796</v>
      </c>
    </row>
    <row r="425" spans="1:43" ht="16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203"/>
        <v>3054.66</v>
      </c>
      <c r="Q425" s="69">
        <f t="shared" si="203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18750</v>
      </c>
      <c r="AH425" s="66">
        <v>18750</v>
      </c>
      <c r="AI425" s="66">
        <v>18750</v>
      </c>
      <c r="AJ425" s="66">
        <v>18750</v>
      </c>
      <c r="AK425" s="206" t="s">
        <v>1000</v>
      </c>
      <c r="AL425" s="213" t="s">
        <v>974</v>
      </c>
    </row>
    <row r="426" spans="1:43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203"/>
        <v>1456.0866666666668</v>
      </c>
      <c r="Q426" s="69">
        <f t="shared" si="203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  <c r="AH426" s="66">
        <v>0</v>
      </c>
      <c r="AI426" s="66">
        <v>0</v>
      </c>
      <c r="AJ426" s="66">
        <v>0</v>
      </c>
    </row>
    <row r="427" spans="1:43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203"/>
        <v>4510.7466666666669</v>
      </c>
      <c r="Q427" s="87">
        <f t="shared" si="203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 t="shared" ref="AB427:AI427" si="210">ROUND(SUM(AB424:AB426),5)</f>
        <v>0</v>
      </c>
      <c r="AC427" s="88">
        <f t="shared" si="210"/>
        <v>0</v>
      </c>
      <c r="AD427" s="88">
        <f t="shared" si="210"/>
        <v>0</v>
      </c>
      <c r="AE427" s="88">
        <f t="shared" si="210"/>
        <v>0</v>
      </c>
      <c r="AF427" s="88">
        <f t="shared" si="210"/>
        <v>0</v>
      </c>
      <c r="AG427" s="88">
        <f t="shared" si="210"/>
        <v>18750</v>
      </c>
      <c r="AH427" s="88">
        <f t="shared" si="210"/>
        <v>18750</v>
      </c>
      <c r="AI427" s="88">
        <f t="shared" si="210"/>
        <v>18750</v>
      </c>
      <c r="AJ427" s="88">
        <f t="shared" ref="AJ427" si="211">ROUND(SUM(AJ424:AJ426),5)</f>
        <v>18750</v>
      </c>
    </row>
    <row r="428" spans="1:43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212">ROUND(H377+H423+H427,5)</f>
        <v>971394.67</v>
      </c>
      <c r="I428" s="63">
        <f t="shared" si="212"/>
        <v>759280</v>
      </c>
      <c r="J428" s="64">
        <f t="shared" si="212"/>
        <v>1094481.01</v>
      </c>
      <c r="K428" s="64">
        <f t="shared" si="212"/>
        <v>896198</v>
      </c>
      <c r="L428" s="65">
        <f t="shared" si="212"/>
        <v>923744.71</v>
      </c>
      <c r="M428" s="65">
        <f t="shared" si="212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203"/>
        <v>996540.13</v>
      </c>
      <c r="Q428" s="69">
        <f t="shared" si="203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 t="shared" ref="AB428:AI428" si="213">ROUND(AB377+AB423+AB427,5)</f>
        <v>904046</v>
      </c>
      <c r="AC428" s="66">
        <f t="shared" si="213"/>
        <v>904046</v>
      </c>
      <c r="AD428" s="66">
        <f t="shared" si="213"/>
        <v>904046</v>
      </c>
      <c r="AE428" s="66">
        <f t="shared" si="213"/>
        <v>904046</v>
      </c>
      <c r="AF428" s="66">
        <f t="shared" si="213"/>
        <v>862453.9</v>
      </c>
      <c r="AG428" s="66">
        <f t="shared" si="213"/>
        <v>888954</v>
      </c>
      <c r="AH428" s="66">
        <f t="shared" si="213"/>
        <v>888954</v>
      </c>
      <c r="AI428" s="66">
        <f t="shared" si="213"/>
        <v>888954</v>
      </c>
      <c r="AJ428" s="66">
        <f t="shared" ref="AJ428" si="214">ROUND(AJ377+AJ423+AJ427,5)</f>
        <v>888954</v>
      </c>
    </row>
    <row r="429" spans="1:43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203"/>
        <v>0</v>
      </c>
      <c r="Q429" s="69">
        <f t="shared" si="203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  <c r="AF429" s="66"/>
      <c r="AG429" s="66"/>
      <c r="AH429" s="66"/>
      <c r="AI429" s="66"/>
      <c r="AJ429" s="66"/>
    </row>
    <row r="430" spans="1:43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203"/>
        <v>0</v>
      </c>
      <c r="Q430" s="69">
        <f t="shared" si="203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F430" s="66"/>
      <c r="AG430" s="66"/>
      <c r="AH430" s="66"/>
      <c r="AI430" s="66"/>
      <c r="AJ430" s="66"/>
      <c r="AL430" s="182"/>
    </row>
    <row r="431" spans="1:43" ht="16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215">ROUND(H431+J431+L431,5)</f>
        <v>22454.45</v>
      </c>
      <c r="O431" s="66">
        <f t="shared" si="215"/>
        <v>22500</v>
      </c>
      <c r="P431" s="69">
        <f t="shared" si="203"/>
        <v>7484.8166666666666</v>
      </c>
      <c r="Q431" s="69">
        <f t="shared" si="203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v>8862.5</v>
      </c>
      <c r="AD431" s="66">
        <v>8862.5</v>
      </c>
      <c r="AE431" s="66">
        <v>9000</v>
      </c>
      <c r="AF431" s="66">
        <v>9000</v>
      </c>
      <c r="AG431" s="66">
        <v>9000</v>
      </c>
      <c r="AH431" s="66">
        <v>9000</v>
      </c>
      <c r="AI431" s="66">
        <v>9000</v>
      </c>
      <c r="AJ431" s="66">
        <v>9000</v>
      </c>
      <c r="AK431" s="196" t="s">
        <v>954</v>
      </c>
      <c r="AL431" s="190"/>
      <c r="AM431" s="81"/>
      <c r="AP431" s="131"/>
      <c r="AQ431" s="111"/>
    </row>
    <row r="432" spans="1:43" ht="16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215"/>
        <v>13414.87</v>
      </c>
      <c r="O432" s="66">
        <f t="shared" si="215"/>
        <v>22500</v>
      </c>
      <c r="P432" s="69">
        <f t="shared" si="203"/>
        <v>4471.6233333333339</v>
      </c>
      <c r="Q432" s="69">
        <f t="shared" si="203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v>6987.5</v>
      </c>
      <c r="AD432" s="66">
        <v>6987.5</v>
      </c>
      <c r="AE432" s="66">
        <v>9000</v>
      </c>
      <c r="AF432" s="66">
        <v>9000</v>
      </c>
      <c r="AG432" s="66">
        <v>9000</v>
      </c>
      <c r="AH432" s="66">
        <v>9000</v>
      </c>
      <c r="AI432" s="66">
        <v>9000</v>
      </c>
      <c r="AJ432" s="66">
        <v>9000</v>
      </c>
      <c r="AK432" s="196" t="s">
        <v>954</v>
      </c>
      <c r="AL432" s="190"/>
      <c r="AM432" s="81"/>
      <c r="AP432" s="131"/>
      <c r="AQ432" s="111"/>
    </row>
    <row r="433" spans="1:43" ht="16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215"/>
        <v>14590.26</v>
      </c>
      <c r="O433" s="66">
        <f t="shared" si="215"/>
        <v>22500</v>
      </c>
      <c r="P433" s="69">
        <f t="shared" si="203"/>
        <v>4863.42</v>
      </c>
      <c r="Q433" s="69">
        <f t="shared" si="203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v>6675</v>
      </c>
      <c r="AD433" s="66">
        <v>6675</v>
      </c>
      <c r="AE433" s="66">
        <v>9000</v>
      </c>
      <c r="AF433" s="66">
        <v>9000</v>
      </c>
      <c r="AG433" s="66">
        <v>9000</v>
      </c>
      <c r="AH433" s="66">
        <v>9000</v>
      </c>
      <c r="AI433" s="66">
        <v>9000</v>
      </c>
      <c r="AJ433" s="66">
        <v>9000</v>
      </c>
      <c r="AK433" s="196" t="s">
        <v>954</v>
      </c>
      <c r="AL433" s="190"/>
      <c r="AM433" s="81"/>
      <c r="AP433" s="131"/>
      <c r="AQ433" s="111"/>
    </row>
    <row r="434" spans="1:43" ht="16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215"/>
        <v>11509.98</v>
      </c>
      <c r="O434" s="66">
        <f t="shared" si="215"/>
        <v>22500</v>
      </c>
      <c r="P434" s="69">
        <f t="shared" si="203"/>
        <v>3836.66</v>
      </c>
      <c r="Q434" s="69">
        <f t="shared" si="203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v>6987.5</v>
      </c>
      <c r="AD434" s="66">
        <v>6987.5</v>
      </c>
      <c r="AE434" s="66">
        <v>9000</v>
      </c>
      <c r="AF434" s="66">
        <v>9000</v>
      </c>
      <c r="AG434" s="66">
        <v>9000</v>
      </c>
      <c r="AH434" s="66">
        <v>9000</v>
      </c>
      <c r="AI434" s="66">
        <v>9000</v>
      </c>
      <c r="AJ434" s="66">
        <v>9000</v>
      </c>
      <c r="AK434" s="196" t="s">
        <v>954</v>
      </c>
      <c r="AL434" s="190"/>
      <c r="AM434" s="81"/>
      <c r="AP434" s="131"/>
      <c r="AQ434" s="111"/>
    </row>
    <row r="435" spans="1:43" ht="16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215"/>
        <v>19031.37</v>
      </c>
      <c r="O435" s="66">
        <f t="shared" si="215"/>
        <v>22500</v>
      </c>
      <c r="P435" s="69">
        <f t="shared" si="203"/>
        <v>6343.79</v>
      </c>
      <c r="Q435" s="69">
        <f t="shared" si="203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v>7300</v>
      </c>
      <c r="AD435" s="66">
        <v>7300</v>
      </c>
      <c r="AE435" s="66">
        <v>9000</v>
      </c>
      <c r="AF435" s="66">
        <v>9000</v>
      </c>
      <c r="AG435" s="66">
        <v>9000</v>
      </c>
      <c r="AH435" s="66">
        <v>9000</v>
      </c>
      <c r="AI435" s="66">
        <v>9000</v>
      </c>
      <c r="AJ435" s="66">
        <v>9000</v>
      </c>
      <c r="AK435" s="196" t="s">
        <v>954</v>
      </c>
      <c r="AL435" s="190"/>
      <c r="AM435" s="81"/>
      <c r="AP435" s="131"/>
      <c r="AQ435" s="111"/>
    </row>
    <row r="436" spans="1:43" ht="16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215"/>
        <v>19829.439999999999</v>
      </c>
      <c r="O436" s="66">
        <f t="shared" si="215"/>
        <v>22500</v>
      </c>
      <c r="P436" s="69">
        <f t="shared" si="203"/>
        <v>6609.8133333333326</v>
      </c>
      <c r="Q436" s="69">
        <f t="shared" si="203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v>6987.5</v>
      </c>
      <c r="AD436" s="66">
        <v>6987.5</v>
      </c>
      <c r="AE436" s="66">
        <v>9000</v>
      </c>
      <c r="AF436" s="66">
        <v>9000</v>
      </c>
      <c r="AG436" s="66">
        <v>9000</v>
      </c>
      <c r="AH436" s="66">
        <v>9000</v>
      </c>
      <c r="AI436" s="66">
        <v>9000</v>
      </c>
      <c r="AJ436" s="66">
        <v>9000</v>
      </c>
      <c r="AK436" s="196" t="s">
        <v>954</v>
      </c>
      <c r="AL436" s="190"/>
      <c r="AM436" s="81"/>
      <c r="AP436" s="131"/>
      <c r="AQ436" s="111"/>
    </row>
    <row r="437" spans="1:43" ht="16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215"/>
        <v>6373.1</v>
      </c>
      <c r="O437" s="66">
        <f t="shared" si="215"/>
        <v>22500</v>
      </c>
      <c r="P437" s="69">
        <f t="shared" si="203"/>
        <v>2124.3666666666668</v>
      </c>
      <c r="Q437" s="69">
        <f t="shared" si="203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v>6675</v>
      </c>
      <c r="AD437" s="66">
        <v>6675</v>
      </c>
      <c r="AE437" s="66">
        <v>9000</v>
      </c>
      <c r="AF437" s="66">
        <v>9000</v>
      </c>
      <c r="AG437" s="66">
        <v>9000</v>
      </c>
      <c r="AH437" s="66">
        <v>9000</v>
      </c>
      <c r="AI437" s="66">
        <v>9000</v>
      </c>
      <c r="AJ437" s="66">
        <v>9000</v>
      </c>
      <c r="AK437" s="196" t="s">
        <v>954</v>
      </c>
      <c r="AL437" s="190"/>
      <c r="AM437" s="81"/>
      <c r="AP437" s="131"/>
      <c r="AQ437" s="111"/>
    </row>
    <row r="438" spans="1:43" ht="16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215"/>
        <v>18080.3</v>
      </c>
      <c r="O438" s="66">
        <f t="shared" si="215"/>
        <v>22500</v>
      </c>
      <c r="P438" s="69">
        <f t="shared" si="203"/>
        <v>6026.7666666666664</v>
      </c>
      <c r="Q438" s="69">
        <f t="shared" si="203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v>5737.5</v>
      </c>
      <c r="AD438" s="66">
        <v>5737.5</v>
      </c>
      <c r="AE438" s="66">
        <v>9000</v>
      </c>
      <c r="AF438" s="66">
        <v>9000</v>
      </c>
      <c r="AG438" s="66">
        <v>9000</v>
      </c>
      <c r="AH438" s="66">
        <v>9000</v>
      </c>
      <c r="AI438" s="66">
        <v>9000</v>
      </c>
      <c r="AJ438" s="66">
        <v>9000</v>
      </c>
      <c r="AK438" s="196" t="s">
        <v>954</v>
      </c>
      <c r="AL438" s="190"/>
      <c r="AM438" s="81"/>
      <c r="AP438" s="131"/>
      <c r="AQ438" s="111"/>
    </row>
    <row r="439" spans="1:43" ht="16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215"/>
        <v>7603.5</v>
      </c>
      <c r="O439" s="66">
        <f t="shared" si="215"/>
        <v>22500</v>
      </c>
      <c r="P439" s="69">
        <f t="shared" si="203"/>
        <v>2534.5</v>
      </c>
      <c r="Q439" s="69">
        <f t="shared" si="203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v>5737.5</v>
      </c>
      <c r="AD439" s="66">
        <v>5737.5</v>
      </c>
      <c r="AE439" s="66">
        <v>9000</v>
      </c>
      <c r="AF439" s="66">
        <v>9000</v>
      </c>
      <c r="AG439" s="66">
        <v>9000</v>
      </c>
      <c r="AH439" s="66">
        <v>9000</v>
      </c>
      <c r="AI439" s="66">
        <v>9000</v>
      </c>
      <c r="AJ439" s="66">
        <v>9000</v>
      </c>
      <c r="AK439" s="196" t="s">
        <v>954</v>
      </c>
      <c r="AL439" s="190"/>
      <c r="AM439" s="81"/>
      <c r="AP439" s="131"/>
      <c r="AQ439" s="111"/>
    </row>
    <row r="440" spans="1:43" ht="16.5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215"/>
        <v>10711.38</v>
      </c>
      <c r="O440" s="73">
        <f t="shared" si="215"/>
        <v>22500</v>
      </c>
      <c r="P440" s="74">
        <f t="shared" si="203"/>
        <v>3570.4599999999996</v>
      </c>
      <c r="Q440" s="74">
        <f t="shared" si="203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v>6050</v>
      </c>
      <c r="AD440" s="66">
        <v>6050</v>
      </c>
      <c r="AE440" s="66">
        <v>9000</v>
      </c>
      <c r="AF440" s="66">
        <v>9000</v>
      </c>
      <c r="AG440" s="66">
        <v>9000</v>
      </c>
      <c r="AH440" s="66">
        <v>9000</v>
      </c>
      <c r="AI440" s="66">
        <v>9000</v>
      </c>
      <c r="AJ440" s="66">
        <v>9000</v>
      </c>
      <c r="AK440" s="196" t="s">
        <v>954</v>
      </c>
      <c r="AL440" s="190"/>
      <c r="AM440" s="81"/>
      <c r="AP440" s="131"/>
      <c r="AQ440" s="111"/>
    </row>
    <row r="441" spans="1:43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216">ROUND(SUM(H430:H440),5)</f>
        <v>39609.57</v>
      </c>
      <c r="I441" s="63">
        <f t="shared" si="216"/>
        <v>75000</v>
      </c>
      <c r="J441" s="64">
        <f t="shared" si="216"/>
        <v>50436.92</v>
      </c>
      <c r="K441" s="64">
        <f t="shared" si="216"/>
        <v>75000</v>
      </c>
      <c r="L441" s="65">
        <f t="shared" si="216"/>
        <v>53552.160000000003</v>
      </c>
      <c r="M441" s="65">
        <f t="shared" si="216"/>
        <v>75000</v>
      </c>
      <c r="N441" s="66">
        <f t="shared" si="215"/>
        <v>143598.65</v>
      </c>
      <c r="O441" s="66">
        <f t="shared" si="215"/>
        <v>225000</v>
      </c>
      <c r="P441" s="69">
        <f t="shared" si="203"/>
        <v>47866.216666666667</v>
      </c>
      <c r="Q441" s="69">
        <f t="shared" si="203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 t="shared" ref="AB441:AI441" si="217">ROUND(SUM(AB430:AB440),5)</f>
        <v>90000</v>
      </c>
      <c r="AC441" s="80">
        <f t="shared" si="217"/>
        <v>68000</v>
      </c>
      <c r="AD441" s="80">
        <f t="shared" si="217"/>
        <v>88000</v>
      </c>
      <c r="AE441" s="80">
        <f t="shared" si="217"/>
        <v>90000</v>
      </c>
      <c r="AF441" s="80">
        <f t="shared" si="217"/>
        <v>90000</v>
      </c>
      <c r="AG441" s="80">
        <f t="shared" si="217"/>
        <v>90000</v>
      </c>
      <c r="AH441" s="80">
        <f t="shared" si="217"/>
        <v>90000</v>
      </c>
      <c r="AI441" s="80">
        <f t="shared" si="217"/>
        <v>90000</v>
      </c>
      <c r="AJ441" s="80">
        <f t="shared" ref="AJ441" si="218">ROUND(SUM(AJ430:AJ440),5)</f>
        <v>90000</v>
      </c>
      <c r="AK441" s="190"/>
      <c r="AL441" s="190"/>
      <c r="AM441" s="81"/>
      <c r="AQ441" s="111"/>
    </row>
    <row r="442" spans="1:43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F442" s="66"/>
      <c r="AG442" s="66"/>
      <c r="AH442" s="66"/>
      <c r="AI442" s="66"/>
      <c r="AJ442" s="66"/>
      <c r="AM442" s="81"/>
    </row>
    <row r="443" spans="1:43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F443" s="66"/>
      <c r="AG443" s="66"/>
      <c r="AH443" s="66"/>
      <c r="AI443" s="66"/>
      <c r="AJ443" s="66"/>
      <c r="AM443" s="81"/>
    </row>
    <row r="444" spans="1:43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219">ROUND(H444+J444+L444,5)</f>
        <v>3082.32</v>
      </c>
      <c r="O444" s="66">
        <f t="shared" si="219"/>
        <v>6500</v>
      </c>
      <c r="P444" s="69">
        <f t="shared" si="203"/>
        <v>1027.44</v>
      </c>
      <c r="Q444" s="69">
        <f t="shared" si="203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v>5550</v>
      </c>
      <c r="AG444" s="66">
        <v>5550</v>
      </c>
      <c r="AH444" s="66">
        <v>5550</v>
      </c>
      <c r="AI444" s="66">
        <f>Travel!$T$139</f>
        <v>3700</v>
      </c>
      <c r="AJ444" s="66">
        <f>Travel!$T$139</f>
        <v>3700</v>
      </c>
      <c r="AM444"/>
      <c r="AO444"/>
      <c r="AP444"/>
      <c r="AQ444"/>
    </row>
    <row r="445" spans="1:43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219"/>
        <v>4346.18</v>
      </c>
      <c r="O445" s="66">
        <f t="shared" si="219"/>
        <v>6500</v>
      </c>
      <c r="P445" s="69">
        <f t="shared" si="203"/>
        <v>1448.7266666666667</v>
      </c>
      <c r="Q445" s="69">
        <f t="shared" si="203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v>5550</v>
      </c>
      <c r="AG445" s="66">
        <v>5550</v>
      </c>
      <c r="AH445" s="66">
        <v>5550</v>
      </c>
      <c r="AI445" s="66">
        <f>Travel!$T$141</f>
        <v>3700</v>
      </c>
      <c r="AJ445" s="66">
        <f>Travel!$T$141</f>
        <v>3700</v>
      </c>
      <c r="AM445"/>
      <c r="AO445"/>
      <c r="AP445"/>
      <c r="AQ445"/>
    </row>
    <row r="446" spans="1:43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219"/>
        <v>1181.1600000000001</v>
      </c>
      <c r="O446" s="66">
        <f t="shared" si="219"/>
        <v>6500</v>
      </c>
      <c r="P446" s="69">
        <f t="shared" si="203"/>
        <v>393.72</v>
      </c>
      <c r="Q446" s="69">
        <f t="shared" si="203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v>5550</v>
      </c>
      <c r="AG446" s="66">
        <v>5550</v>
      </c>
      <c r="AH446" s="66">
        <v>5550</v>
      </c>
      <c r="AI446" s="66">
        <f>Travel!$T$145</f>
        <v>3700</v>
      </c>
      <c r="AJ446" s="66">
        <f>Travel!$T$145</f>
        <v>3700</v>
      </c>
      <c r="AL446" s="191"/>
      <c r="AM446"/>
      <c r="AO446"/>
      <c r="AP446"/>
      <c r="AQ446"/>
    </row>
    <row r="447" spans="1:43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219"/>
        <v>1117.28</v>
      </c>
      <c r="O447" s="66">
        <f t="shared" si="219"/>
        <v>3500</v>
      </c>
      <c r="P447" s="69">
        <f t="shared" si="203"/>
        <v>372.42666666666668</v>
      </c>
      <c r="Q447" s="69">
        <f t="shared" si="203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v>5550</v>
      </c>
      <c r="AG447" s="66">
        <v>5550</v>
      </c>
      <c r="AH447" s="66">
        <v>5550</v>
      </c>
      <c r="AI447" s="66">
        <f>Travel!$T$149</f>
        <v>3700</v>
      </c>
      <c r="AJ447" s="66">
        <f>Travel!$T$149</f>
        <v>3700</v>
      </c>
      <c r="AL447" s="191"/>
      <c r="AM447"/>
      <c r="AO447"/>
      <c r="AP447"/>
      <c r="AQ447"/>
    </row>
    <row r="448" spans="1:43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219"/>
        <v>5060.6499999999996</v>
      </c>
      <c r="O448" s="66">
        <f t="shared" si="219"/>
        <v>6500</v>
      </c>
      <c r="P448" s="69">
        <f t="shared" si="203"/>
        <v>1686.8833333333332</v>
      </c>
      <c r="Q448" s="69">
        <f t="shared" si="203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v>5550</v>
      </c>
      <c r="AG448" s="66">
        <v>5550</v>
      </c>
      <c r="AH448" s="66">
        <v>5550</v>
      </c>
      <c r="AI448" s="66">
        <f>Travel!$T$151</f>
        <v>3700</v>
      </c>
      <c r="AJ448" s="66">
        <f>Travel!$T$151</f>
        <v>3700</v>
      </c>
      <c r="AL448" s="191"/>
      <c r="AM448"/>
      <c r="AO448"/>
      <c r="AP448"/>
      <c r="AQ448"/>
    </row>
    <row r="449" spans="1:43" ht="16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219"/>
        <v>2560.85</v>
      </c>
      <c r="O449" s="66">
        <f t="shared" si="219"/>
        <v>3500</v>
      </c>
      <c r="P449" s="69">
        <f t="shared" si="203"/>
        <v>853.61666666666667</v>
      </c>
      <c r="Q449" s="69">
        <f t="shared" si="203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6">
        <f>Travel!$T$153</f>
        <v>3700</v>
      </c>
      <c r="AC449" s="66">
        <f>Travel!$T$153</f>
        <v>3700</v>
      </c>
      <c r="AD449" s="66">
        <f>Travel!$T$153</f>
        <v>3700</v>
      </c>
      <c r="AE449" s="66">
        <f>Travel!$T$153</f>
        <v>3700</v>
      </c>
      <c r="AF449" s="66">
        <v>5550</v>
      </c>
      <c r="AG449" s="66">
        <v>5550</v>
      </c>
      <c r="AH449" s="66">
        <v>5550</v>
      </c>
      <c r="AI449" s="66">
        <f>Travel!$T$153</f>
        <v>3700</v>
      </c>
      <c r="AJ449" s="66">
        <f>Travel!$T$153</f>
        <v>3700</v>
      </c>
      <c r="AL449" s="191"/>
      <c r="AM449"/>
      <c r="AO449"/>
      <c r="AP449"/>
      <c r="AQ449"/>
    </row>
    <row r="450" spans="1:43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219"/>
        <v>4712.95</v>
      </c>
      <c r="O450" s="66">
        <f t="shared" si="219"/>
        <v>6500</v>
      </c>
      <c r="P450" s="69">
        <f t="shared" si="203"/>
        <v>1570.9833333333333</v>
      </c>
      <c r="Q450" s="69">
        <f t="shared" si="203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v>5550</v>
      </c>
      <c r="AG450" s="66">
        <v>5550</v>
      </c>
      <c r="AH450" s="66">
        <v>5550</v>
      </c>
      <c r="AI450" s="66">
        <f>Travel!$T$155</f>
        <v>3700</v>
      </c>
      <c r="AJ450" s="66">
        <f>Travel!$T$155</f>
        <v>3700</v>
      </c>
      <c r="AL450" s="191"/>
      <c r="AM450"/>
      <c r="AO450"/>
      <c r="AP450"/>
      <c r="AQ450"/>
    </row>
    <row r="451" spans="1:43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219"/>
        <v>10623.42</v>
      </c>
      <c r="O451" s="66">
        <f t="shared" si="219"/>
        <v>6500</v>
      </c>
      <c r="P451" s="69">
        <f t="shared" ref="P451:Q509" si="220">N451/3</f>
        <v>3541.14</v>
      </c>
      <c r="Q451" s="69">
        <f t="shared" si="220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6">
        <f>Travel!$T$157</f>
        <v>3700</v>
      </c>
      <c r="AC451" s="66">
        <f>Travel!$T$157</f>
        <v>3700</v>
      </c>
      <c r="AD451" s="66">
        <f>Travel!$T$157</f>
        <v>3700</v>
      </c>
      <c r="AE451" s="66">
        <f>Travel!$T$157</f>
        <v>3700</v>
      </c>
      <c r="AF451" s="66">
        <v>5550</v>
      </c>
      <c r="AG451" s="66">
        <v>5550</v>
      </c>
      <c r="AH451" s="66">
        <v>5550</v>
      </c>
      <c r="AI451" s="66">
        <f>Travel!$T$157</f>
        <v>3700</v>
      </c>
      <c r="AJ451" s="66">
        <f>Travel!$T$157</f>
        <v>3700</v>
      </c>
      <c r="AL451" s="218" t="s">
        <v>863</v>
      </c>
      <c r="AM451"/>
      <c r="AO451"/>
      <c r="AP451"/>
      <c r="AQ451"/>
    </row>
    <row r="452" spans="1:43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219"/>
        <v>4606.37</v>
      </c>
      <c r="O452" s="66">
        <f t="shared" si="219"/>
        <v>6500</v>
      </c>
      <c r="P452" s="69">
        <f t="shared" si="220"/>
        <v>1535.4566666666667</v>
      </c>
      <c r="Q452" s="69">
        <f t="shared" si="220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v>5550</v>
      </c>
      <c r="AG452" s="66">
        <v>5550</v>
      </c>
      <c r="AH452" s="66">
        <v>5550</v>
      </c>
      <c r="AI452" s="66">
        <f>Travel!$T$159</f>
        <v>3700</v>
      </c>
      <c r="AJ452" s="66">
        <f>Travel!$T$159</f>
        <v>3700</v>
      </c>
      <c r="AL452" s="191"/>
      <c r="AM452"/>
      <c r="AO452"/>
      <c r="AP452"/>
      <c r="AQ452"/>
    </row>
    <row r="453" spans="1:43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219"/>
        <v>0</v>
      </c>
      <c r="O453" s="66">
        <f t="shared" si="219"/>
        <v>79500</v>
      </c>
      <c r="P453" s="69">
        <f t="shared" si="220"/>
        <v>0</v>
      </c>
      <c r="Q453" s="69">
        <f t="shared" si="220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6">
        <f>Travel!$R$160</f>
        <v>10000</v>
      </c>
      <c r="AC453" s="66">
        <v>10000</v>
      </c>
      <c r="AD453" s="66">
        <v>10000</v>
      </c>
      <c r="AE453" s="66">
        <v>15000</v>
      </c>
      <c r="AF453" s="66">
        <v>17500</v>
      </c>
      <c r="AG453" s="66">
        <v>10000</v>
      </c>
      <c r="AH453" s="66">
        <v>10000</v>
      </c>
      <c r="AI453" s="66">
        <f>Travel!$P$160</f>
        <v>10000</v>
      </c>
      <c r="AJ453" s="66">
        <f>Travel!$P$160</f>
        <v>10000</v>
      </c>
      <c r="AK453" s="173"/>
      <c r="AL453" s="218" t="s">
        <v>1011</v>
      </c>
      <c r="AM453"/>
      <c r="AO453"/>
      <c r="AP453"/>
      <c r="AQ453"/>
    </row>
    <row r="454" spans="1:43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221">ROUND(SUM(H443:H453),5)</f>
        <v>8532.3799999999992</v>
      </c>
      <c r="I454" s="75">
        <f t="shared" si="221"/>
        <v>49500</v>
      </c>
      <c r="J454" s="76">
        <f t="shared" si="221"/>
        <v>10517.83</v>
      </c>
      <c r="K454" s="76">
        <f t="shared" si="221"/>
        <v>31000</v>
      </c>
      <c r="L454" s="77">
        <f t="shared" si="221"/>
        <v>18240.97</v>
      </c>
      <c r="M454" s="77">
        <f t="shared" si="221"/>
        <v>51500</v>
      </c>
      <c r="N454" s="78">
        <f t="shared" si="219"/>
        <v>37291.18</v>
      </c>
      <c r="O454" s="78">
        <f t="shared" si="219"/>
        <v>132000</v>
      </c>
      <c r="P454" s="79">
        <f t="shared" si="220"/>
        <v>12430.393333333333</v>
      </c>
      <c r="Q454" s="79">
        <f t="shared" si="220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 t="shared" ref="AB454:AI454" si="222">ROUND(SUM(AB443:AB453),5)</f>
        <v>43300</v>
      </c>
      <c r="AC454" s="88">
        <f t="shared" si="222"/>
        <v>43300</v>
      </c>
      <c r="AD454" s="88">
        <f t="shared" si="222"/>
        <v>43300</v>
      </c>
      <c r="AE454" s="88">
        <f t="shared" si="222"/>
        <v>48300</v>
      </c>
      <c r="AF454" s="88">
        <f t="shared" si="222"/>
        <v>67450</v>
      </c>
      <c r="AG454" s="88">
        <f t="shared" si="222"/>
        <v>59950</v>
      </c>
      <c r="AH454" s="88">
        <f t="shared" si="222"/>
        <v>59950</v>
      </c>
      <c r="AI454" s="88">
        <f t="shared" si="222"/>
        <v>43300</v>
      </c>
      <c r="AJ454" s="88">
        <f t="shared" ref="AJ454" si="223">ROUND(SUM(AJ443:AJ453),5)</f>
        <v>43300</v>
      </c>
      <c r="AL454" s="191"/>
      <c r="AM454"/>
      <c r="AO454"/>
      <c r="AP454"/>
      <c r="AQ454"/>
    </row>
    <row r="455" spans="1:43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224">ROUND(H442+SUM(H454:H454),5)</f>
        <v>8532.3799999999992</v>
      </c>
      <c r="I455" s="75">
        <f t="shared" si="224"/>
        <v>49500</v>
      </c>
      <c r="J455" s="76">
        <f t="shared" si="224"/>
        <v>10517.83</v>
      </c>
      <c r="K455" s="76">
        <f t="shared" si="224"/>
        <v>31000</v>
      </c>
      <c r="L455" s="77">
        <f t="shared" si="224"/>
        <v>18240.97</v>
      </c>
      <c r="M455" s="77">
        <f t="shared" si="224"/>
        <v>51500</v>
      </c>
      <c r="N455" s="78">
        <f t="shared" si="219"/>
        <v>37291.18</v>
      </c>
      <c r="O455" s="78">
        <f t="shared" si="219"/>
        <v>132000</v>
      </c>
      <c r="P455" s="79">
        <f t="shared" si="220"/>
        <v>12430.393333333333</v>
      </c>
      <c r="Q455" s="79">
        <f t="shared" si="220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 t="shared" ref="AB455:AI455" si="225">ROUND(AB442+SUM(AB454:AB454),5)</f>
        <v>43300</v>
      </c>
      <c r="AC455" s="78">
        <f t="shared" si="225"/>
        <v>43300</v>
      </c>
      <c r="AD455" s="78">
        <f t="shared" si="225"/>
        <v>43300</v>
      </c>
      <c r="AE455" s="78">
        <f t="shared" si="225"/>
        <v>48300</v>
      </c>
      <c r="AF455" s="78">
        <f t="shared" si="225"/>
        <v>67450</v>
      </c>
      <c r="AG455" s="78">
        <f t="shared" si="225"/>
        <v>59950</v>
      </c>
      <c r="AH455" s="78">
        <f t="shared" si="225"/>
        <v>59950</v>
      </c>
      <c r="AI455" s="78">
        <f t="shared" si="225"/>
        <v>43300</v>
      </c>
      <c r="AJ455" s="78">
        <f t="shared" ref="AJ455" si="226">ROUND(AJ442+SUM(AJ454:AJ454),5)</f>
        <v>43300</v>
      </c>
      <c r="AL455" s="191"/>
      <c r="AM455"/>
      <c r="AO455"/>
      <c r="AP455"/>
      <c r="AQ455"/>
    </row>
    <row r="456" spans="1:43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F456" s="66"/>
      <c r="AG456" s="66"/>
      <c r="AH456" s="66"/>
      <c r="AI456" s="66"/>
      <c r="AJ456" s="66"/>
      <c r="AL456" s="191"/>
      <c r="AM456"/>
      <c r="AO456"/>
      <c r="AP456"/>
      <c r="AQ456"/>
    </row>
    <row r="457" spans="1:43" ht="32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227">ROUND(H457+J457+L457,5)</f>
        <v>9342.6299999999992</v>
      </c>
      <c r="O457" s="66">
        <f t="shared" si="227"/>
        <v>11500</v>
      </c>
      <c r="P457" s="69">
        <f t="shared" si="220"/>
        <v>3114.2099999999996</v>
      </c>
      <c r="Q457" s="69">
        <f t="shared" si="220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6">
        <f>Travel!$T$170</f>
        <v>9250</v>
      </c>
      <c r="AC457" s="66">
        <v>5000</v>
      </c>
      <c r="AD457" s="66">
        <v>5000</v>
      </c>
      <c r="AE457" s="66">
        <v>6700</v>
      </c>
      <c r="AF457" s="66">
        <f>Travel!$T$170</f>
        <v>9250</v>
      </c>
      <c r="AG457" s="66">
        <f>Travel!$T$170+1850</f>
        <v>11100</v>
      </c>
      <c r="AH457" s="66">
        <v>11100</v>
      </c>
      <c r="AI457" s="66">
        <f>Travel!$T$170</f>
        <v>9250</v>
      </c>
      <c r="AJ457" s="66">
        <f>Travel!$T$170</f>
        <v>9250</v>
      </c>
      <c r="AL457" s="218" t="s">
        <v>852</v>
      </c>
      <c r="AM457"/>
      <c r="AO457"/>
      <c r="AP457"/>
      <c r="AQ457"/>
    </row>
    <row r="458" spans="1:43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227"/>
        <v>17829.34</v>
      </c>
      <c r="O458" s="66">
        <f t="shared" si="227"/>
        <v>38500</v>
      </c>
      <c r="P458" s="69">
        <f t="shared" si="220"/>
        <v>5943.1133333333337</v>
      </c>
      <c r="Q458" s="69">
        <f t="shared" si="220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G458" s="66">
        <v>16350</v>
      </c>
      <c r="AH458" s="66">
        <v>16350</v>
      </c>
      <c r="AI458" s="66">
        <f>Travel!$T$172</f>
        <v>14500</v>
      </c>
      <c r="AJ458" s="66">
        <f>Travel!$T$172</f>
        <v>14500</v>
      </c>
      <c r="AL458" s="231" t="s">
        <v>1009</v>
      </c>
      <c r="AM458"/>
      <c r="AO458"/>
      <c r="AP458"/>
      <c r="AQ458"/>
    </row>
    <row r="459" spans="1:43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227"/>
        <v>27125.43</v>
      </c>
      <c r="O459" s="66">
        <f t="shared" si="227"/>
        <v>30000</v>
      </c>
      <c r="P459" s="69">
        <f t="shared" si="220"/>
        <v>9041.81</v>
      </c>
      <c r="Q459" s="69">
        <f t="shared" si="220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f>Travel!$T$180</f>
        <v>12000</v>
      </c>
      <c r="AG459" s="66">
        <f>Travel!$T$180</f>
        <v>12000</v>
      </c>
      <c r="AH459" s="66">
        <v>12000</v>
      </c>
      <c r="AI459" s="66">
        <f>Travel!$T$180</f>
        <v>12000</v>
      </c>
      <c r="AJ459" s="66">
        <f>Travel!$T$180</f>
        <v>12000</v>
      </c>
      <c r="AL459" s="192"/>
      <c r="AM459"/>
      <c r="AO459"/>
      <c r="AP459"/>
      <c r="AQ459"/>
    </row>
    <row r="460" spans="1:43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227"/>
        <v>82292.61</v>
      </c>
      <c r="O460" s="66">
        <f t="shared" si="227"/>
        <v>96550</v>
      </c>
      <c r="P460" s="69">
        <f t="shared" si="220"/>
        <v>27430.87</v>
      </c>
      <c r="Q460" s="69">
        <f t="shared" si="220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f>Travel!$T$200</f>
        <v>46550</v>
      </c>
      <c r="AG460" s="66">
        <f>Travel!$T$200</f>
        <v>46550</v>
      </c>
      <c r="AH460" s="66">
        <v>46550</v>
      </c>
      <c r="AI460" s="66">
        <f>Travel!$T$200</f>
        <v>46550</v>
      </c>
      <c r="AJ460" s="66">
        <f>Travel!$T$200</f>
        <v>46550</v>
      </c>
      <c r="AL460" s="191"/>
      <c r="AM460"/>
      <c r="AO460"/>
      <c r="AP460"/>
      <c r="AQ460"/>
    </row>
    <row r="461" spans="1:43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227"/>
        <v>77589.72</v>
      </c>
      <c r="O461" s="66">
        <f t="shared" si="227"/>
        <v>107235</v>
      </c>
      <c r="P461" s="69">
        <f t="shared" si="220"/>
        <v>25863.24</v>
      </c>
      <c r="Q461" s="69">
        <f t="shared" si="220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f>Travel!$T$224</f>
        <v>30000</v>
      </c>
      <c r="AG461" s="66">
        <f>Travel!$T$224</f>
        <v>30000</v>
      </c>
      <c r="AH461" s="66">
        <v>30000</v>
      </c>
      <c r="AI461" s="66">
        <f>Travel!$T$224</f>
        <v>30000</v>
      </c>
      <c r="AJ461" s="66">
        <f>Travel!$T$224</f>
        <v>30000</v>
      </c>
      <c r="AL461" s="191"/>
      <c r="AM461"/>
      <c r="AO461"/>
      <c r="AP461"/>
      <c r="AQ461"/>
    </row>
    <row r="462" spans="1:43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227"/>
        <v>8410.5499999999993</v>
      </c>
      <c r="O462" s="66">
        <f t="shared" si="227"/>
        <v>9500</v>
      </c>
      <c r="P462" s="69">
        <f t="shared" si="220"/>
        <v>2803.5166666666664</v>
      </c>
      <c r="Q462" s="69">
        <f t="shared" si="220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G462" s="66">
        <f>Travel!$T$226+1850</f>
        <v>5550</v>
      </c>
      <c r="AH462" s="66">
        <v>5550</v>
      </c>
      <c r="AI462" s="66">
        <f>Travel!$T$226</f>
        <v>3700</v>
      </c>
      <c r="AJ462" s="66">
        <f>Travel!$T$226</f>
        <v>3700</v>
      </c>
      <c r="AL462" s="191"/>
      <c r="AM462"/>
      <c r="AO462"/>
      <c r="AP462"/>
      <c r="AQ462"/>
    </row>
    <row r="463" spans="1:43" ht="16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227"/>
        <v>1939.64</v>
      </c>
      <c r="O463" s="66">
        <f t="shared" si="227"/>
        <v>16500</v>
      </c>
      <c r="P463" s="69">
        <f t="shared" si="220"/>
        <v>646.54666666666674</v>
      </c>
      <c r="Q463" s="69">
        <f t="shared" si="220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6">
        <v>9000</v>
      </c>
      <c r="AC463" s="66">
        <v>5000</v>
      </c>
      <c r="AD463" s="66">
        <v>5000</v>
      </c>
      <c r="AE463" s="66">
        <v>5000</v>
      </c>
      <c r="AF463" s="66">
        <v>5000</v>
      </c>
      <c r="AG463" s="66">
        <v>10850</v>
      </c>
      <c r="AH463" s="66">
        <v>10850</v>
      </c>
      <c r="AI463" s="66">
        <f>Travel!$T$164</f>
        <v>7150</v>
      </c>
      <c r="AJ463" s="66">
        <f>Travel!$T$164</f>
        <v>7150</v>
      </c>
      <c r="AL463" s="191"/>
      <c r="AM463"/>
      <c r="AO463"/>
      <c r="AP463"/>
      <c r="AQ463"/>
    </row>
    <row r="464" spans="1:43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228">ROUND(SUM(H456:H463),5)</f>
        <v>68157.66</v>
      </c>
      <c r="I464" s="75">
        <f t="shared" si="228"/>
        <v>97000</v>
      </c>
      <c r="J464" s="76">
        <f t="shared" si="228"/>
        <v>75651.53</v>
      </c>
      <c r="K464" s="76">
        <f t="shared" si="228"/>
        <v>88000</v>
      </c>
      <c r="L464" s="77">
        <f t="shared" si="228"/>
        <v>80720.73</v>
      </c>
      <c r="M464" s="77">
        <f t="shared" si="228"/>
        <v>124785</v>
      </c>
      <c r="N464" s="78">
        <f t="shared" si="227"/>
        <v>224529.92000000001</v>
      </c>
      <c r="O464" s="78">
        <f t="shared" si="227"/>
        <v>309785</v>
      </c>
      <c r="P464" s="79">
        <f t="shared" si="220"/>
        <v>74843.306666666671</v>
      </c>
      <c r="Q464" s="79">
        <f t="shared" si="220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 t="shared" ref="AB464:AG464" si="229">ROUND(SUM(AB456:AB463),5)</f>
        <v>125000</v>
      </c>
      <c r="AC464" s="91">
        <f t="shared" si="229"/>
        <v>105700</v>
      </c>
      <c r="AD464" s="91">
        <f t="shared" si="229"/>
        <v>105700</v>
      </c>
      <c r="AE464" s="91">
        <f t="shared" si="229"/>
        <v>114900</v>
      </c>
      <c r="AF464" s="91">
        <f t="shared" si="229"/>
        <v>121000</v>
      </c>
      <c r="AG464" s="91">
        <f t="shared" si="229"/>
        <v>132400</v>
      </c>
      <c r="AH464" s="91">
        <v>132400</v>
      </c>
      <c r="AI464" s="91">
        <f t="shared" ref="AI464:AJ464" si="230">ROUND(SUM(AI456:AI463),5)</f>
        <v>123150</v>
      </c>
      <c r="AJ464" s="91">
        <f t="shared" si="230"/>
        <v>123150</v>
      </c>
      <c r="AL464" s="191"/>
      <c r="AM464"/>
      <c r="AO464"/>
      <c r="AP464"/>
      <c r="AQ464"/>
    </row>
    <row r="465" spans="1:43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220"/>
        <v>0</v>
      </c>
      <c r="Q465" s="69">
        <f t="shared" si="220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F465" s="66"/>
      <c r="AG465" s="66"/>
      <c r="AH465" s="66"/>
      <c r="AI465" s="66"/>
      <c r="AJ465" s="66"/>
      <c r="AL465" s="191"/>
      <c r="AM465"/>
      <c r="AO465"/>
      <c r="AP465"/>
      <c r="AQ465"/>
    </row>
    <row r="466" spans="1:43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231">ROUND(H466+J466+L466,5)</f>
        <v>0</v>
      </c>
      <c r="O466" s="66">
        <f t="shared" si="231"/>
        <v>4350</v>
      </c>
      <c r="P466" s="69">
        <f t="shared" si="220"/>
        <v>0</v>
      </c>
      <c r="Q466" s="69">
        <f t="shared" si="220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6">
        <f>Travel!$T$228</f>
        <v>1300</v>
      </c>
      <c r="AC466" s="66">
        <f>Travel!$T$228</f>
        <v>1300</v>
      </c>
      <c r="AD466" s="66">
        <f>Travel!$T$228</f>
        <v>1300</v>
      </c>
      <c r="AE466" s="66">
        <f>Travel!$T$228</f>
        <v>1300</v>
      </c>
      <c r="AF466" s="66">
        <f>Travel!$T$228</f>
        <v>1300</v>
      </c>
      <c r="AG466" s="66">
        <f>Travel!$T$228</f>
        <v>1300</v>
      </c>
      <c r="AH466" s="66">
        <f>Travel!$T$228</f>
        <v>1300</v>
      </c>
      <c r="AI466" s="66">
        <f>Travel!$T$228</f>
        <v>1300</v>
      </c>
      <c r="AJ466" s="66">
        <f>Travel!$T$228</f>
        <v>1300</v>
      </c>
      <c r="AL466" s="191"/>
      <c r="AM466"/>
      <c r="AO466"/>
      <c r="AP466"/>
      <c r="AQ466"/>
    </row>
    <row r="467" spans="1:43" ht="23.5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231"/>
        <v>6468.36</v>
      </c>
      <c r="O467" s="66">
        <f t="shared" si="231"/>
        <v>27000</v>
      </c>
      <c r="P467" s="69">
        <f t="shared" si="220"/>
        <v>2156.12</v>
      </c>
      <c r="Q467" s="69">
        <f t="shared" si="220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6">
        <f>Travel!$T$233</f>
        <v>18000</v>
      </c>
      <c r="AC467" s="66">
        <v>5000</v>
      </c>
      <c r="AD467" s="66">
        <v>5000</v>
      </c>
      <c r="AE467" s="66">
        <v>5000</v>
      </c>
      <c r="AF467" s="66">
        <f>Travel!$T$233</f>
        <v>18000</v>
      </c>
      <c r="AG467" s="66">
        <f>Travel!$T$233</f>
        <v>18000</v>
      </c>
      <c r="AH467" s="66">
        <f>Travel!$T$233</f>
        <v>18000</v>
      </c>
      <c r="AI467" s="66">
        <f>Travel!$T$233</f>
        <v>18000</v>
      </c>
      <c r="AJ467" s="66">
        <f>Travel!$T$233-6000</f>
        <v>12000</v>
      </c>
      <c r="AK467" s="242" t="s">
        <v>1015</v>
      </c>
      <c r="AL467" s="219" t="s">
        <v>964</v>
      </c>
      <c r="AM467"/>
      <c r="AN467" s="111">
        <v>6000</v>
      </c>
      <c r="AO467"/>
      <c r="AP467"/>
      <c r="AQ467"/>
    </row>
    <row r="468" spans="1:43" ht="16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231"/>
        <v>1454.32</v>
      </c>
      <c r="O468" s="73">
        <f t="shared" si="231"/>
        <v>7100</v>
      </c>
      <c r="P468" s="74">
        <f t="shared" si="220"/>
        <v>484.77333333333331</v>
      </c>
      <c r="Q468" s="74">
        <f t="shared" si="220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6">
        <f>Travel!$T$237</f>
        <v>0</v>
      </c>
      <c r="AC468" s="66">
        <f>Travel!$T$237</f>
        <v>0</v>
      </c>
      <c r="AD468" s="66">
        <f>Travel!$T$237</f>
        <v>0</v>
      </c>
      <c r="AE468" s="66">
        <v>2600</v>
      </c>
      <c r="AF468" s="66">
        <v>2600</v>
      </c>
      <c r="AG468" s="66">
        <f>Travel!$T$237</f>
        <v>0</v>
      </c>
      <c r="AH468" s="66">
        <f>Travel!$T$237</f>
        <v>0</v>
      </c>
      <c r="AI468" s="66">
        <f>Travel!$T$237</f>
        <v>0</v>
      </c>
      <c r="AJ468" s="66">
        <f>Travel!$T$237</f>
        <v>0</v>
      </c>
      <c r="AL468"/>
      <c r="AM468"/>
      <c r="AO468"/>
      <c r="AP468"/>
      <c r="AQ468"/>
    </row>
    <row r="469" spans="1:43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232">ROUND(SUM(H465:H468),5)</f>
        <v>2517.89</v>
      </c>
      <c r="I469" s="63">
        <f t="shared" si="232"/>
        <v>15000</v>
      </c>
      <c r="J469" s="64">
        <f t="shared" si="232"/>
        <v>3142.66</v>
      </c>
      <c r="K469" s="64">
        <f t="shared" si="232"/>
        <v>12550</v>
      </c>
      <c r="L469" s="65">
        <f t="shared" si="232"/>
        <v>2262.13</v>
      </c>
      <c r="M469" s="65">
        <f t="shared" si="232"/>
        <v>10900</v>
      </c>
      <c r="N469" s="66">
        <f t="shared" si="231"/>
        <v>7922.68</v>
      </c>
      <c r="O469" s="66">
        <f t="shared" si="231"/>
        <v>38450</v>
      </c>
      <c r="P469" s="69">
        <f t="shared" si="220"/>
        <v>2640.8933333333334</v>
      </c>
      <c r="Q469" s="69">
        <f t="shared" si="220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 t="shared" ref="AB469:AI469" si="233">ROUND(SUM(AB465:AB468),5)</f>
        <v>19300</v>
      </c>
      <c r="AC469" s="91">
        <f t="shared" si="233"/>
        <v>6300</v>
      </c>
      <c r="AD469" s="91">
        <f t="shared" si="233"/>
        <v>6300</v>
      </c>
      <c r="AE469" s="91">
        <f t="shared" si="233"/>
        <v>8900</v>
      </c>
      <c r="AF469" s="91">
        <f t="shared" si="233"/>
        <v>21900</v>
      </c>
      <c r="AG469" s="91">
        <f t="shared" si="233"/>
        <v>19300</v>
      </c>
      <c r="AH469" s="91">
        <f t="shared" si="233"/>
        <v>19300</v>
      </c>
      <c r="AI469" s="91">
        <f t="shared" si="233"/>
        <v>19300</v>
      </c>
      <c r="AJ469" s="91">
        <f t="shared" ref="AJ469" si="234">ROUND(SUM(AJ465:AJ468),5)</f>
        <v>13300</v>
      </c>
      <c r="AL469" s="191"/>
      <c r="AM469"/>
      <c r="AO469"/>
      <c r="AP469"/>
      <c r="AQ469"/>
    </row>
    <row r="470" spans="1:43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F470" s="66"/>
      <c r="AG470" s="66"/>
      <c r="AH470" s="66"/>
      <c r="AI470" s="66"/>
      <c r="AJ470" s="66"/>
      <c r="AL470" s="191"/>
      <c r="AM470"/>
      <c r="AO470"/>
      <c r="AP470"/>
      <c r="AQ470"/>
    </row>
    <row r="471" spans="1:43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235">ROUND(H471+J471+L471,5)</f>
        <v>40121.949999999997</v>
      </c>
      <c r="O471" s="66">
        <f t="shared" si="235"/>
        <v>50000</v>
      </c>
      <c r="P471" s="69">
        <f t="shared" si="220"/>
        <v>13373.983333333332</v>
      </c>
      <c r="Q471" s="69">
        <f t="shared" si="220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6">
        <f>Travel!$T$248</f>
        <v>18000</v>
      </c>
      <c r="AC471" s="66">
        <v>20000</v>
      </c>
      <c r="AD471" s="66">
        <v>20000</v>
      </c>
      <c r="AE471" s="66">
        <v>20000</v>
      </c>
      <c r="AF471" s="66">
        <f>Travel!$T$248</f>
        <v>18000</v>
      </c>
      <c r="AG471" s="66">
        <f>Travel!$T$248</f>
        <v>18000</v>
      </c>
      <c r="AH471" s="66">
        <f>Travel!$T$248</f>
        <v>18000</v>
      </c>
      <c r="AI471" s="66">
        <f>Travel!$T$248</f>
        <v>18000</v>
      </c>
      <c r="AJ471" s="66">
        <f>Travel!$T$248</f>
        <v>18000</v>
      </c>
      <c r="AL471" s="191"/>
      <c r="AM471"/>
      <c r="AO471"/>
      <c r="AP471"/>
      <c r="AQ471"/>
    </row>
    <row r="472" spans="1:43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235"/>
        <v>298044.73</v>
      </c>
      <c r="O472" s="66">
        <f t="shared" si="235"/>
        <v>298300</v>
      </c>
      <c r="P472" s="69">
        <f t="shared" si="220"/>
        <v>99348.243333333332</v>
      </c>
      <c r="Q472" s="69">
        <f t="shared" si="220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6">
        <f>Travel!$T$262</f>
        <v>92000</v>
      </c>
      <c r="AC472" s="66">
        <v>85000</v>
      </c>
      <c r="AD472" s="66">
        <v>85000</v>
      </c>
      <c r="AE472" s="66">
        <v>85000</v>
      </c>
      <c r="AF472" s="66">
        <f>Travel!$T$262</f>
        <v>92000</v>
      </c>
      <c r="AG472" s="66">
        <f>Travel!$T$262</f>
        <v>92000</v>
      </c>
      <c r="AH472" s="66">
        <f>Travel!$T$262</f>
        <v>92000</v>
      </c>
      <c r="AI472" s="66">
        <f>Travel!$T$262</f>
        <v>92000</v>
      </c>
      <c r="AJ472" s="66">
        <f>Travel!$T$262</f>
        <v>92000</v>
      </c>
      <c r="AL472" s="191"/>
      <c r="AM472"/>
      <c r="AO472"/>
      <c r="AP472"/>
      <c r="AQ472"/>
    </row>
    <row r="473" spans="1:43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235"/>
        <v>91427.03</v>
      </c>
      <c r="O473" s="66">
        <f t="shared" si="235"/>
        <v>71500</v>
      </c>
      <c r="P473" s="69">
        <f t="shared" si="220"/>
        <v>30475.676666666666</v>
      </c>
      <c r="Q473" s="69">
        <f t="shared" si="220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6">
        <f>Travel!$T$289</f>
        <v>29500</v>
      </c>
      <c r="AC473" s="66">
        <v>27000</v>
      </c>
      <c r="AD473" s="66">
        <v>27000</v>
      </c>
      <c r="AE473" s="66">
        <v>30000</v>
      </c>
      <c r="AF473" s="66">
        <f>Travel!$T$289</f>
        <v>29500</v>
      </c>
      <c r="AG473" s="66">
        <f>Travel!$T$289</f>
        <v>29500</v>
      </c>
      <c r="AH473" s="66">
        <f>Travel!$T$289</f>
        <v>29500</v>
      </c>
      <c r="AI473" s="66">
        <f>Travel!$T$289</f>
        <v>29500</v>
      </c>
      <c r="AJ473" s="66">
        <f>Travel!$T$289</f>
        <v>29500</v>
      </c>
      <c r="AL473" s="191"/>
      <c r="AM473"/>
      <c r="AO473"/>
      <c r="AP473"/>
      <c r="AQ473"/>
    </row>
    <row r="474" spans="1:43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235"/>
        <v>3636.89</v>
      </c>
      <c r="O474" s="66">
        <f t="shared" si="235"/>
        <v>16000</v>
      </c>
      <c r="P474" s="69">
        <f t="shared" si="220"/>
        <v>1212.2966666666666</v>
      </c>
      <c r="Q474" s="69">
        <f t="shared" si="220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6">
        <f>Travel!$T$290</f>
        <v>3000</v>
      </c>
      <c r="AC474" s="66">
        <f>Travel!$T$290</f>
        <v>3000</v>
      </c>
      <c r="AD474" s="66">
        <f>Travel!$T$290</f>
        <v>3000</v>
      </c>
      <c r="AE474" s="66">
        <f>Travel!$T$290</f>
        <v>3000</v>
      </c>
      <c r="AF474" s="66">
        <f>Travel!$T$290</f>
        <v>3000</v>
      </c>
      <c r="AG474" s="66">
        <f>Travel!$T$290</f>
        <v>3000</v>
      </c>
      <c r="AH474" s="66">
        <f>Travel!$T$290</f>
        <v>3000</v>
      </c>
      <c r="AI474" s="66">
        <f>Travel!$T$290</f>
        <v>3000</v>
      </c>
      <c r="AJ474" s="66">
        <f>Travel!$T$290</f>
        <v>3000</v>
      </c>
      <c r="AL474" s="191"/>
      <c r="AM474"/>
      <c r="AO474"/>
      <c r="AP474"/>
      <c r="AQ474"/>
    </row>
    <row r="475" spans="1:43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235"/>
        <v>1704.48</v>
      </c>
      <c r="O475" s="66">
        <f t="shared" si="235"/>
        <v>13000</v>
      </c>
      <c r="P475" s="69">
        <f t="shared" si="220"/>
        <v>568.16</v>
      </c>
      <c r="Q475" s="69">
        <f t="shared" si="220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6">
        <f>Travel!$T$291</f>
        <v>9000</v>
      </c>
      <c r="AC475" s="66">
        <f>Travel!$T$291</f>
        <v>9000</v>
      </c>
      <c r="AD475" s="66">
        <f>Travel!$T$291</f>
        <v>9000</v>
      </c>
      <c r="AE475" s="66">
        <f>Travel!$T$291</f>
        <v>9000</v>
      </c>
      <c r="AF475" s="66">
        <v>3000</v>
      </c>
      <c r="AG475" s="66">
        <f>Travel!$T$291</f>
        <v>9000</v>
      </c>
      <c r="AH475" s="66">
        <f>Travel!$T$291</f>
        <v>9000</v>
      </c>
      <c r="AI475" s="66">
        <f>Travel!$T$291</f>
        <v>9000</v>
      </c>
      <c r="AJ475" s="66">
        <f>Travel!$T$291</f>
        <v>9000</v>
      </c>
      <c r="AL475" s="191"/>
      <c r="AM475"/>
      <c r="AO475"/>
      <c r="AP475"/>
      <c r="AQ475"/>
    </row>
    <row r="476" spans="1:43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235"/>
        <v>323010.53999999998</v>
      </c>
      <c r="O476" s="66">
        <f t="shared" si="235"/>
        <v>333639</v>
      </c>
      <c r="P476" s="69">
        <f t="shared" si="220"/>
        <v>107670.18</v>
      </c>
      <c r="Q476" s="69">
        <f t="shared" si="220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6">
        <f>Travel!$AE$34</f>
        <v>138650</v>
      </c>
      <c r="AC476" s="66">
        <v>110000</v>
      </c>
      <c r="AD476" s="66">
        <v>110000</v>
      </c>
      <c r="AE476" s="66">
        <v>110000</v>
      </c>
      <c r="AF476" s="66">
        <f>Travel!$AE$34</f>
        <v>138650</v>
      </c>
      <c r="AG476" s="66">
        <f>Travel!$AE$34</f>
        <v>138650</v>
      </c>
      <c r="AH476" s="66">
        <f>Travel!$AE$34</f>
        <v>138650</v>
      </c>
      <c r="AI476" s="66">
        <f>Travel!$AE$34</f>
        <v>138650</v>
      </c>
      <c r="AJ476" s="66">
        <f>Travel!$AE$34</f>
        <v>138650</v>
      </c>
      <c r="AK476" s="206" t="s">
        <v>1000</v>
      </c>
      <c r="AL476" s="191"/>
      <c r="AM476"/>
      <c r="AO476"/>
      <c r="AP476"/>
      <c r="AQ476"/>
    </row>
    <row r="477" spans="1:43" ht="29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235"/>
        <v>38757.58</v>
      </c>
      <c r="O477" s="66">
        <f t="shared" si="235"/>
        <v>20000</v>
      </c>
      <c r="P477" s="69">
        <f t="shared" si="220"/>
        <v>12919.193333333335</v>
      </c>
      <c r="Q477" s="69">
        <f t="shared" si="220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6">
        <f>Travel!$T$292</f>
        <v>17500</v>
      </c>
      <c r="AC477" s="66">
        <f>Travel!$T$292</f>
        <v>17500</v>
      </c>
      <c r="AD477" s="66">
        <f>Travel!$T$292</f>
        <v>17500</v>
      </c>
      <c r="AE477" s="66">
        <f>Travel!$T$292</f>
        <v>17500</v>
      </c>
      <c r="AF477" s="66">
        <f>Travel!$T$292</f>
        <v>17500</v>
      </c>
      <c r="AG477" s="66">
        <f>Travel!$T$292</f>
        <v>17500</v>
      </c>
      <c r="AH477" s="66">
        <f>Travel!$T$292</f>
        <v>17500</v>
      </c>
      <c r="AI477" s="66">
        <f>Travel!$T$292</f>
        <v>17500</v>
      </c>
      <c r="AJ477" s="66">
        <f>Travel!$T$292</f>
        <v>17500</v>
      </c>
      <c r="AK477" s="206" t="s">
        <v>1000</v>
      </c>
      <c r="AL477" s="219" t="s">
        <v>978</v>
      </c>
      <c r="AM477"/>
      <c r="AN477" s="111">
        <v>7500</v>
      </c>
      <c r="AO477"/>
      <c r="AP477"/>
      <c r="AQ477"/>
    </row>
    <row r="478" spans="1:43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235"/>
        <v>9458.01</v>
      </c>
      <c r="O478" s="66">
        <f t="shared" si="235"/>
        <v>15000</v>
      </c>
      <c r="P478" s="69">
        <f t="shared" si="220"/>
        <v>3152.67</v>
      </c>
      <c r="Q478" s="69">
        <f t="shared" si="220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6">
        <f>Travel!$T$293</f>
        <v>5000</v>
      </c>
      <c r="AC478" s="66">
        <f>Travel!$T$293</f>
        <v>5000</v>
      </c>
      <c r="AD478" s="66">
        <f>Travel!$T$293</f>
        <v>5000</v>
      </c>
      <c r="AE478" s="66">
        <f>Travel!$T$293</f>
        <v>5000</v>
      </c>
      <c r="AF478" s="66">
        <f>Travel!$T$293</f>
        <v>5000</v>
      </c>
      <c r="AG478" s="66">
        <f>Travel!$T$293</f>
        <v>5000</v>
      </c>
      <c r="AH478" s="66">
        <f>Travel!$T$293</f>
        <v>5000</v>
      </c>
      <c r="AI478" s="66">
        <f>Travel!$T$293</f>
        <v>5000</v>
      </c>
      <c r="AJ478" s="66">
        <f>Travel!$T$293</f>
        <v>5000</v>
      </c>
      <c r="AL478" s="191"/>
      <c r="AM478"/>
      <c r="AO478"/>
      <c r="AP478"/>
      <c r="AQ478"/>
    </row>
    <row r="479" spans="1:43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236">ROUND(SUM(H470:H478),5)</f>
        <v>239537.82</v>
      </c>
      <c r="I479" s="75">
        <f t="shared" si="236"/>
        <v>266000</v>
      </c>
      <c r="J479" s="76">
        <f t="shared" si="236"/>
        <v>275471.45</v>
      </c>
      <c r="K479" s="76">
        <f t="shared" si="236"/>
        <v>278000</v>
      </c>
      <c r="L479" s="77">
        <f t="shared" si="236"/>
        <v>291151.94</v>
      </c>
      <c r="M479" s="77">
        <f t="shared" si="236"/>
        <v>273439</v>
      </c>
      <c r="N479" s="78">
        <f t="shared" si="235"/>
        <v>806161.21</v>
      </c>
      <c r="O479" s="78">
        <f t="shared" si="235"/>
        <v>817439</v>
      </c>
      <c r="P479" s="79">
        <f t="shared" si="220"/>
        <v>268720.40333333332</v>
      </c>
      <c r="Q479" s="79">
        <f t="shared" si="220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 t="shared" ref="AB479:AI479" si="237">ROUND(SUM(AB470:AB478),5)</f>
        <v>312650</v>
      </c>
      <c r="AC479" s="91">
        <f t="shared" si="237"/>
        <v>276500</v>
      </c>
      <c r="AD479" s="91">
        <f t="shared" si="237"/>
        <v>276500</v>
      </c>
      <c r="AE479" s="91">
        <f t="shared" si="237"/>
        <v>279500</v>
      </c>
      <c r="AF479" s="91">
        <f t="shared" si="237"/>
        <v>306650</v>
      </c>
      <c r="AG479" s="91">
        <f t="shared" si="237"/>
        <v>312650</v>
      </c>
      <c r="AH479" s="91">
        <f t="shared" si="237"/>
        <v>312650</v>
      </c>
      <c r="AI479" s="91">
        <f t="shared" si="237"/>
        <v>312650</v>
      </c>
      <c r="AJ479" s="91">
        <f t="shared" ref="AJ479" si="238">ROUND(SUM(AJ470:AJ478),5)</f>
        <v>312650</v>
      </c>
      <c r="AL479" s="191"/>
      <c r="AM479"/>
      <c r="AN479" s="111">
        <f>SUM(AN454:AN477)</f>
        <v>13500</v>
      </c>
      <c r="AO479"/>
      <c r="AP479"/>
      <c r="AQ479"/>
    </row>
    <row r="480" spans="1:43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F480" s="66"/>
      <c r="AG480" s="66"/>
      <c r="AH480" s="66"/>
      <c r="AI480" s="66"/>
      <c r="AJ480" s="66"/>
      <c r="AL480" s="191"/>
      <c r="AM480"/>
      <c r="AO480"/>
      <c r="AP480"/>
      <c r="AQ480"/>
    </row>
    <row r="481" spans="1:43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239">ROUND(H481+J481+L481,5)</f>
        <v>20687.05</v>
      </c>
      <c r="O481" s="66">
        <f t="shared" si="239"/>
        <v>17200</v>
      </c>
      <c r="P481" s="69">
        <f t="shared" si="220"/>
        <v>6895.6833333333334</v>
      </c>
      <c r="Q481" s="69">
        <f t="shared" si="220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6">
        <f>Travel!$T$300</f>
        <v>10500</v>
      </c>
      <c r="AC481" s="66">
        <f>Travel!$T$300</f>
        <v>10500</v>
      </c>
      <c r="AD481" s="66">
        <f>Travel!$T$300</f>
        <v>10500</v>
      </c>
      <c r="AE481" s="66">
        <f>Travel!$T$300</f>
        <v>10500</v>
      </c>
      <c r="AF481" s="66">
        <f>Travel!$T$300</f>
        <v>10500</v>
      </c>
      <c r="AG481" s="66">
        <f>Travel!$T$300</f>
        <v>10500</v>
      </c>
      <c r="AH481" s="66">
        <f>Travel!$T$300</f>
        <v>10500</v>
      </c>
      <c r="AI481" s="66">
        <f>Travel!$T$300</f>
        <v>10500</v>
      </c>
      <c r="AJ481" s="66">
        <f>Travel!$T$300</f>
        <v>10500</v>
      </c>
      <c r="AL481" s="191"/>
      <c r="AM481"/>
      <c r="AO481"/>
      <c r="AP481"/>
      <c r="AQ481"/>
    </row>
    <row r="482" spans="1:43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239"/>
        <v>57727.78</v>
      </c>
      <c r="O482" s="66">
        <f t="shared" si="239"/>
        <v>41100</v>
      </c>
      <c r="P482" s="69">
        <f t="shared" si="220"/>
        <v>19242.593333333334</v>
      </c>
      <c r="Q482" s="69">
        <f t="shared" si="220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6">
        <f>Travel!$T$312</f>
        <v>18300</v>
      </c>
      <c r="AC482" s="66">
        <v>15000</v>
      </c>
      <c r="AD482" s="66">
        <v>15000</v>
      </c>
      <c r="AE482" s="66">
        <v>15000</v>
      </c>
      <c r="AF482" s="66">
        <f>Travel!$T$312</f>
        <v>18300</v>
      </c>
      <c r="AG482" s="66">
        <f>Travel!$T$312</f>
        <v>18300</v>
      </c>
      <c r="AH482" s="66">
        <f>Travel!$T$312</f>
        <v>18300</v>
      </c>
      <c r="AI482" s="66">
        <f>Travel!$T$312</f>
        <v>18300</v>
      </c>
      <c r="AJ482" s="66">
        <f>Travel!$T$312</f>
        <v>18300</v>
      </c>
      <c r="AL482" s="191"/>
      <c r="AM482"/>
      <c r="AO482"/>
      <c r="AP482"/>
      <c r="AQ482"/>
    </row>
    <row r="483" spans="1:43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239"/>
        <v>70814.95</v>
      </c>
      <c r="O483" s="66">
        <f t="shared" si="239"/>
        <v>78000</v>
      </c>
      <c r="P483" s="69">
        <f t="shared" si="220"/>
        <v>23604.983333333334</v>
      </c>
      <c r="Q483" s="69">
        <f t="shared" si="220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6">
        <f>Travel!$T$332</f>
        <v>30500</v>
      </c>
      <c r="AC483" s="66">
        <v>25000</v>
      </c>
      <c r="AD483" s="66">
        <v>25000</v>
      </c>
      <c r="AE483" s="66">
        <v>25000</v>
      </c>
      <c r="AF483" s="66">
        <f>Travel!$T$332</f>
        <v>30500</v>
      </c>
      <c r="AG483" s="66">
        <f>Travel!$T$332</f>
        <v>30500</v>
      </c>
      <c r="AH483" s="66">
        <f>Travel!$T$332</f>
        <v>30500</v>
      </c>
      <c r="AI483" s="66">
        <f>Travel!$T$332</f>
        <v>30500</v>
      </c>
      <c r="AJ483" s="66">
        <f>Travel!$T$332</f>
        <v>30500</v>
      </c>
      <c r="AL483" s="191"/>
      <c r="AM483"/>
      <c r="AO483"/>
      <c r="AP483"/>
      <c r="AQ483"/>
    </row>
    <row r="484" spans="1:43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239"/>
        <v>4458.2</v>
      </c>
      <c r="O484" s="66">
        <f t="shared" si="239"/>
        <v>14615</v>
      </c>
      <c r="P484" s="69">
        <f t="shared" si="220"/>
        <v>1486.0666666666666</v>
      </c>
      <c r="Q484" s="69">
        <f t="shared" si="220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6">
        <f>Travel!$T$336</f>
        <v>5000</v>
      </c>
      <c r="AC484" s="66">
        <f>Travel!$T$336</f>
        <v>5000</v>
      </c>
      <c r="AD484" s="66">
        <f>Travel!$T$336</f>
        <v>5000</v>
      </c>
      <c r="AE484" s="66">
        <f>Travel!$T$336</f>
        <v>5000</v>
      </c>
      <c r="AF484" s="66">
        <f>Travel!$T$336</f>
        <v>5000</v>
      </c>
      <c r="AG484" s="66">
        <f>Travel!$T$336</f>
        <v>5000</v>
      </c>
      <c r="AH484" s="66">
        <f>Travel!$T$336</f>
        <v>5000</v>
      </c>
      <c r="AI484" s="66">
        <f>Travel!$T$336</f>
        <v>5000</v>
      </c>
      <c r="AJ484" s="66">
        <f>Travel!$T$336</f>
        <v>5000</v>
      </c>
      <c r="AL484" s="191"/>
      <c r="AM484"/>
      <c r="AO484"/>
      <c r="AP484"/>
      <c r="AQ484"/>
    </row>
    <row r="485" spans="1:43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239"/>
        <v>10610.4</v>
      </c>
      <c r="O485" s="66">
        <f t="shared" si="239"/>
        <v>61200</v>
      </c>
      <c r="P485" s="69">
        <f t="shared" si="220"/>
        <v>3536.7999999999997</v>
      </c>
      <c r="Q485" s="69">
        <f t="shared" si="220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6">
        <f>Travel!$T$352</f>
        <v>21000</v>
      </c>
      <c r="AC485" s="66">
        <v>15000</v>
      </c>
      <c r="AD485" s="66">
        <v>15000</v>
      </c>
      <c r="AE485" s="66">
        <v>15000</v>
      </c>
      <c r="AF485" s="66">
        <f>Travel!$T$352</f>
        <v>21000</v>
      </c>
      <c r="AG485" s="66">
        <f>Travel!$T$352</f>
        <v>21000</v>
      </c>
      <c r="AH485" s="66">
        <f>Travel!$T$352</f>
        <v>21000</v>
      </c>
      <c r="AI485" s="66">
        <f>Travel!$T$352</f>
        <v>21000</v>
      </c>
      <c r="AJ485" s="66">
        <f>Travel!$T$352</f>
        <v>21000</v>
      </c>
      <c r="AL485" s="191"/>
      <c r="AM485"/>
      <c r="AO485"/>
      <c r="AP485"/>
      <c r="AQ485"/>
    </row>
    <row r="486" spans="1:43" ht="32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239"/>
        <v>81544.240000000005</v>
      </c>
      <c r="O486" s="66">
        <f t="shared" si="239"/>
        <v>84000</v>
      </c>
      <c r="P486" s="69">
        <f t="shared" si="220"/>
        <v>27181.413333333334</v>
      </c>
      <c r="Q486" s="69">
        <f t="shared" si="220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6">
        <f>Travel!$T$361</f>
        <v>39999.994999999995</v>
      </c>
      <c r="AC486" s="66">
        <v>30000</v>
      </c>
      <c r="AD486" s="66">
        <v>30000</v>
      </c>
      <c r="AE486" s="66">
        <v>30000</v>
      </c>
      <c r="AF486" s="66">
        <f>Travel!$T$361</f>
        <v>39999.994999999995</v>
      </c>
      <c r="AG486" s="66">
        <f>Travel!$T$361</f>
        <v>39999.994999999995</v>
      </c>
      <c r="AH486" s="66">
        <f>Travel!$T$361</f>
        <v>39999.994999999995</v>
      </c>
      <c r="AI486" s="66">
        <f>Travel!$T$361</f>
        <v>39999.994999999995</v>
      </c>
      <c r="AJ486" s="66">
        <f>Travel!$T$361</f>
        <v>39999.994999999995</v>
      </c>
      <c r="AK486" s="206" t="s">
        <v>1000</v>
      </c>
      <c r="AL486" s="218" t="s">
        <v>1010</v>
      </c>
      <c r="AM486"/>
      <c r="AN486" s="111">
        <v>5000</v>
      </c>
      <c r="AO486"/>
      <c r="AP486"/>
      <c r="AQ486"/>
    </row>
    <row r="487" spans="1:43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239"/>
        <v>2890.95</v>
      </c>
      <c r="O487" s="66">
        <f t="shared" si="239"/>
        <v>5000</v>
      </c>
      <c r="P487" s="69">
        <f t="shared" si="220"/>
        <v>963.65</v>
      </c>
      <c r="Q487" s="69">
        <f t="shared" si="220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6">
        <f>Travel!$T$362</f>
        <v>5000</v>
      </c>
      <c r="AC487" s="66">
        <f>Travel!$T$362</f>
        <v>5000</v>
      </c>
      <c r="AD487" s="66">
        <f>Travel!$T$362</f>
        <v>5000</v>
      </c>
      <c r="AE487" s="66">
        <f>Travel!$T$362</f>
        <v>5000</v>
      </c>
      <c r="AF487" s="66">
        <f>Travel!$T$362</f>
        <v>5000</v>
      </c>
      <c r="AG487" s="66">
        <f>Travel!$T$362</f>
        <v>5000</v>
      </c>
      <c r="AH487" s="66">
        <f>Travel!$T$362</f>
        <v>5000</v>
      </c>
      <c r="AI487" s="66">
        <f>Travel!$T$362</f>
        <v>5000</v>
      </c>
      <c r="AJ487" s="66">
        <f>Travel!$T$362</f>
        <v>5000</v>
      </c>
      <c r="AL487" s="191"/>
      <c r="AM487"/>
      <c r="AO487"/>
      <c r="AP487"/>
      <c r="AQ487"/>
    </row>
    <row r="488" spans="1:43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240">ROUND(SUM(H480:H487),5)</f>
        <v>59874.94</v>
      </c>
      <c r="I488" s="75">
        <f t="shared" si="240"/>
        <v>92500</v>
      </c>
      <c r="J488" s="76">
        <f t="shared" si="240"/>
        <v>75252.66</v>
      </c>
      <c r="K488" s="76">
        <f t="shared" si="240"/>
        <v>95000</v>
      </c>
      <c r="L488" s="77">
        <f t="shared" si="240"/>
        <v>113605.97</v>
      </c>
      <c r="M488" s="77">
        <f t="shared" si="240"/>
        <v>113615</v>
      </c>
      <c r="N488" s="78">
        <f t="shared" si="239"/>
        <v>248733.57</v>
      </c>
      <c r="O488" s="78">
        <f t="shared" si="239"/>
        <v>301115</v>
      </c>
      <c r="P488" s="79">
        <f t="shared" si="220"/>
        <v>82911.19</v>
      </c>
      <c r="Q488" s="79">
        <f t="shared" si="220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 t="shared" ref="AB488:AI488" si="241">ROUND(SUM(AB480:AB487),5)</f>
        <v>130299.995</v>
      </c>
      <c r="AC488" s="91">
        <f t="shared" si="241"/>
        <v>105500</v>
      </c>
      <c r="AD488" s="91">
        <f t="shared" si="241"/>
        <v>105500</v>
      </c>
      <c r="AE488" s="91">
        <f t="shared" si="241"/>
        <v>105500</v>
      </c>
      <c r="AF488" s="91">
        <f t="shared" si="241"/>
        <v>130299.995</v>
      </c>
      <c r="AG488" s="91">
        <f t="shared" si="241"/>
        <v>130299.995</v>
      </c>
      <c r="AH488" s="91">
        <f t="shared" si="241"/>
        <v>130299.995</v>
      </c>
      <c r="AI488" s="91">
        <f t="shared" si="241"/>
        <v>130299.995</v>
      </c>
      <c r="AJ488" s="91">
        <f t="shared" ref="AJ488" si="242">ROUND(SUM(AJ480:AJ487),5)</f>
        <v>130299.995</v>
      </c>
      <c r="AL488" s="191"/>
      <c r="AM488"/>
      <c r="AO488"/>
      <c r="AP488"/>
      <c r="AQ488"/>
    </row>
    <row r="489" spans="1:43" ht="1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243">ROUND(H429+H441+H455+H464+H469+H479+SUM(H488:H488),5)</f>
        <v>418230.26</v>
      </c>
      <c r="I489" s="75">
        <f t="shared" si="243"/>
        <v>595000</v>
      </c>
      <c r="J489" s="76">
        <f t="shared" si="243"/>
        <v>490473.05</v>
      </c>
      <c r="K489" s="76">
        <f t="shared" si="243"/>
        <v>579550</v>
      </c>
      <c r="L489" s="77">
        <f t="shared" si="243"/>
        <v>559533.9</v>
      </c>
      <c r="M489" s="77">
        <f t="shared" si="243"/>
        <v>649239</v>
      </c>
      <c r="N489" s="78">
        <f t="shared" si="239"/>
        <v>1468237.21</v>
      </c>
      <c r="O489" s="78">
        <f t="shared" si="239"/>
        <v>1823789</v>
      </c>
      <c r="P489" s="79">
        <f t="shared" si="220"/>
        <v>489412.40333333332</v>
      </c>
      <c r="Q489" s="79">
        <f t="shared" si="220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 t="shared" ref="AB489:AI489" si="244">ROUND(AB429+AB441+AB455+AB464+AB469+AB479+SUM(AB488:AB488),5)</f>
        <v>720549.995</v>
      </c>
      <c r="AC489" s="78">
        <f t="shared" si="244"/>
        <v>605300</v>
      </c>
      <c r="AD489" s="78">
        <f t="shared" si="244"/>
        <v>625300</v>
      </c>
      <c r="AE489" s="78">
        <f t="shared" si="244"/>
        <v>647100</v>
      </c>
      <c r="AF489" s="78">
        <f t="shared" si="244"/>
        <v>737299.995</v>
      </c>
      <c r="AG489" s="78">
        <f t="shared" si="244"/>
        <v>744599.995</v>
      </c>
      <c r="AH489" s="78">
        <f t="shared" si="244"/>
        <v>744599.995</v>
      </c>
      <c r="AI489" s="78">
        <f t="shared" si="244"/>
        <v>718699.995</v>
      </c>
      <c r="AJ489" s="78">
        <f t="shared" ref="AJ489" si="245">ROUND(AJ429+AJ441+AJ455+AJ464+AJ469+AJ479+SUM(AJ488:AJ488),5)</f>
        <v>712699.995</v>
      </c>
      <c r="AL489" s="191"/>
      <c r="AM489"/>
      <c r="AO489"/>
      <c r="AP489"/>
      <c r="AQ489"/>
    </row>
    <row r="490" spans="1:43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220"/>
        <v>0</v>
      </c>
      <c r="Q490" s="69">
        <f t="shared" si="220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F490" s="66"/>
      <c r="AG490" s="66"/>
      <c r="AH490" s="66"/>
      <c r="AI490" s="66"/>
      <c r="AJ490" s="66"/>
      <c r="AL490" s="191"/>
      <c r="AM490"/>
      <c r="AO490"/>
      <c r="AP490"/>
      <c r="AQ490"/>
    </row>
    <row r="491" spans="1:43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4" si="246">ROUND(H491+J491+L491,5)</f>
        <v>10042.5</v>
      </c>
      <c r="O491" s="66">
        <f t="shared" si="246"/>
        <v>30000</v>
      </c>
      <c r="P491" s="69">
        <f t="shared" si="220"/>
        <v>3347.5</v>
      </c>
      <c r="Q491" s="69">
        <f t="shared" si="220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H491" s="66">
        <v>0</v>
      </c>
      <c r="AI491" s="66">
        <v>0</v>
      </c>
      <c r="AJ491" s="66">
        <v>0</v>
      </c>
      <c r="AL491" s="191"/>
      <c r="AM491"/>
      <c r="AO491"/>
      <c r="AP491"/>
      <c r="AQ491"/>
    </row>
    <row r="492" spans="1:43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246"/>
        <v>7205.43</v>
      </c>
      <c r="O492" s="66">
        <f t="shared" si="246"/>
        <v>8000</v>
      </c>
      <c r="P492" s="69">
        <f t="shared" si="220"/>
        <v>2401.81</v>
      </c>
      <c r="Q492" s="69">
        <f t="shared" si="220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G492" s="66">
        <v>2500</v>
      </c>
      <c r="AH492" s="66">
        <v>2500</v>
      </c>
      <c r="AI492" s="66">
        <v>2500</v>
      </c>
      <c r="AJ492" s="66">
        <v>2500</v>
      </c>
      <c r="AL492" s="191"/>
      <c r="AM492"/>
      <c r="AO492"/>
      <c r="AP492"/>
      <c r="AQ492"/>
    </row>
    <row r="493" spans="1:43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246"/>
        <v>15127.94</v>
      </c>
      <c r="O493" s="66">
        <f t="shared" si="246"/>
        <v>16500</v>
      </c>
      <c r="P493" s="69">
        <f t="shared" si="220"/>
        <v>5042.6466666666665</v>
      </c>
      <c r="Q493" s="69">
        <f t="shared" si="220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6">
        <v>6000</v>
      </c>
      <c r="AC493" s="66">
        <v>6000</v>
      </c>
      <c r="AD493" s="66">
        <v>6000</v>
      </c>
      <c r="AE493" s="66">
        <v>6000</v>
      </c>
      <c r="AF493" s="66">
        <v>6000</v>
      </c>
      <c r="AG493" s="66">
        <v>6000</v>
      </c>
      <c r="AH493" s="66">
        <v>6000</v>
      </c>
      <c r="AI493" s="66">
        <v>6000</v>
      </c>
      <c r="AJ493" s="66">
        <v>6000</v>
      </c>
      <c r="AL493" s="191"/>
      <c r="AM493"/>
      <c r="AO493"/>
      <c r="AP493"/>
      <c r="AQ493"/>
    </row>
    <row r="494" spans="1:43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246"/>
        <v>13298.77</v>
      </c>
      <c r="O494" s="66">
        <f t="shared" si="246"/>
        <v>7000</v>
      </c>
      <c r="P494" s="69">
        <f t="shared" si="220"/>
        <v>4432.9233333333332</v>
      </c>
      <c r="Q494" s="69">
        <f t="shared" si="220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G494" s="66">
        <v>3000</v>
      </c>
      <c r="AH494" s="66">
        <v>3000</v>
      </c>
      <c r="AI494" s="66">
        <v>3000</v>
      </c>
      <c r="AJ494" s="66">
        <v>3000</v>
      </c>
      <c r="AL494" s="191"/>
      <c r="AM494"/>
      <c r="AO494"/>
      <c r="AP494"/>
      <c r="AQ494"/>
    </row>
    <row r="495" spans="1:43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246"/>
        <v>510268.35</v>
      </c>
      <c r="O495" s="66">
        <f t="shared" si="246"/>
        <v>437243.12</v>
      </c>
      <c r="P495" s="69">
        <f t="shared" si="220"/>
        <v>170089.44999999998</v>
      </c>
      <c r="Q495" s="69">
        <f t="shared" si="220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 t="shared" ref="AB495:AF495" si="247">ROUND(AB220*0.0386, 0)</f>
        <v>205031</v>
      </c>
      <c r="AC495" s="66">
        <f t="shared" si="247"/>
        <v>205031</v>
      </c>
      <c r="AD495" s="66">
        <f t="shared" si="247"/>
        <v>207550</v>
      </c>
      <c r="AE495" s="66">
        <f t="shared" si="247"/>
        <v>206778</v>
      </c>
      <c r="AF495" s="66">
        <f t="shared" si="247"/>
        <v>212691</v>
      </c>
      <c r="AG495" s="66">
        <f>ROUND(AG220*0.0386, 0)</f>
        <v>216120</v>
      </c>
      <c r="AH495" s="66">
        <f>ROUND(AH220*0.0386, 0)</f>
        <v>221717</v>
      </c>
      <c r="AI495" s="66">
        <f>ROUND(AI220*0.0386, 0)</f>
        <v>219170</v>
      </c>
      <c r="AJ495" s="66">
        <f>ROUND(AJ220*0.0386, 0)</f>
        <v>219305</v>
      </c>
      <c r="AK495" s="197"/>
      <c r="AL495" s="232" t="s">
        <v>844</v>
      </c>
      <c r="AM495"/>
      <c r="AO495"/>
      <c r="AP495"/>
      <c r="AQ495"/>
    </row>
    <row r="496" spans="1:43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246"/>
        <v>0</v>
      </c>
      <c r="O496" s="66">
        <f>ROUND(I496+K496+M496,5)</f>
        <v>1000</v>
      </c>
      <c r="P496" s="69">
        <f t="shared" si="220"/>
        <v>0</v>
      </c>
      <c r="Q496" s="69">
        <f t="shared" si="220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0</v>
      </c>
      <c r="AI496" s="66">
        <v>0</v>
      </c>
      <c r="AJ496" s="66">
        <v>0</v>
      </c>
      <c r="AK496" s="197"/>
      <c r="AL496" s="147"/>
      <c r="AM496"/>
      <c r="AO496"/>
      <c r="AP496"/>
      <c r="AQ496"/>
    </row>
    <row r="497" spans="1:43" x14ac:dyDescent="0.35">
      <c r="A497" s="66"/>
      <c r="B497" s="66"/>
      <c r="C497" s="49"/>
      <c r="D497" s="49"/>
      <c r="E497" s="49"/>
      <c r="F497" s="49"/>
      <c r="G497" s="49"/>
      <c r="H497" s="63"/>
      <c r="I497" s="63"/>
      <c r="J497" s="64"/>
      <c r="K497" s="64"/>
      <c r="L497" s="65"/>
      <c r="M497" s="65"/>
      <c r="N497" s="66"/>
      <c r="O497" s="66"/>
      <c r="P497" s="69"/>
      <c r="Q497" s="69"/>
      <c r="R497" s="54"/>
      <c r="S497" s="49"/>
      <c r="T497" s="49"/>
      <c r="U497" s="49"/>
      <c r="V497" s="49"/>
      <c r="W497" s="49" t="s">
        <v>967</v>
      </c>
      <c r="X497" s="49"/>
      <c r="Y497" s="49"/>
      <c r="Z497" s="66"/>
      <c r="AA497" s="140"/>
      <c r="AB497" s="66"/>
      <c r="AC497" s="66"/>
      <c r="AD497" s="66"/>
      <c r="AE497" s="66"/>
      <c r="AF497" s="66"/>
      <c r="AG497" s="66"/>
      <c r="AH497" s="66"/>
      <c r="AI497" s="66"/>
      <c r="AJ497" s="66"/>
      <c r="AK497" s="197"/>
      <c r="AL497" s="147"/>
      <c r="AM497"/>
      <c r="AO497"/>
      <c r="AP497"/>
      <c r="AQ497"/>
    </row>
    <row r="498" spans="1:43" ht="16" x14ac:dyDescent="0.35">
      <c r="A498" s="66"/>
      <c r="B498" s="66"/>
      <c r="C498" s="49"/>
      <c r="D498" s="49"/>
      <c r="E498" s="49" t="s">
        <v>493</v>
      </c>
      <c r="F498" s="49"/>
      <c r="G498" s="49"/>
      <c r="H498" s="63">
        <v>3322.5</v>
      </c>
      <c r="I498" s="63">
        <v>6000</v>
      </c>
      <c r="J498" s="64">
        <v>5750.2</v>
      </c>
      <c r="K498" s="64">
        <v>4000</v>
      </c>
      <c r="L498" s="65">
        <v>26568.75</v>
      </c>
      <c r="M498" s="65">
        <v>4000</v>
      </c>
      <c r="N498" s="66">
        <f t="shared" si="246"/>
        <v>35641.449999999997</v>
      </c>
      <c r="O498" s="66">
        <f t="shared" si="246"/>
        <v>14000</v>
      </c>
      <c r="P498" s="69">
        <f t="shared" si="220"/>
        <v>11880.483333333332</v>
      </c>
      <c r="Q498" s="69">
        <f t="shared" si="220"/>
        <v>4666.666666666667</v>
      </c>
      <c r="R498" s="54"/>
      <c r="S498" s="49"/>
      <c r="T498" s="49"/>
      <c r="U498" s="49"/>
      <c r="V498" s="49"/>
      <c r="W498" s="49" t="s">
        <v>493</v>
      </c>
      <c r="X498" s="49"/>
      <c r="Y498" s="49"/>
      <c r="Z498" s="66">
        <v>37500</v>
      </c>
      <c r="AA498" s="140"/>
      <c r="AB498" s="66">
        <v>24000</v>
      </c>
      <c r="AC498" s="66">
        <v>24000</v>
      </c>
      <c r="AD498" s="66">
        <v>24000</v>
      </c>
      <c r="AE498" s="66">
        <v>24000</v>
      </c>
      <c r="AF498" s="66">
        <v>24000</v>
      </c>
      <c r="AG498" s="66">
        <v>15000</v>
      </c>
      <c r="AH498" s="66">
        <v>15000</v>
      </c>
      <c r="AI498" s="66">
        <v>15000</v>
      </c>
      <c r="AJ498" s="66">
        <v>15000</v>
      </c>
      <c r="AL498" s="191"/>
      <c r="AM498"/>
      <c r="AO498"/>
      <c r="AP498"/>
      <c r="AQ498"/>
    </row>
    <row r="499" spans="1:43" ht="16" x14ac:dyDescent="0.35">
      <c r="A499" s="66"/>
      <c r="B499" s="66"/>
      <c r="C499" s="49"/>
      <c r="D499" s="49"/>
      <c r="E499" s="49" t="s">
        <v>494</v>
      </c>
      <c r="F499" s="49"/>
      <c r="G499" s="49"/>
      <c r="H499" s="63">
        <v>2934</v>
      </c>
      <c r="I499" s="63">
        <v>5607</v>
      </c>
      <c r="J499" s="64">
        <v>0</v>
      </c>
      <c r="K499" s="64">
        <v>0</v>
      </c>
      <c r="L499" s="65">
        <v>0</v>
      </c>
      <c r="M499" s="65">
        <v>0</v>
      </c>
      <c r="N499" s="66">
        <f t="shared" si="246"/>
        <v>2934</v>
      </c>
      <c r="O499" s="66">
        <f t="shared" si="246"/>
        <v>5607</v>
      </c>
      <c r="P499" s="69">
        <f t="shared" si="220"/>
        <v>978</v>
      </c>
      <c r="Q499" s="69">
        <f t="shared" si="220"/>
        <v>1869</v>
      </c>
      <c r="R499" s="54"/>
      <c r="S499" s="49"/>
      <c r="T499" s="49"/>
      <c r="U499" s="49"/>
      <c r="V499" s="49"/>
      <c r="W499" s="49" t="s">
        <v>494</v>
      </c>
      <c r="X499" s="49"/>
      <c r="Y499" s="49"/>
      <c r="Z499" s="66">
        <v>0</v>
      </c>
      <c r="AA499" s="140"/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0</v>
      </c>
      <c r="AI499" s="66">
        <v>0</v>
      </c>
      <c r="AJ499" s="66">
        <v>0</v>
      </c>
      <c r="AL499" s="191"/>
      <c r="AM499"/>
      <c r="AO499"/>
      <c r="AP499"/>
      <c r="AQ499"/>
    </row>
    <row r="500" spans="1:43" ht="29" x14ac:dyDescent="0.35">
      <c r="A500" s="66"/>
      <c r="B500" s="66"/>
      <c r="C500" s="49"/>
      <c r="D500" s="49"/>
      <c r="E500" s="49" t="s">
        <v>495</v>
      </c>
      <c r="F500" s="49"/>
      <c r="G500" s="49"/>
      <c r="H500" s="63">
        <v>74809.66</v>
      </c>
      <c r="I500" s="63">
        <v>105600</v>
      </c>
      <c r="J500" s="64">
        <v>52243.49</v>
      </c>
      <c r="K500" s="64">
        <v>53000</v>
      </c>
      <c r="L500" s="65">
        <v>51678.79</v>
      </c>
      <c r="M500" s="65">
        <v>70507</v>
      </c>
      <c r="N500" s="66">
        <f t="shared" si="246"/>
        <v>178731.94</v>
      </c>
      <c r="O500" s="66">
        <f t="shared" si="246"/>
        <v>229107</v>
      </c>
      <c r="P500" s="69">
        <f t="shared" si="220"/>
        <v>59577.313333333332</v>
      </c>
      <c r="Q500" s="69">
        <f t="shared" si="220"/>
        <v>76369</v>
      </c>
      <c r="R500" s="54"/>
      <c r="S500" s="49"/>
      <c r="T500" s="49"/>
      <c r="U500" s="49"/>
      <c r="V500" s="49"/>
      <c r="W500" s="49" t="s">
        <v>495</v>
      </c>
      <c r="X500" s="49"/>
      <c r="Y500" s="49"/>
      <c r="Z500" s="66">
        <v>74122.820000000007</v>
      </c>
      <c r="AA500" s="140"/>
      <c r="AB500" s="66">
        <v>109482.14</v>
      </c>
      <c r="AC500" s="66">
        <v>109482.14</v>
      </c>
      <c r="AD500" s="66">
        <v>109482.14</v>
      </c>
      <c r="AE500" s="66">
        <v>109482.14</v>
      </c>
      <c r="AF500" s="66">
        <f>ROUND(135482.14, 0)</f>
        <v>135482</v>
      </c>
      <c r="AG500" s="66">
        <f>ROUND(145282.14, 0)</f>
        <v>145282</v>
      </c>
      <c r="AH500" s="66">
        <v>121979.63</v>
      </c>
      <c r="AI500" s="66">
        <v>121979.63</v>
      </c>
      <c r="AJ500" s="66">
        <f>ROUND(121979.63, 0)</f>
        <v>121980</v>
      </c>
      <c r="AK500" s="206" t="s">
        <v>1000</v>
      </c>
      <c r="AL500" s="231" t="s">
        <v>969</v>
      </c>
      <c r="AM500"/>
      <c r="AO500"/>
      <c r="AP500"/>
      <c r="AQ500"/>
    </row>
    <row r="501" spans="1:43" ht="16" x14ac:dyDescent="0.35">
      <c r="A501" s="66"/>
      <c r="B501" s="66"/>
      <c r="C501" s="49"/>
      <c r="D501" s="49"/>
      <c r="E501" s="49" t="s">
        <v>496</v>
      </c>
      <c r="F501" s="49"/>
      <c r="G501" s="49"/>
      <c r="H501" s="63">
        <v>2727.19</v>
      </c>
      <c r="I501" s="63">
        <v>4500</v>
      </c>
      <c r="J501" s="64">
        <v>4935.63</v>
      </c>
      <c r="K501" s="64">
        <v>4500</v>
      </c>
      <c r="L501" s="65">
        <v>6253.02</v>
      </c>
      <c r="M501" s="65">
        <v>4025</v>
      </c>
      <c r="N501" s="66">
        <f t="shared" si="246"/>
        <v>13915.84</v>
      </c>
      <c r="O501" s="66">
        <f t="shared" si="246"/>
        <v>13025</v>
      </c>
      <c r="P501" s="69">
        <f t="shared" si="220"/>
        <v>4638.6133333333337</v>
      </c>
      <c r="Q501" s="69">
        <f t="shared" si="220"/>
        <v>4341.666666666667</v>
      </c>
      <c r="R501" s="54"/>
      <c r="S501" s="49"/>
      <c r="T501" s="49"/>
      <c r="U501" s="49"/>
      <c r="V501" s="49"/>
      <c r="W501" s="49" t="s">
        <v>496</v>
      </c>
      <c r="X501" s="49"/>
      <c r="Y501" s="49"/>
      <c r="Z501" s="66">
        <v>8352</v>
      </c>
      <c r="AA501" s="140"/>
      <c r="AB501" s="66">
        <v>4563</v>
      </c>
      <c r="AC501" s="66">
        <v>4563</v>
      </c>
      <c r="AD501" s="66">
        <v>4563</v>
      </c>
      <c r="AE501" s="66">
        <v>4563</v>
      </c>
      <c r="AF501" s="66">
        <v>4563</v>
      </c>
      <c r="AG501" s="66">
        <v>4563</v>
      </c>
      <c r="AH501" s="66">
        <v>4563</v>
      </c>
      <c r="AI501" s="66">
        <v>4563</v>
      </c>
      <c r="AJ501" s="66">
        <v>4563</v>
      </c>
      <c r="AL501" s="191"/>
      <c r="AM501"/>
      <c r="AO501"/>
      <c r="AP501"/>
      <c r="AQ501"/>
    </row>
    <row r="502" spans="1:43" ht="16" x14ac:dyDescent="0.35">
      <c r="A502" s="66"/>
      <c r="B502" s="66"/>
      <c r="C502" s="49"/>
      <c r="D502" s="49"/>
      <c r="E502" s="49" t="s">
        <v>497</v>
      </c>
      <c r="F502" s="49"/>
      <c r="G502" s="49"/>
      <c r="H502" s="63">
        <v>3590</v>
      </c>
      <c r="I502" s="63">
        <v>4608</v>
      </c>
      <c r="J502" s="64">
        <v>3588</v>
      </c>
      <c r="K502" s="64">
        <v>3700</v>
      </c>
      <c r="L502" s="65">
        <v>689</v>
      </c>
      <c r="M502" s="65">
        <v>3600</v>
      </c>
      <c r="N502" s="66">
        <f t="shared" si="246"/>
        <v>7867</v>
      </c>
      <c r="O502" s="66">
        <f t="shared" si="246"/>
        <v>11908</v>
      </c>
      <c r="P502" s="69">
        <f t="shared" si="220"/>
        <v>2622.3333333333335</v>
      </c>
      <c r="Q502" s="69">
        <f t="shared" si="220"/>
        <v>3969.3333333333335</v>
      </c>
      <c r="R502" s="54"/>
      <c r="S502" s="49"/>
      <c r="T502" s="49"/>
      <c r="U502" s="49"/>
      <c r="V502" s="49"/>
      <c r="W502" s="49" t="s">
        <v>497</v>
      </c>
      <c r="X502" s="49"/>
      <c r="Y502" s="49"/>
      <c r="Z502" s="66">
        <v>2000</v>
      </c>
      <c r="AA502" s="140"/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0</v>
      </c>
      <c r="AI502" s="66">
        <v>0</v>
      </c>
      <c r="AJ502" s="66">
        <v>0</v>
      </c>
      <c r="AL502" s="191"/>
      <c r="AM502"/>
      <c r="AO502"/>
      <c r="AP502"/>
      <c r="AQ502"/>
    </row>
    <row r="503" spans="1:43" ht="16" x14ac:dyDescent="0.35">
      <c r="A503" s="66"/>
      <c r="B503" s="66"/>
      <c r="C503" s="49"/>
      <c r="D503" s="49"/>
      <c r="E503" s="49" t="s">
        <v>498</v>
      </c>
      <c r="F503" s="49"/>
      <c r="G503" s="49"/>
      <c r="H503" s="63">
        <v>12597.17</v>
      </c>
      <c r="I503" s="63">
        <v>12766</v>
      </c>
      <c r="J503" s="64">
        <v>11637.22</v>
      </c>
      <c r="K503" s="64">
        <v>12771.48</v>
      </c>
      <c r="L503" s="65">
        <v>11300</v>
      </c>
      <c r="M503" s="65">
        <v>11832</v>
      </c>
      <c r="N503" s="66">
        <f t="shared" si="246"/>
        <v>35534.39</v>
      </c>
      <c r="O503" s="66">
        <f t="shared" si="246"/>
        <v>37369.480000000003</v>
      </c>
      <c r="P503" s="69">
        <f t="shared" si="220"/>
        <v>11844.796666666667</v>
      </c>
      <c r="Q503" s="69">
        <f t="shared" si="220"/>
        <v>12456.493333333334</v>
      </c>
      <c r="R503" s="54"/>
      <c r="S503" s="49"/>
      <c r="T503" s="49"/>
      <c r="U503" s="49"/>
      <c r="V503" s="49"/>
      <c r="W503" s="49" t="s">
        <v>498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G503" s="66">
        <v>11767.5</v>
      </c>
      <c r="AH503" s="66">
        <v>11767.5</v>
      </c>
      <c r="AI503" s="66">
        <v>11767.5</v>
      </c>
      <c r="AJ503" s="66">
        <v>11767.5</v>
      </c>
      <c r="AL503" s="191"/>
      <c r="AM503"/>
      <c r="AO503"/>
      <c r="AP503"/>
      <c r="AQ503"/>
    </row>
    <row r="504" spans="1:43" ht="16" x14ac:dyDescent="0.35">
      <c r="A504" s="66"/>
      <c r="B504" s="66"/>
      <c r="C504" s="49"/>
      <c r="D504" s="49"/>
      <c r="E504" s="49" t="s">
        <v>499</v>
      </c>
      <c r="F504" s="49"/>
      <c r="G504" s="49"/>
      <c r="H504" s="63">
        <v>12597.14</v>
      </c>
      <c r="I504" s="63">
        <v>12766</v>
      </c>
      <c r="J504" s="64">
        <v>11637.22</v>
      </c>
      <c r="K504" s="64">
        <v>12771.35</v>
      </c>
      <c r="L504" s="65">
        <v>11300</v>
      </c>
      <c r="M504" s="65">
        <v>11832</v>
      </c>
      <c r="N504" s="66">
        <f t="shared" si="246"/>
        <v>35534.36</v>
      </c>
      <c r="O504" s="66">
        <f t="shared" si="246"/>
        <v>37369.35</v>
      </c>
      <c r="P504" s="69">
        <f t="shared" si="220"/>
        <v>11844.786666666667</v>
      </c>
      <c r="Q504" s="69">
        <f t="shared" si="220"/>
        <v>12456.449999999999</v>
      </c>
      <c r="R504" s="54"/>
      <c r="S504" s="49"/>
      <c r="T504" s="49"/>
      <c r="U504" s="49"/>
      <c r="V504" s="49"/>
      <c r="W504" s="49" t="s">
        <v>499</v>
      </c>
      <c r="X504" s="49"/>
      <c r="Y504" s="49"/>
      <c r="Z504" s="66">
        <v>12424</v>
      </c>
      <c r="AA504" s="140"/>
      <c r="AB504" s="66">
        <v>11767.5</v>
      </c>
      <c r="AC504" s="66">
        <v>11767.5</v>
      </c>
      <c r="AD504" s="66">
        <v>11767.5</v>
      </c>
      <c r="AE504" s="66">
        <v>11767.5</v>
      </c>
      <c r="AF504" s="66">
        <v>11767.5</v>
      </c>
      <c r="AG504" s="66">
        <v>11767.5</v>
      </c>
      <c r="AH504" s="66">
        <v>11767.5</v>
      </c>
      <c r="AI504" s="66">
        <v>11767.5</v>
      </c>
      <c r="AJ504" s="66">
        <v>11767.5</v>
      </c>
      <c r="AL504" s="191"/>
      <c r="AM504"/>
      <c r="AO504"/>
      <c r="AP504"/>
      <c r="AQ504"/>
    </row>
    <row r="505" spans="1:43" ht="16" x14ac:dyDescent="0.35">
      <c r="A505" s="66"/>
      <c r="B505" s="66"/>
      <c r="C505" s="49"/>
      <c r="D505" s="49"/>
      <c r="E505" s="49" t="s">
        <v>500</v>
      </c>
      <c r="F505" s="49"/>
      <c r="G505" s="49"/>
      <c r="H505" s="63">
        <v>4694</v>
      </c>
      <c r="I505" s="63">
        <v>4807</v>
      </c>
      <c r="J505" s="64">
        <v>5020.5</v>
      </c>
      <c r="K505" s="64">
        <v>4700</v>
      </c>
      <c r="L505" s="65">
        <v>5177.16</v>
      </c>
      <c r="M505" s="65">
        <v>5244</v>
      </c>
      <c r="N505" s="66">
        <f t="shared" si="246"/>
        <v>14891.66</v>
      </c>
      <c r="O505" s="66">
        <f t="shared" si="246"/>
        <v>14751</v>
      </c>
      <c r="P505" s="69">
        <f t="shared" si="220"/>
        <v>4963.8866666666663</v>
      </c>
      <c r="Q505" s="69">
        <f t="shared" si="220"/>
        <v>4917</v>
      </c>
      <c r="R505" s="54"/>
      <c r="S505" s="49"/>
      <c r="T505" s="49"/>
      <c r="U505" s="49"/>
      <c r="V505" s="49"/>
      <c r="W505" s="49" t="s">
        <v>500</v>
      </c>
      <c r="X505" s="49"/>
      <c r="Y505" s="49"/>
      <c r="Z505" s="66">
        <v>5411</v>
      </c>
      <c r="AA505" s="140"/>
      <c r="AB505" s="66">
        <f t="shared" ref="AB505:AJ505" si="248">ROUND(7535.85, 0)</f>
        <v>7536</v>
      </c>
      <c r="AC505" s="66">
        <f t="shared" si="248"/>
        <v>7536</v>
      </c>
      <c r="AD505" s="66">
        <f t="shared" si="248"/>
        <v>7536</v>
      </c>
      <c r="AE505" s="66">
        <f t="shared" si="248"/>
        <v>7536</v>
      </c>
      <c r="AF505" s="66">
        <f t="shared" si="248"/>
        <v>7536</v>
      </c>
      <c r="AG505" s="66">
        <f t="shared" si="248"/>
        <v>7536</v>
      </c>
      <c r="AH505" s="66">
        <f t="shared" si="248"/>
        <v>7536</v>
      </c>
      <c r="AI505" s="66">
        <f t="shared" si="248"/>
        <v>7536</v>
      </c>
      <c r="AJ505" s="66">
        <f t="shared" si="248"/>
        <v>7536</v>
      </c>
      <c r="AL505" s="218" t="s">
        <v>992</v>
      </c>
      <c r="AM505"/>
      <c r="AO505"/>
      <c r="AP505"/>
      <c r="AQ505"/>
    </row>
    <row r="506" spans="1:43" ht="16" x14ac:dyDescent="0.35">
      <c r="A506" s="66"/>
      <c r="B506" s="66"/>
      <c r="C506" s="49"/>
      <c r="D506" s="49"/>
      <c r="E506" s="49" t="s">
        <v>501</v>
      </c>
      <c r="F506" s="49"/>
      <c r="G506" s="49"/>
      <c r="H506" s="63">
        <v>0</v>
      </c>
      <c r="I506" s="63">
        <v>0</v>
      </c>
      <c r="J506" s="64">
        <v>14469.34</v>
      </c>
      <c r="K506" s="64">
        <v>2000</v>
      </c>
      <c r="L506" s="65">
        <v>16282.95</v>
      </c>
      <c r="M506" s="65">
        <v>2000</v>
      </c>
      <c r="N506" s="66">
        <f t="shared" si="246"/>
        <v>30752.29</v>
      </c>
      <c r="O506" s="66">
        <f t="shared" si="246"/>
        <v>4000</v>
      </c>
      <c r="P506" s="69">
        <f t="shared" si="220"/>
        <v>10250.763333333334</v>
      </c>
      <c r="Q506" s="69">
        <f t="shared" si="220"/>
        <v>1333.3333333333333</v>
      </c>
      <c r="R506" s="54"/>
      <c r="S506" s="49"/>
      <c r="T506" s="49"/>
      <c r="U506" s="49"/>
      <c r="V506" s="49"/>
      <c r="W506" s="49" t="s">
        <v>501</v>
      </c>
      <c r="X506" s="49"/>
      <c r="Y506" s="49"/>
      <c r="Z506" s="66">
        <v>2000</v>
      </c>
      <c r="AA506" s="140"/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H506" s="66">
        <v>0</v>
      </c>
      <c r="AI506" s="66">
        <v>0</v>
      </c>
      <c r="AJ506" s="66">
        <v>0</v>
      </c>
      <c r="AL506" s="191"/>
      <c r="AM506"/>
      <c r="AO506"/>
      <c r="AP506"/>
      <c r="AQ506"/>
    </row>
    <row r="507" spans="1:43" ht="29" x14ac:dyDescent="0.35">
      <c r="A507" s="66"/>
      <c r="B507" s="66"/>
      <c r="C507" s="49"/>
      <c r="D507" s="49"/>
      <c r="E507" s="49" t="s">
        <v>502</v>
      </c>
      <c r="F507" s="49"/>
      <c r="G507" s="49"/>
      <c r="H507" s="63">
        <v>15158.69</v>
      </c>
      <c r="I507" s="63">
        <v>50000</v>
      </c>
      <c r="J507" s="64">
        <v>5299.22</v>
      </c>
      <c r="K507" s="64">
        <v>10000</v>
      </c>
      <c r="L507" s="65">
        <v>10963.76</v>
      </c>
      <c r="M507" s="65">
        <v>45000</v>
      </c>
      <c r="N507" s="66">
        <f t="shared" si="246"/>
        <v>31421.67</v>
      </c>
      <c r="O507" s="66">
        <f t="shared" si="246"/>
        <v>105000</v>
      </c>
      <c r="P507" s="69">
        <f t="shared" si="220"/>
        <v>10473.89</v>
      </c>
      <c r="Q507" s="69">
        <f t="shared" si="220"/>
        <v>35000</v>
      </c>
      <c r="R507" s="54"/>
      <c r="S507" s="49"/>
      <c r="T507" s="49"/>
      <c r="U507" s="49"/>
      <c r="V507" s="49"/>
      <c r="W507" s="49" t="s">
        <v>502</v>
      </c>
      <c r="X507" s="49"/>
      <c r="Y507" s="49"/>
      <c r="Z507" s="66">
        <v>20000</v>
      </c>
      <c r="AA507" s="140"/>
      <c r="AB507" s="66">
        <v>20000</v>
      </c>
      <c r="AC507" s="66">
        <v>10000</v>
      </c>
      <c r="AD507" s="66">
        <v>10000</v>
      </c>
      <c r="AE507" s="66">
        <v>10000</v>
      </c>
      <c r="AF507" s="66">
        <v>20000</v>
      </c>
      <c r="AG507" s="66">
        <f>20000+5000</f>
        <v>25000</v>
      </c>
      <c r="AH507" s="66">
        <f>20000+5000</f>
        <v>25000</v>
      </c>
      <c r="AI507" s="66">
        <f>20000+5000</f>
        <v>25000</v>
      </c>
      <c r="AJ507" s="66">
        <f>20000+5000</f>
        <v>25000</v>
      </c>
      <c r="AK507" s="206" t="s">
        <v>1000</v>
      </c>
      <c r="AL507" s="221" t="s">
        <v>1012</v>
      </c>
      <c r="AM507"/>
      <c r="AO507"/>
      <c r="AP507"/>
      <c r="AQ507"/>
    </row>
    <row r="508" spans="1:43" x14ac:dyDescent="0.35">
      <c r="A508" s="66"/>
      <c r="B508" s="66"/>
      <c r="C508" s="49"/>
      <c r="D508" s="49"/>
      <c r="E508" s="49" t="s">
        <v>503</v>
      </c>
      <c r="F508" s="49"/>
      <c r="G508" s="49"/>
      <c r="H508" s="63">
        <v>1942.71</v>
      </c>
      <c r="I508" s="63">
        <v>0</v>
      </c>
      <c r="J508" s="64">
        <v>1701.44</v>
      </c>
      <c r="K508" s="64">
        <v>1500</v>
      </c>
      <c r="L508" s="65">
        <v>1553.27</v>
      </c>
      <c r="M508" s="65">
        <v>1650</v>
      </c>
      <c r="N508" s="66">
        <f t="shared" si="246"/>
        <v>5197.42</v>
      </c>
      <c r="O508" s="66">
        <f t="shared" si="246"/>
        <v>3150</v>
      </c>
      <c r="P508" s="69">
        <f t="shared" si="220"/>
        <v>1732.4733333333334</v>
      </c>
      <c r="Q508" s="69">
        <f t="shared" si="220"/>
        <v>1050</v>
      </c>
      <c r="R508" s="54"/>
      <c r="S508" s="49"/>
      <c r="T508" s="49"/>
      <c r="U508" s="49"/>
      <c r="V508" s="49"/>
      <c r="W508" s="49" t="s">
        <v>503</v>
      </c>
      <c r="X508" s="49"/>
      <c r="Y508" s="49"/>
      <c r="Z508" s="66">
        <v>1650</v>
      </c>
      <c r="AA508" s="140"/>
      <c r="AB508" s="66">
        <v>1600</v>
      </c>
      <c r="AC508" s="66">
        <v>1600</v>
      </c>
      <c r="AD508" s="66">
        <v>1600</v>
      </c>
      <c r="AE508" s="66">
        <v>1600</v>
      </c>
      <c r="AF508" s="66">
        <v>1600</v>
      </c>
      <c r="AG508" s="66">
        <v>1600</v>
      </c>
      <c r="AH508" s="66">
        <v>1600</v>
      </c>
      <c r="AI508" s="66">
        <v>1600</v>
      </c>
      <c r="AJ508" s="66">
        <v>1600</v>
      </c>
      <c r="AM508"/>
      <c r="AO508"/>
      <c r="AP508"/>
      <c r="AQ508"/>
    </row>
    <row r="509" spans="1:43" x14ac:dyDescent="0.35">
      <c r="A509" s="66"/>
      <c r="B509" s="66"/>
      <c r="C509" s="49"/>
      <c r="D509" s="49"/>
      <c r="E509" s="49" t="s">
        <v>504</v>
      </c>
      <c r="F509" s="49"/>
      <c r="G509" s="49"/>
      <c r="H509" s="63">
        <v>43056.86</v>
      </c>
      <c r="I509" s="63">
        <v>43200</v>
      </c>
      <c r="J509" s="64">
        <v>49577.21</v>
      </c>
      <c r="K509" s="64">
        <v>40000</v>
      </c>
      <c r="L509" s="65">
        <v>49198.66</v>
      </c>
      <c r="M509" s="65">
        <v>43000</v>
      </c>
      <c r="N509" s="66">
        <f t="shared" si="246"/>
        <v>141832.73000000001</v>
      </c>
      <c r="O509" s="66">
        <f t="shared" si="246"/>
        <v>126200</v>
      </c>
      <c r="P509" s="69">
        <f t="shared" si="220"/>
        <v>47277.576666666668</v>
      </c>
      <c r="Q509" s="69">
        <f t="shared" si="220"/>
        <v>42066.666666666664</v>
      </c>
      <c r="R509" s="54"/>
      <c r="S509" s="49"/>
      <c r="T509" s="49"/>
      <c r="U509" s="49"/>
      <c r="V509" s="49"/>
      <c r="W509" s="49" t="s">
        <v>504</v>
      </c>
      <c r="X509" s="49"/>
      <c r="Y509" s="49"/>
      <c r="Z509" s="66">
        <v>53400</v>
      </c>
      <c r="AA509" s="140"/>
      <c r="AB509" s="66">
        <v>50400</v>
      </c>
      <c r="AC509" s="66">
        <v>50400</v>
      </c>
      <c r="AD509" s="66">
        <v>50400</v>
      </c>
      <c r="AE509" s="66">
        <v>50400</v>
      </c>
      <c r="AF509" s="66">
        <v>50400</v>
      </c>
      <c r="AG509" s="66">
        <v>50400</v>
      </c>
      <c r="AH509" s="66">
        <v>50400</v>
      </c>
      <c r="AI509" s="66">
        <v>50400</v>
      </c>
      <c r="AJ509" s="66">
        <v>50400</v>
      </c>
      <c r="AL509" s="182"/>
      <c r="AM509"/>
      <c r="AO509"/>
      <c r="AP509"/>
      <c r="AQ509"/>
    </row>
    <row r="510" spans="1:43" x14ac:dyDescent="0.35">
      <c r="A510" s="66"/>
      <c r="B510" s="66"/>
      <c r="C510" s="49"/>
      <c r="D510" s="49"/>
      <c r="E510" s="49" t="s">
        <v>505</v>
      </c>
      <c r="F510" s="49"/>
      <c r="G510" s="49"/>
      <c r="H510" s="63">
        <v>29693.03</v>
      </c>
      <c r="I510" s="63">
        <v>25200</v>
      </c>
      <c r="J510" s="64">
        <v>29633.54</v>
      </c>
      <c r="K510" s="64">
        <v>26000</v>
      </c>
      <c r="L510" s="65">
        <v>30299.87</v>
      </c>
      <c r="M510" s="65">
        <v>30000</v>
      </c>
      <c r="N510" s="66">
        <f t="shared" si="246"/>
        <v>89626.44</v>
      </c>
      <c r="O510" s="66">
        <f t="shared" si="246"/>
        <v>81200</v>
      </c>
      <c r="P510" s="69">
        <f t="shared" ref="P510:Q571" si="249">N510/3</f>
        <v>29875.48</v>
      </c>
      <c r="Q510" s="69">
        <f t="shared" si="249"/>
        <v>27066.666666666668</v>
      </c>
      <c r="R510" s="54"/>
      <c r="S510" s="49"/>
      <c r="T510" s="49"/>
      <c r="U510" s="49"/>
      <c r="V510" s="49"/>
      <c r="W510" s="49" t="s">
        <v>505</v>
      </c>
      <c r="X510" s="49"/>
      <c r="Y510" s="49"/>
      <c r="Z510" s="66">
        <v>32964</v>
      </c>
      <c r="AA510" s="140"/>
      <c r="AB510" s="66">
        <v>29886</v>
      </c>
      <c r="AC510" s="66">
        <v>29886</v>
      </c>
      <c r="AD510" s="66">
        <v>29886</v>
      </c>
      <c r="AE510" s="66">
        <v>29886</v>
      </c>
      <c r="AF510" s="66">
        <v>29886</v>
      </c>
      <c r="AG510" s="66">
        <v>31436</v>
      </c>
      <c r="AH510" s="66">
        <v>31436</v>
      </c>
      <c r="AI510" s="66">
        <v>31436</v>
      </c>
      <c r="AJ510" s="66">
        <v>31436</v>
      </c>
      <c r="AL510" s="190"/>
      <c r="AM510"/>
      <c r="AO510"/>
      <c r="AP510"/>
      <c r="AQ510"/>
    </row>
    <row r="511" spans="1:43" x14ac:dyDescent="0.35">
      <c r="A511" s="66"/>
      <c r="B511" s="66"/>
      <c r="C511" s="49"/>
      <c r="D511" s="49"/>
      <c r="E511" s="49" t="s">
        <v>506</v>
      </c>
      <c r="F511" s="49"/>
      <c r="G511" s="49"/>
      <c r="H511" s="63">
        <v>0</v>
      </c>
      <c r="I511" s="63">
        <v>700</v>
      </c>
      <c r="J511" s="64">
        <v>0</v>
      </c>
      <c r="K511" s="64">
        <v>500</v>
      </c>
      <c r="L511" s="65">
        <v>0</v>
      </c>
      <c r="M511" s="65">
        <v>575</v>
      </c>
      <c r="N511" s="66">
        <f t="shared" si="246"/>
        <v>0</v>
      </c>
      <c r="O511" s="66">
        <f t="shared" si="246"/>
        <v>1775</v>
      </c>
      <c r="P511" s="69">
        <f t="shared" si="249"/>
        <v>0</v>
      </c>
      <c r="Q511" s="69">
        <f t="shared" si="249"/>
        <v>591.66666666666663</v>
      </c>
      <c r="R511" s="54"/>
      <c r="S511" s="49"/>
      <c r="T511" s="49"/>
      <c r="U511" s="49"/>
      <c r="V511" s="49"/>
      <c r="W511" s="49" t="s">
        <v>506</v>
      </c>
      <c r="X511" s="49"/>
      <c r="Y511" s="49"/>
      <c r="Z511" s="66">
        <v>700</v>
      </c>
      <c r="AA511" s="140"/>
      <c r="AB511" s="66">
        <v>700</v>
      </c>
      <c r="AC511" s="66">
        <v>700</v>
      </c>
      <c r="AD511" s="66">
        <v>700</v>
      </c>
      <c r="AE511" s="66">
        <v>700</v>
      </c>
      <c r="AF511" s="66">
        <v>700</v>
      </c>
      <c r="AG511" s="66">
        <v>700</v>
      </c>
      <c r="AH511" s="66">
        <v>700</v>
      </c>
      <c r="AI511" s="66">
        <v>700</v>
      </c>
      <c r="AJ511" s="66">
        <v>700</v>
      </c>
      <c r="AM511"/>
      <c r="AO511"/>
      <c r="AP511"/>
      <c r="AQ511"/>
    </row>
    <row r="512" spans="1:43" x14ac:dyDescent="0.35">
      <c r="A512" s="66"/>
      <c r="B512" s="66"/>
      <c r="C512" s="49"/>
      <c r="D512" s="49"/>
      <c r="E512" s="49" t="s">
        <v>507</v>
      </c>
      <c r="F512" s="49"/>
      <c r="G512" s="49"/>
      <c r="H512" s="63">
        <v>11143.42</v>
      </c>
      <c r="I512" s="63">
        <v>11688</v>
      </c>
      <c r="J512" s="64">
        <v>11624.25</v>
      </c>
      <c r="K512" s="64">
        <v>10368</v>
      </c>
      <c r="L512" s="65">
        <v>11804</v>
      </c>
      <c r="M512" s="65">
        <v>11238</v>
      </c>
      <c r="N512" s="66">
        <f t="shared" si="246"/>
        <v>34571.67</v>
      </c>
      <c r="O512" s="66">
        <f t="shared" si="246"/>
        <v>33294</v>
      </c>
      <c r="P512" s="69">
        <f t="shared" si="249"/>
        <v>11523.89</v>
      </c>
      <c r="Q512" s="69">
        <f t="shared" si="249"/>
        <v>11098</v>
      </c>
      <c r="R512" s="54"/>
      <c r="S512" s="49"/>
      <c r="T512" s="49"/>
      <c r="U512" s="49"/>
      <c r="V512" s="49"/>
      <c r="W512" s="49" t="s">
        <v>507</v>
      </c>
      <c r="X512" s="49"/>
      <c r="Y512" s="49"/>
      <c r="Z512" s="66">
        <v>10173</v>
      </c>
      <c r="AA512" s="140"/>
      <c r="AB512" s="66">
        <v>13488</v>
      </c>
      <c r="AC512" s="66">
        <v>13488</v>
      </c>
      <c r="AD512" s="66">
        <v>13488</v>
      </c>
      <c r="AE512" s="66">
        <v>13488</v>
      </c>
      <c r="AF512" s="66">
        <v>13488</v>
      </c>
      <c r="AG512" s="66">
        <v>13000</v>
      </c>
      <c r="AH512" s="66">
        <v>13000</v>
      </c>
      <c r="AI512" s="66">
        <v>13000</v>
      </c>
      <c r="AJ512" s="66">
        <v>13000</v>
      </c>
      <c r="AM512"/>
      <c r="AO512"/>
      <c r="AP512"/>
      <c r="AQ512"/>
    </row>
    <row r="513" spans="1:43" x14ac:dyDescent="0.35">
      <c r="A513" s="66"/>
      <c r="B513" s="66"/>
      <c r="C513" s="49"/>
      <c r="D513" s="49"/>
      <c r="E513" s="49" t="s">
        <v>508</v>
      </c>
      <c r="F513" s="49"/>
      <c r="G513" s="49"/>
      <c r="H513" s="63">
        <v>23426.28</v>
      </c>
      <c r="I513" s="63">
        <v>12424</v>
      </c>
      <c r="J513" s="64">
        <v>25016.84</v>
      </c>
      <c r="K513" s="64">
        <v>23200</v>
      </c>
      <c r="L513" s="65">
        <v>28552.11</v>
      </c>
      <c r="M513" s="65">
        <v>26073</v>
      </c>
      <c r="N513" s="66">
        <f t="shared" si="246"/>
        <v>76995.23</v>
      </c>
      <c r="O513" s="66">
        <f t="shared" si="246"/>
        <v>61697</v>
      </c>
      <c r="P513" s="69">
        <f t="shared" si="249"/>
        <v>25665.076666666664</v>
      </c>
      <c r="Q513" s="69">
        <f t="shared" si="249"/>
        <v>20565.666666666668</v>
      </c>
      <c r="R513" s="54"/>
      <c r="S513" s="49"/>
      <c r="T513" s="49"/>
      <c r="U513" s="49"/>
      <c r="V513" s="49"/>
      <c r="W513" s="49" t="s">
        <v>508</v>
      </c>
      <c r="X513" s="49"/>
      <c r="Y513" s="49"/>
      <c r="Z513" s="66">
        <v>29969</v>
      </c>
      <c r="AA513" s="140"/>
      <c r="AB513" s="66">
        <v>0</v>
      </c>
      <c r="AC513" s="66">
        <v>0</v>
      </c>
      <c r="AD513" s="66">
        <v>0</v>
      </c>
      <c r="AE513" s="66">
        <v>0</v>
      </c>
      <c r="AF513" s="66">
        <v>0</v>
      </c>
      <c r="AG513" s="66">
        <v>31650</v>
      </c>
      <c r="AH513" s="66">
        <v>31650</v>
      </c>
      <c r="AI513" s="66">
        <v>31650</v>
      </c>
      <c r="AJ513" s="66">
        <v>31650</v>
      </c>
      <c r="AM513"/>
      <c r="AO513"/>
      <c r="AP513"/>
      <c r="AQ513"/>
    </row>
    <row r="514" spans="1:43" ht="16" x14ac:dyDescent="0.35">
      <c r="A514" s="66"/>
      <c r="B514" s="66"/>
      <c r="C514" s="49"/>
      <c r="D514" s="49"/>
      <c r="E514" s="49" t="s">
        <v>509</v>
      </c>
      <c r="F514" s="49"/>
      <c r="G514" s="49"/>
      <c r="H514" s="63">
        <v>32596.51</v>
      </c>
      <c r="I514" s="63">
        <v>32227.24</v>
      </c>
      <c r="J514" s="64">
        <v>35370.050000000003</v>
      </c>
      <c r="K514" s="64">
        <v>32800</v>
      </c>
      <c r="L514" s="65">
        <v>38961.4</v>
      </c>
      <c r="M514" s="65">
        <v>35599</v>
      </c>
      <c r="N514" s="66">
        <f t="shared" si="246"/>
        <v>106927.96</v>
      </c>
      <c r="O514" s="66">
        <f t="shared" si="246"/>
        <v>100626.24000000001</v>
      </c>
      <c r="P514" s="69">
        <f t="shared" si="249"/>
        <v>35642.653333333335</v>
      </c>
      <c r="Q514" s="69">
        <f t="shared" si="249"/>
        <v>33542.080000000002</v>
      </c>
      <c r="R514" s="54"/>
      <c r="S514" s="49"/>
      <c r="T514" s="49"/>
      <c r="U514" s="49"/>
      <c r="V514" s="49"/>
      <c r="W514" s="49" t="s">
        <v>509</v>
      </c>
      <c r="X514" s="49"/>
      <c r="Y514" s="49"/>
      <c r="Z514" s="66">
        <v>50578</v>
      </c>
      <c r="AA514" s="140"/>
      <c r="AB514" s="66">
        <v>49805</v>
      </c>
      <c r="AC514" s="66">
        <v>49805</v>
      </c>
      <c r="AD514" s="66">
        <v>49805</v>
      </c>
      <c r="AE514" s="66">
        <v>49805</v>
      </c>
      <c r="AF514" s="66">
        <v>49805</v>
      </c>
      <c r="AG514" s="66">
        <f>ROUND(55578.03, -2)</f>
        <v>55600</v>
      </c>
      <c r="AH514" s="66">
        <f>ROUND(55578.03, -2)</f>
        <v>55600</v>
      </c>
      <c r="AI514" s="66">
        <f>ROUND(55578.03, -2)</f>
        <v>55600</v>
      </c>
      <c r="AJ514" s="66">
        <f>ROUND(55578.03, -2)</f>
        <v>55600</v>
      </c>
      <c r="AK514" s="206" t="s">
        <v>1000</v>
      </c>
      <c r="AL514" s="221" t="s">
        <v>980</v>
      </c>
      <c r="AM514"/>
      <c r="AO514"/>
      <c r="AP514"/>
      <c r="AQ514"/>
    </row>
    <row r="515" spans="1:43" x14ac:dyDescent="0.35">
      <c r="A515" s="66"/>
      <c r="B515" s="66"/>
      <c r="C515" s="49"/>
      <c r="D515" s="49"/>
      <c r="E515" s="49" t="s">
        <v>510</v>
      </c>
      <c r="F515" s="49"/>
      <c r="G515" s="49"/>
      <c r="H515" s="63"/>
      <c r="I515" s="63"/>
      <c r="J515" s="64"/>
      <c r="K515" s="64"/>
      <c r="L515" s="65"/>
      <c r="M515" s="65"/>
      <c r="N515" s="66"/>
      <c r="O515" s="66"/>
      <c r="P515" s="69"/>
      <c r="Q515" s="69"/>
      <c r="R515" s="54"/>
      <c r="S515" s="49"/>
      <c r="T515" s="49"/>
      <c r="U515" s="49"/>
      <c r="V515" s="49"/>
      <c r="W515" s="49" t="s">
        <v>510</v>
      </c>
      <c r="X515" s="49"/>
      <c r="Y515" s="49"/>
      <c r="Z515" s="66"/>
      <c r="AA515" s="140"/>
      <c r="AB515" s="66"/>
      <c r="AC515" s="66"/>
      <c r="AD515" s="66"/>
      <c r="AE515" s="66"/>
      <c r="AF515" s="66"/>
      <c r="AM515"/>
      <c r="AO515"/>
      <c r="AP515"/>
      <c r="AQ515"/>
    </row>
    <row r="516" spans="1:43" x14ac:dyDescent="0.35">
      <c r="A516" s="66"/>
      <c r="B516" s="66"/>
      <c r="C516" s="49"/>
      <c r="D516" s="49"/>
      <c r="E516" s="49"/>
      <c r="F516" s="49" t="s">
        <v>511</v>
      </c>
      <c r="G516" s="49"/>
      <c r="H516" s="63">
        <v>8700</v>
      </c>
      <c r="I516" s="63">
        <v>15000</v>
      </c>
      <c r="J516" s="64">
        <v>24061</v>
      </c>
      <c r="K516" s="64">
        <v>25000</v>
      </c>
      <c r="L516" s="65">
        <v>24976</v>
      </c>
      <c r="M516" s="65">
        <v>25000</v>
      </c>
      <c r="N516" s="66">
        <f t="shared" ref="N516:O532" si="250">ROUND(H516+J516+L516,5)</f>
        <v>57737</v>
      </c>
      <c r="O516" s="66">
        <f t="shared" si="250"/>
        <v>65000</v>
      </c>
      <c r="P516" s="69">
        <f t="shared" si="249"/>
        <v>19245.666666666668</v>
      </c>
      <c r="Q516" s="69">
        <f t="shared" si="249"/>
        <v>21666.666666666668</v>
      </c>
      <c r="R516" s="54"/>
      <c r="S516" s="49"/>
      <c r="T516" s="49"/>
      <c r="U516" s="49"/>
      <c r="V516" s="49"/>
      <c r="W516" s="49"/>
      <c r="X516" s="49" t="s">
        <v>511</v>
      </c>
      <c r="Y516" s="49"/>
      <c r="Z516" s="66">
        <v>25000</v>
      </c>
      <c r="AA516" s="140"/>
      <c r="AB516" s="66">
        <v>25000</v>
      </c>
      <c r="AC516" s="66">
        <v>20000</v>
      </c>
      <c r="AD516" s="66">
        <v>20000</v>
      </c>
      <c r="AE516" s="66">
        <v>20000</v>
      </c>
      <c r="AF516" s="66">
        <v>25000</v>
      </c>
      <c r="AG516" s="66">
        <v>25000</v>
      </c>
      <c r="AH516" s="66">
        <v>25000</v>
      </c>
      <c r="AI516" s="66">
        <v>25000</v>
      </c>
      <c r="AJ516" s="66">
        <v>25000</v>
      </c>
      <c r="AM516"/>
      <c r="AO516"/>
      <c r="AP516"/>
      <c r="AQ516"/>
    </row>
    <row r="517" spans="1:43" ht="29" x14ac:dyDescent="0.35">
      <c r="A517" s="66"/>
      <c r="B517" s="66"/>
      <c r="C517" s="49"/>
      <c r="D517" s="49"/>
      <c r="E517" s="49"/>
      <c r="F517" s="49" t="s">
        <v>512</v>
      </c>
      <c r="G517" s="49"/>
      <c r="H517" s="63">
        <v>968.76</v>
      </c>
      <c r="I517" s="63">
        <v>40000</v>
      </c>
      <c r="J517" s="64">
        <v>11604.98</v>
      </c>
      <c r="K517" s="64">
        <v>18000</v>
      </c>
      <c r="L517" s="65">
        <v>9768.11</v>
      </c>
      <c r="M517" s="65">
        <v>30000</v>
      </c>
      <c r="N517" s="66">
        <f t="shared" si="250"/>
        <v>22341.85</v>
      </c>
      <c r="O517" s="66">
        <f t="shared" si="250"/>
        <v>88000</v>
      </c>
      <c r="P517" s="69">
        <f t="shared" si="249"/>
        <v>7447.2833333333328</v>
      </c>
      <c r="Q517" s="69">
        <f t="shared" si="249"/>
        <v>29333.333333333332</v>
      </c>
      <c r="R517" s="54"/>
      <c r="S517" s="49"/>
      <c r="T517" s="49"/>
      <c r="U517" s="49"/>
      <c r="V517" s="49"/>
      <c r="W517" s="49"/>
      <c r="X517" s="49" t="s">
        <v>512</v>
      </c>
      <c r="Y517" s="49"/>
      <c r="Z517" s="66">
        <v>35000</v>
      </c>
      <c r="AA517" s="140"/>
      <c r="AB517" s="66">
        <v>20000</v>
      </c>
      <c r="AC517" s="66">
        <v>15000</v>
      </c>
      <c r="AD517" s="66">
        <v>15000</v>
      </c>
      <c r="AE517" s="66">
        <v>15000</v>
      </c>
      <c r="AF517" s="66">
        <v>20000</v>
      </c>
      <c r="AG517" s="66">
        <f>20000+3500</f>
        <v>23500</v>
      </c>
      <c r="AH517" s="66">
        <f>20000+3500</f>
        <v>23500</v>
      </c>
      <c r="AI517" s="66">
        <f>20000+3500</f>
        <v>23500</v>
      </c>
      <c r="AJ517" s="66">
        <f>20000+3500</f>
        <v>23500</v>
      </c>
      <c r="AK517" s="206" t="s">
        <v>1000</v>
      </c>
      <c r="AL517" s="221" t="s">
        <v>968</v>
      </c>
      <c r="AM517"/>
      <c r="AO517"/>
      <c r="AP517"/>
      <c r="AQ517"/>
    </row>
    <row r="518" spans="1:43" ht="16.5" thickBot="1" x14ac:dyDescent="0.4">
      <c r="A518" s="66"/>
      <c r="B518" s="66"/>
      <c r="C518" s="49"/>
      <c r="D518" s="49"/>
      <c r="E518" s="49"/>
      <c r="F518" s="49" t="s">
        <v>513</v>
      </c>
      <c r="G518" s="49"/>
      <c r="H518" s="70">
        <v>18640.98</v>
      </c>
      <c r="I518" s="70">
        <v>20000</v>
      </c>
      <c r="J518" s="71">
        <v>34056.79</v>
      </c>
      <c r="K518" s="71">
        <v>15000</v>
      </c>
      <c r="L518" s="72">
        <v>41936.720000000001</v>
      </c>
      <c r="M518" s="72">
        <v>20000</v>
      </c>
      <c r="N518" s="73">
        <f t="shared" si="250"/>
        <v>94634.49</v>
      </c>
      <c r="O518" s="73">
        <f t="shared" si="250"/>
        <v>55000</v>
      </c>
      <c r="P518" s="74">
        <f t="shared" si="249"/>
        <v>31544.83</v>
      </c>
      <c r="Q518" s="74">
        <f t="shared" si="249"/>
        <v>18333.333333333332</v>
      </c>
      <c r="R518" s="54"/>
      <c r="S518" s="49"/>
      <c r="T518" s="49"/>
      <c r="U518" s="49"/>
      <c r="V518" s="49"/>
      <c r="W518" s="49"/>
      <c r="X518" s="49" t="s">
        <v>513</v>
      </c>
      <c r="Y518" s="49"/>
      <c r="Z518" s="66">
        <v>30000</v>
      </c>
      <c r="AA518" s="140"/>
      <c r="AB518" s="66">
        <v>35000</v>
      </c>
      <c r="AC518" s="66">
        <v>30000</v>
      </c>
      <c r="AD518" s="66">
        <v>30000</v>
      </c>
      <c r="AE518" s="66">
        <v>30000</v>
      </c>
      <c r="AF518" s="66">
        <v>35000</v>
      </c>
      <c r="AG518" s="66">
        <f>35000+7000</f>
        <v>42000</v>
      </c>
      <c r="AH518" s="66">
        <f>35000+7000</f>
        <v>42000</v>
      </c>
      <c r="AI518" s="66">
        <f>35000+7000</f>
        <v>42000</v>
      </c>
      <c r="AJ518" s="66">
        <f>35000+7000</f>
        <v>42000</v>
      </c>
      <c r="AK518" s="206" t="s">
        <v>1000</v>
      </c>
      <c r="AL518" s="221" t="s">
        <v>982</v>
      </c>
      <c r="AM518"/>
      <c r="AO518"/>
      <c r="AP518"/>
      <c r="AQ518"/>
    </row>
    <row r="519" spans="1:43" ht="16.5" thickBot="1" x14ac:dyDescent="0.4">
      <c r="A519" s="66"/>
      <c r="B519" s="66"/>
      <c r="C519" s="49"/>
      <c r="D519" s="49"/>
      <c r="E519" s="49"/>
      <c r="F519" s="49"/>
      <c r="G519" s="49"/>
      <c r="H519" s="63"/>
      <c r="I519" s="63"/>
      <c r="J519" s="64"/>
      <c r="K519" s="64"/>
      <c r="L519" s="65"/>
      <c r="M519" s="65"/>
      <c r="N519" s="66"/>
      <c r="O519" s="66"/>
      <c r="P519" s="69"/>
      <c r="Q519" s="69"/>
      <c r="R519" s="54"/>
      <c r="S519" s="49"/>
      <c r="T519" s="49"/>
      <c r="U519" s="49"/>
      <c r="V519" s="49"/>
      <c r="W519" s="49"/>
      <c r="X519" s="49" t="s">
        <v>986</v>
      </c>
      <c r="Y519" s="49"/>
      <c r="Z519" s="73">
        <v>0</v>
      </c>
      <c r="AA519" s="140"/>
      <c r="AB519" s="73">
        <v>0</v>
      </c>
      <c r="AC519" s="73">
        <v>0</v>
      </c>
      <c r="AD519" s="73">
        <v>0</v>
      </c>
      <c r="AE519" s="73">
        <v>0</v>
      </c>
      <c r="AF519" s="73">
        <v>0</v>
      </c>
      <c r="AG519" s="73">
        <v>10000</v>
      </c>
      <c r="AH519" s="73">
        <v>10000</v>
      </c>
      <c r="AI519" s="73">
        <v>10000</v>
      </c>
      <c r="AJ519" s="73">
        <v>10000</v>
      </c>
      <c r="AK519" s="206" t="s">
        <v>1000</v>
      </c>
      <c r="AL519" s="221" t="s">
        <v>981</v>
      </c>
      <c r="AM519"/>
      <c r="AN519" s="111">
        <v>10000</v>
      </c>
      <c r="AO519"/>
      <c r="AP519"/>
      <c r="AQ519"/>
    </row>
    <row r="520" spans="1:43" x14ac:dyDescent="0.35">
      <c r="A520" s="66"/>
      <c r="B520" s="66"/>
      <c r="C520" s="49"/>
      <c r="D520" s="49"/>
      <c r="E520" s="49" t="s">
        <v>514</v>
      </c>
      <c r="F520" s="49"/>
      <c r="G520" s="49"/>
      <c r="H520" s="63">
        <f t="shared" ref="H520:M520" si="251">ROUND(SUM(H515:H518),5)</f>
        <v>28309.74</v>
      </c>
      <c r="I520" s="63">
        <f t="shared" si="251"/>
        <v>75000</v>
      </c>
      <c r="J520" s="64">
        <f t="shared" si="251"/>
        <v>69722.77</v>
      </c>
      <c r="K520" s="64">
        <f t="shared" si="251"/>
        <v>58000</v>
      </c>
      <c r="L520" s="65">
        <f t="shared" si="251"/>
        <v>76680.83</v>
      </c>
      <c r="M520" s="65">
        <f t="shared" si="251"/>
        <v>75000</v>
      </c>
      <c r="N520" s="66">
        <f t="shared" si="250"/>
        <v>174713.34</v>
      </c>
      <c r="O520" s="66">
        <f t="shared" si="250"/>
        <v>208000</v>
      </c>
      <c r="P520" s="69">
        <f t="shared" si="249"/>
        <v>58237.78</v>
      </c>
      <c r="Q520" s="69">
        <f t="shared" si="249"/>
        <v>69333.333333333328</v>
      </c>
      <c r="R520" s="54"/>
      <c r="S520" s="49"/>
      <c r="T520" s="49"/>
      <c r="U520" s="49"/>
      <c r="V520" s="49"/>
      <c r="W520" s="49" t="s">
        <v>514</v>
      </c>
      <c r="X520" s="49"/>
      <c r="Y520" s="49"/>
      <c r="Z520" s="66">
        <f>ROUND(SUM(Z515:Z518),5)</f>
        <v>90000</v>
      </c>
      <c r="AA520" s="140"/>
      <c r="AB520" s="66">
        <f t="shared" ref="AB520:AF520" si="252">ROUND(SUM(AB515:AB519),5)</f>
        <v>80000</v>
      </c>
      <c r="AC520" s="66">
        <f t="shared" si="252"/>
        <v>65000</v>
      </c>
      <c r="AD520" s="66">
        <f t="shared" si="252"/>
        <v>65000</v>
      </c>
      <c r="AE520" s="66">
        <f t="shared" si="252"/>
        <v>65000</v>
      </c>
      <c r="AF520" s="66">
        <f t="shared" si="252"/>
        <v>80000</v>
      </c>
      <c r="AG520" s="66">
        <f>ROUND(SUM(AG516:AG519),5)</f>
        <v>100500</v>
      </c>
      <c r="AH520" s="66">
        <f>ROUND(SUM(AH516:AH519),5)</f>
        <v>100500</v>
      </c>
      <c r="AI520" s="66">
        <f>ROUND(SUM(AI516:AI519),5)</f>
        <v>100500</v>
      </c>
      <c r="AJ520" s="66">
        <f>ROUND(SUM(AJ516:AJ519),5)</f>
        <v>100500</v>
      </c>
      <c r="AM520"/>
      <c r="AO520"/>
      <c r="AP520"/>
      <c r="AQ520"/>
    </row>
    <row r="521" spans="1:43" x14ac:dyDescent="0.35">
      <c r="A521" s="66"/>
      <c r="B521" s="66"/>
      <c r="C521" s="49"/>
      <c r="D521" s="49"/>
      <c r="E521" s="49" t="s">
        <v>515</v>
      </c>
      <c r="F521" s="49"/>
      <c r="G521" s="49"/>
      <c r="H521" s="63">
        <v>4964.49</v>
      </c>
      <c r="I521" s="63">
        <v>2000</v>
      </c>
      <c r="J521" s="64">
        <v>2885.14</v>
      </c>
      <c r="K521" s="64">
        <v>2880</v>
      </c>
      <c r="L521" s="65">
        <v>670.2</v>
      </c>
      <c r="M521" s="65">
        <v>3000</v>
      </c>
      <c r="N521" s="66">
        <f t="shared" si="250"/>
        <v>8519.83</v>
      </c>
      <c r="O521" s="66">
        <f t="shared" si="250"/>
        <v>7880</v>
      </c>
      <c r="P521" s="69">
        <f t="shared" si="249"/>
        <v>2839.9433333333332</v>
      </c>
      <c r="Q521" s="69">
        <f t="shared" si="249"/>
        <v>2626.6666666666665</v>
      </c>
      <c r="R521" s="54"/>
      <c r="S521" s="49"/>
      <c r="T521" s="49"/>
      <c r="U521" s="49"/>
      <c r="V521" s="49"/>
      <c r="W521" s="49" t="s">
        <v>515</v>
      </c>
      <c r="X521" s="49"/>
      <c r="Y521" s="49"/>
      <c r="Z521" s="66">
        <v>8000</v>
      </c>
      <c r="AA521" s="140"/>
      <c r="AB521" s="66">
        <v>2000</v>
      </c>
      <c r="AC521" s="66">
        <v>2000</v>
      </c>
      <c r="AD521" s="66">
        <v>2000</v>
      </c>
      <c r="AE521" s="66">
        <v>2000</v>
      </c>
      <c r="AF521" s="66">
        <v>2000</v>
      </c>
      <c r="AG521" s="66">
        <v>2000</v>
      </c>
      <c r="AH521" s="66">
        <v>2000</v>
      </c>
      <c r="AI521" s="66">
        <v>2000</v>
      </c>
      <c r="AJ521" s="66">
        <v>2000</v>
      </c>
      <c r="AM521"/>
      <c r="AO521"/>
      <c r="AP521"/>
      <c r="AQ521"/>
    </row>
    <row r="522" spans="1:43" ht="16" x14ac:dyDescent="0.35">
      <c r="A522" s="66"/>
      <c r="B522" s="66"/>
      <c r="C522" s="49"/>
      <c r="D522" s="49"/>
      <c r="E522" s="49" t="s">
        <v>516</v>
      </c>
      <c r="F522" s="49"/>
      <c r="G522" s="49"/>
      <c r="H522" s="63">
        <v>47274.94</v>
      </c>
      <c r="I522" s="63">
        <v>28524</v>
      </c>
      <c r="J522" s="64">
        <v>40863.71</v>
      </c>
      <c r="K522" s="64">
        <v>43665</v>
      </c>
      <c r="L522" s="65">
        <v>42646.15</v>
      </c>
      <c r="M522" s="65">
        <v>44757</v>
      </c>
      <c r="N522" s="66">
        <f t="shared" si="250"/>
        <v>130784.8</v>
      </c>
      <c r="O522" s="66">
        <f t="shared" si="250"/>
        <v>116946</v>
      </c>
      <c r="P522" s="69">
        <f t="shared" si="249"/>
        <v>43594.933333333334</v>
      </c>
      <c r="Q522" s="69">
        <f t="shared" si="249"/>
        <v>38982</v>
      </c>
      <c r="R522" s="54"/>
      <c r="S522" s="49"/>
      <c r="T522" s="49"/>
      <c r="U522" s="49"/>
      <c r="V522" s="49"/>
      <c r="W522" s="49" t="s">
        <v>516</v>
      </c>
      <c r="X522" s="49"/>
      <c r="Y522" s="49"/>
      <c r="Z522" s="66">
        <v>49516</v>
      </c>
      <c r="AA522" s="140"/>
      <c r="AB522" s="66">
        <v>82667.42</v>
      </c>
      <c r="AC522" s="66">
        <v>82667.42</v>
      </c>
      <c r="AD522" s="66">
        <v>82667.42</v>
      </c>
      <c r="AE522" s="66">
        <v>82667.42</v>
      </c>
      <c r="AF522" s="66">
        <v>82667.42</v>
      </c>
      <c r="AG522" s="66">
        <f>ROUND(82667.42, 0)</f>
        <v>82667</v>
      </c>
      <c r="AH522" s="66">
        <f>ROUND(82667.42, 0)</f>
        <v>82667</v>
      </c>
      <c r="AI522" s="66">
        <f>ROUND(82667.42, 0)</f>
        <v>82667</v>
      </c>
      <c r="AJ522" s="66">
        <f>ROUND(82667.42, 0)</f>
        <v>82667</v>
      </c>
      <c r="AK522" s="206" t="s">
        <v>1000</v>
      </c>
      <c r="AL522" s="221" t="s">
        <v>1001</v>
      </c>
      <c r="AM522"/>
      <c r="AO522"/>
      <c r="AP522"/>
      <c r="AQ522"/>
    </row>
    <row r="523" spans="1:43" ht="16" x14ac:dyDescent="0.35">
      <c r="A523" s="66"/>
      <c r="B523" s="66"/>
      <c r="C523" s="49"/>
      <c r="D523" s="49"/>
      <c r="E523" s="49" t="s">
        <v>517</v>
      </c>
      <c r="F523" s="49"/>
      <c r="G523" s="49"/>
      <c r="H523" s="63">
        <v>4530.93</v>
      </c>
      <c r="I523" s="63">
        <v>3000</v>
      </c>
      <c r="J523" s="64">
        <v>2569.27</v>
      </c>
      <c r="K523" s="64">
        <v>5000</v>
      </c>
      <c r="L523" s="65">
        <v>3451.72</v>
      </c>
      <c r="M523" s="65">
        <v>0</v>
      </c>
      <c r="N523" s="66">
        <f t="shared" si="250"/>
        <v>10551.92</v>
      </c>
      <c r="O523" s="66">
        <f t="shared" si="250"/>
        <v>8000</v>
      </c>
      <c r="P523" s="69">
        <f t="shared" si="249"/>
        <v>3517.3066666666668</v>
      </c>
      <c r="Q523" s="69">
        <f t="shared" si="249"/>
        <v>2666.6666666666665</v>
      </c>
      <c r="R523" s="54"/>
      <c r="S523" s="49"/>
      <c r="T523" s="49"/>
      <c r="U523" s="49"/>
      <c r="V523" s="49"/>
      <c r="W523" s="49" t="s">
        <v>517</v>
      </c>
      <c r="X523" s="49"/>
      <c r="Y523" s="49"/>
      <c r="Z523" s="66">
        <v>3000</v>
      </c>
      <c r="AA523" s="140"/>
      <c r="AB523" s="66">
        <v>2000</v>
      </c>
      <c r="AC523" s="66">
        <v>2000</v>
      </c>
      <c r="AD523" s="66">
        <v>2000</v>
      </c>
      <c r="AE523" s="66">
        <v>0</v>
      </c>
      <c r="AF523" s="66">
        <v>0</v>
      </c>
      <c r="AG523" s="66">
        <v>3000</v>
      </c>
      <c r="AH523" s="66">
        <v>3000</v>
      </c>
      <c r="AI523" s="66">
        <v>3000</v>
      </c>
      <c r="AJ523" s="66">
        <v>3000</v>
      </c>
      <c r="AK523" s="206" t="s">
        <v>1000</v>
      </c>
      <c r="AM523"/>
      <c r="AO523"/>
      <c r="AP523"/>
      <c r="AQ523"/>
    </row>
    <row r="524" spans="1:43" x14ac:dyDescent="0.35">
      <c r="A524" s="66"/>
      <c r="B524" s="66"/>
      <c r="C524" s="49"/>
      <c r="D524" s="49"/>
      <c r="E524" s="49" t="s">
        <v>518</v>
      </c>
      <c r="F524" s="49"/>
      <c r="G524" s="49"/>
      <c r="H524" s="63">
        <v>898.07</v>
      </c>
      <c r="I524" s="63">
        <v>2000</v>
      </c>
      <c r="J524" s="64">
        <v>386.15</v>
      </c>
      <c r="K524" s="64">
        <v>1000</v>
      </c>
      <c r="L524" s="65">
        <v>324.02999999999997</v>
      </c>
      <c r="M524" s="65">
        <v>1000</v>
      </c>
      <c r="N524" s="66">
        <f t="shared" si="250"/>
        <v>1608.25</v>
      </c>
      <c r="O524" s="66">
        <f t="shared" si="250"/>
        <v>4000</v>
      </c>
      <c r="P524" s="69">
        <f t="shared" si="249"/>
        <v>536.08333333333337</v>
      </c>
      <c r="Q524" s="69">
        <f t="shared" si="249"/>
        <v>1333.3333333333333</v>
      </c>
      <c r="R524" s="54"/>
      <c r="S524" s="49"/>
      <c r="T524" s="49"/>
      <c r="U524" s="49"/>
      <c r="V524" s="49"/>
      <c r="W524" s="49" t="s">
        <v>518</v>
      </c>
      <c r="X524" s="49"/>
      <c r="Y524" s="49"/>
      <c r="Z524" s="66">
        <v>1000</v>
      </c>
      <c r="AA524" s="140"/>
      <c r="AB524" s="66">
        <v>1000</v>
      </c>
      <c r="AC524" s="66">
        <v>1000</v>
      </c>
      <c r="AD524" s="66">
        <v>1000</v>
      </c>
      <c r="AE524" s="66">
        <v>1000</v>
      </c>
      <c r="AF524" s="66">
        <v>1000</v>
      </c>
      <c r="AG524" s="66">
        <v>1000</v>
      </c>
      <c r="AH524" s="66">
        <v>1000</v>
      </c>
      <c r="AI524" s="66">
        <v>1000</v>
      </c>
      <c r="AJ524" s="66">
        <v>1000</v>
      </c>
      <c r="AM524"/>
      <c r="AO524"/>
      <c r="AP524"/>
      <c r="AQ524"/>
    </row>
    <row r="525" spans="1:43" x14ac:dyDescent="0.35">
      <c r="A525" s="66"/>
      <c r="B525" s="66"/>
      <c r="C525" s="49"/>
      <c r="D525" s="49"/>
      <c r="E525" s="49" t="s">
        <v>519</v>
      </c>
      <c r="F525" s="49"/>
      <c r="G525" s="49"/>
      <c r="H525" s="63">
        <v>0</v>
      </c>
      <c r="I525" s="63"/>
      <c r="J525" s="64">
        <v>0</v>
      </c>
      <c r="K525" s="64"/>
      <c r="L525" s="65">
        <v>86.03</v>
      </c>
      <c r="M525" s="65"/>
      <c r="N525" s="66">
        <f t="shared" si="250"/>
        <v>86.03</v>
      </c>
      <c r="O525" s="66"/>
      <c r="P525" s="69">
        <f t="shared" si="249"/>
        <v>28.676666666666666</v>
      </c>
      <c r="Q525" s="69">
        <f t="shared" si="249"/>
        <v>0</v>
      </c>
      <c r="R525" s="54"/>
      <c r="S525" s="49"/>
      <c r="T525" s="49"/>
      <c r="U525" s="49"/>
      <c r="V525" s="49"/>
      <c r="W525" s="49" t="s">
        <v>519</v>
      </c>
      <c r="X525" s="49"/>
      <c r="Y525" s="49"/>
      <c r="Z525" s="66">
        <v>0</v>
      </c>
      <c r="AA525" s="140"/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H525" s="66">
        <v>0</v>
      </c>
      <c r="AI525" s="66">
        <v>0</v>
      </c>
      <c r="AJ525" s="66">
        <v>0</v>
      </c>
      <c r="AM525"/>
      <c r="AO525"/>
      <c r="AP525"/>
      <c r="AQ525"/>
    </row>
    <row r="526" spans="1:43" x14ac:dyDescent="0.35">
      <c r="A526" s="66"/>
      <c r="B526" s="66"/>
      <c r="C526" s="49"/>
      <c r="D526" s="49"/>
      <c r="E526" s="49" t="s">
        <v>520</v>
      </c>
      <c r="F526" s="49"/>
      <c r="G526" s="49"/>
      <c r="H526" s="63">
        <v>22781.57</v>
      </c>
      <c r="I526" s="63">
        <v>20000</v>
      </c>
      <c r="J526" s="64">
        <v>23123.1</v>
      </c>
      <c r="K526" s="64">
        <v>15000</v>
      </c>
      <c r="L526" s="65">
        <v>27051.87</v>
      </c>
      <c r="M526" s="65">
        <v>15000</v>
      </c>
      <c r="N526" s="66">
        <f t="shared" si="250"/>
        <v>72956.539999999994</v>
      </c>
      <c r="O526" s="66">
        <f t="shared" si="250"/>
        <v>50000</v>
      </c>
      <c r="P526" s="69">
        <f t="shared" si="249"/>
        <v>24318.846666666665</v>
      </c>
      <c r="Q526" s="69">
        <f t="shared" si="249"/>
        <v>16666.666666666668</v>
      </c>
      <c r="R526" s="54"/>
      <c r="S526" s="49"/>
      <c r="T526" s="49"/>
      <c r="U526" s="49"/>
      <c r="V526" s="49"/>
      <c r="W526" s="49" t="s">
        <v>520</v>
      </c>
      <c r="X526" s="49"/>
      <c r="Y526" s="49"/>
      <c r="Z526" s="66">
        <v>17000</v>
      </c>
      <c r="AA526" s="140"/>
      <c r="AB526" s="66">
        <v>22000</v>
      </c>
      <c r="AC526" s="66">
        <v>22000</v>
      </c>
      <c r="AD526" s="66">
        <v>22000</v>
      </c>
      <c r="AE526" s="66">
        <v>22000</v>
      </c>
      <c r="AF526" s="66">
        <v>22000</v>
      </c>
      <c r="AG526" s="66">
        <v>22000</v>
      </c>
      <c r="AH526" s="66">
        <v>22000</v>
      </c>
      <c r="AI526" s="66">
        <v>22000</v>
      </c>
      <c r="AJ526" s="66">
        <v>22000</v>
      </c>
      <c r="AM526"/>
      <c r="AO526"/>
      <c r="AP526"/>
      <c r="AQ526"/>
    </row>
    <row r="527" spans="1:43" x14ac:dyDescent="0.35">
      <c r="A527" s="66"/>
      <c r="B527" s="66"/>
      <c r="C527" s="49"/>
      <c r="D527" s="49"/>
      <c r="E527" s="49" t="s">
        <v>521</v>
      </c>
      <c r="F527" s="49"/>
      <c r="G527" s="49"/>
      <c r="H527" s="63">
        <v>207.16</v>
      </c>
      <c r="I527" s="63">
        <v>1700</v>
      </c>
      <c r="J527" s="64">
        <v>485.58</v>
      </c>
      <c r="K527" s="64">
        <v>1100</v>
      </c>
      <c r="L527" s="65">
        <v>90.48</v>
      </c>
      <c r="M527" s="65">
        <v>1000</v>
      </c>
      <c r="N527" s="66">
        <f t="shared" si="250"/>
        <v>783.22</v>
      </c>
      <c r="O527" s="66">
        <f t="shared" si="250"/>
        <v>3800</v>
      </c>
      <c r="P527" s="69">
        <f t="shared" si="249"/>
        <v>261.07333333333332</v>
      </c>
      <c r="Q527" s="69">
        <f t="shared" si="249"/>
        <v>1266.6666666666667</v>
      </c>
      <c r="R527" s="54"/>
      <c r="S527" s="49"/>
      <c r="T527" s="49"/>
      <c r="U527" s="49"/>
      <c r="V527" s="49"/>
      <c r="W527" s="49" t="s">
        <v>521</v>
      </c>
      <c r="X527" s="49"/>
      <c r="Y527" s="49"/>
      <c r="Z527" s="66">
        <v>1000</v>
      </c>
      <c r="AA527" s="140"/>
      <c r="AB527" s="66">
        <v>1000</v>
      </c>
      <c r="AC527" s="66">
        <v>1000</v>
      </c>
      <c r="AD527" s="66">
        <v>1000</v>
      </c>
      <c r="AE527" s="66">
        <v>1000</v>
      </c>
      <c r="AF527" s="66">
        <v>1000</v>
      </c>
      <c r="AG527" s="66">
        <v>1000</v>
      </c>
      <c r="AH527" s="66">
        <v>1000</v>
      </c>
      <c r="AI527" s="66">
        <v>1000</v>
      </c>
      <c r="AJ527" s="66">
        <v>1000</v>
      </c>
      <c r="AM527"/>
      <c r="AO527"/>
      <c r="AP527"/>
      <c r="AQ527"/>
    </row>
    <row r="528" spans="1:43" x14ac:dyDescent="0.35">
      <c r="A528" s="66"/>
      <c r="B528" s="66"/>
      <c r="C528" s="49"/>
      <c r="D528" s="49"/>
      <c r="E528" s="49" t="s">
        <v>522</v>
      </c>
      <c r="F528" s="49"/>
      <c r="G528" s="49"/>
      <c r="H528" s="63">
        <v>39999.96</v>
      </c>
      <c r="I528" s="63">
        <v>40000</v>
      </c>
      <c r="J528" s="64">
        <v>39999.96</v>
      </c>
      <c r="K528" s="64">
        <v>37800</v>
      </c>
      <c r="L528" s="65">
        <v>39999.96</v>
      </c>
      <c r="M528" s="65">
        <v>41000</v>
      </c>
      <c r="N528" s="66">
        <f t="shared" si="250"/>
        <v>119999.88</v>
      </c>
      <c r="O528" s="66">
        <f t="shared" si="250"/>
        <v>118800</v>
      </c>
      <c r="P528" s="69">
        <f t="shared" si="249"/>
        <v>39999.96</v>
      </c>
      <c r="Q528" s="69">
        <f t="shared" si="249"/>
        <v>39600</v>
      </c>
      <c r="R528" s="54"/>
      <c r="S528" s="49"/>
      <c r="T528" s="49"/>
      <c r="U528" s="49"/>
      <c r="V528" s="49"/>
      <c r="W528" s="49" t="s">
        <v>522</v>
      </c>
      <c r="X528" s="49"/>
      <c r="Y528" s="49"/>
      <c r="Z528" s="66">
        <v>42000</v>
      </c>
      <c r="AA528" s="140"/>
      <c r="AB528" s="66">
        <v>42000</v>
      </c>
      <c r="AC528" s="66">
        <v>42000</v>
      </c>
      <c r="AD528" s="66">
        <v>42000</v>
      </c>
      <c r="AE528" s="66">
        <v>42000</v>
      </c>
      <c r="AF528" s="66">
        <v>42000</v>
      </c>
      <c r="AG528" s="66">
        <v>42000</v>
      </c>
      <c r="AH528" s="66">
        <v>42000</v>
      </c>
      <c r="AI528" s="66">
        <v>42000</v>
      </c>
      <c r="AJ528" s="66">
        <v>42000</v>
      </c>
      <c r="AM528"/>
      <c r="AO528"/>
      <c r="AP528"/>
      <c r="AQ528"/>
    </row>
    <row r="529" spans="1:43" x14ac:dyDescent="0.35">
      <c r="A529" s="66"/>
      <c r="B529" s="66"/>
      <c r="C529" s="49"/>
      <c r="D529" s="49"/>
      <c r="E529" s="49" t="s">
        <v>523</v>
      </c>
      <c r="F529" s="49"/>
      <c r="G529" s="49"/>
      <c r="H529" s="63">
        <v>2400</v>
      </c>
      <c r="I529" s="63">
        <v>2580</v>
      </c>
      <c r="J529" s="64">
        <v>3000</v>
      </c>
      <c r="K529" s="64">
        <v>2200</v>
      </c>
      <c r="L529" s="65">
        <v>2250</v>
      </c>
      <c r="M529" s="65">
        <v>3000</v>
      </c>
      <c r="N529" s="66">
        <f t="shared" si="250"/>
        <v>7650</v>
      </c>
      <c r="O529" s="66">
        <f t="shared" si="250"/>
        <v>7780</v>
      </c>
      <c r="P529" s="69">
        <f t="shared" si="249"/>
        <v>2550</v>
      </c>
      <c r="Q529" s="69">
        <f t="shared" si="249"/>
        <v>2593.3333333333335</v>
      </c>
      <c r="R529" s="54"/>
      <c r="S529" s="49"/>
      <c r="T529" s="49"/>
      <c r="U529" s="49"/>
      <c r="V529" s="49"/>
      <c r="W529" s="49" t="s">
        <v>523</v>
      </c>
      <c r="X529" s="49"/>
      <c r="Y529" s="49"/>
      <c r="Z529" s="66">
        <v>3000</v>
      </c>
      <c r="AA529" s="140"/>
      <c r="AB529" s="66">
        <v>2500</v>
      </c>
      <c r="AC529" s="66">
        <v>2500</v>
      </c>
      <c r="AD529" s="66">
        <v>2500</v>
      </c>
      <c r="AE529" s="66">
        <v>2500</v>
      </c>
      <c r="AF529" s="66">
        <v>2500</v>
      </c>
      <c r="AG529" s="66">
        <v>2500</v>
      </c>
      <c r="AH529" s="66">
        <v>2500</v>
      </c>
      <c r="AI529" s="66">
        <v>2500</v>
      </c>
      <c r="AJ529" s="66">
        <v>2500</v>
      </c>
      <c r="AM529"/>
      <c r="AO529"/>
      <c r="AP529"/>
      <c r="AQ529"/>
    </row>
    <row r="530" spans="1:43" x14ac:dyDescent="0.35">
      <c r="A530" s="66"/>
      <c r="B530" s="66"/>
      <c r="C530" s="49"/>
      <c r="D530" s="49"/>
      <c r="E530" s="49" t="s">
        <v>524</v>
      </c>
      <c r="F530" s="49"/>
      <c r="G530" s="49"/>
      <c r="H530" s="63">
        <v>1650</v>
      </c>
      <c r="I530" s="63">
        <v>10000</v>
      </c>
      <c r="J530" s="64">
        <v>3475.37</v>
      </c>
      <c r="K530" s="64">
        <v>5000</v>
      </c>
      <c r="L530" s="65">
        <v>2086.8000000000002</v>
      </c>
      <c r="M530" s="65">
        <v>3000</v>
      </c>
      <c r="N530" s="66">
        <f t="shared" si="250"/>
        <v>7212.17</v>
      </c>
      <c r="O530" s="66">
        <f t="shared" si="250"/>
        <v>18000</v>
      </c>
      <c r="P530" s="69">
        <f t="shared" si="249"/>
        <v>2404.0566666666668</v>
      </c>
      <c r="Q530" s="69">
        <f t="shared" si="249"/>
        <v>6000</v>
      </c>
      <c r="R530" s="54"/>
      <c r="S530" s="49"/>
      <c r="T530" s="49"/>
      <c r="U530" s="49"/>
      <c r="V530" s="49"/>
      <c r="W530" s="49" t="s">
        <v>524</v>
      </c>
      <c r="X530" s="49"/>
      <c r="Y530" s="49"/>
      <c r="Z530" s="66">
        <v>3000</v>
      </c>
      <c r="AA530" s="140"/>
      <c r="AB530" s="66">
        <v>3000</v>
      </c>
      <c r="AC530" s="66">
        <v>3000</v>
      </c>
      <c r="AD530" s="66">
        <v>3000</v>
      </c>
      <c r="AE530" s="66">
        <v>3000</v>
      </c>
      <c r="AF530" s="66">
        <v>3000</v>
      </c>
      <c r="AG530" s="66">
        <v>3000</v>
      </c>
      <c r="AH530" s="66">
        <v>3000</v>
      </c>
      <c r="AI530" s="66">
        <v>3000</v>
      </c>
      <c r="AJ530" s="66">
        <v>3000</v>
      </c>
      <c r="AL530" s="110" t="s">
        <v>851</v>
      </c>
      <c r="AM530"/>
      <c r="AO530"/>
      <c r="AP530"/>
      <c r="AQ530"/>
    </row>
    <row r="531" spans="1:43" x14ac:dyDescent="0.35">
      <c r="A531" s="66"/>
      <c r="B531" s="66"/>
      <c r="C531" s="49"/>
      <c r="D531" s="49"/>
      <c r="E531" s="49" t="s">
        <v>525</v>
      </c>
      <c r="F531" s="49"/>
      <c r="G531" s="49"/>
      <c r="H531" s="63">
        <v>5295.35</v>
      </c>
      <c r="I531" s="63">
        <v>17000</v>
      </c>
      <c r="J531" s="64">
        <v>0</v>
      </c>
      <c r="K531" s="64">
        <v>0</v>
      </c>
      <c r="L531" s="65">
        <v>0</v>
      </c>
      <c r="M531" s="65"/>
      <c r="N531" s="66">
        <f t="shared" si="250"/>
        <v>5295.35</v>
      </c>
      <c r="O531" s="66">
        <f t="shared" si="250"/>
        <v>17000</v>
      </c>
      <c r="P531" s="69">
        <f t="shared" si="249"/>
        <v>1765.1166666666668</v>
      </c>
      <c r="Q531" s="69">
        <f t="shared" si="249"/>
        <v>5666.666666666667</v>
      </c>
      <c r="R531" s="54"/>
      <c r="S531" s="49"/>
      <c r="T531" s="49"/>
      <c r="U531" s="49"/>
      <c r="V531" s="49"/>
      <c r="W531" s="49" t="s">
        <v>525</v>
      </c>
      <c r="X531" s="49"/>
      <c r="Y531" s="49"/>
      <c r="Z531" s="66">
        <v>0</v>
      </c>
      <c r="AA531" s="140"/>
      <c r="AB531" s="66">
        <v>0</v>
      </c>
      <c r="AC531" s="66">
        <v>0</v>
      </c>
      <c r="AD531" s="66">
        <v>0</v>
      </c>
      <c r="AE531" s="66">
        <v>0</v>
      </c>
      <c r="AF531" s="66">
        <v>0</v>
      </c>
      <c r="AG531" s="66">
        <v>0</v>
      </c>
      <c r="AH531" s="66">
        <v>0</v>
      </c>
      <c r="AI531" s="66">
        <v>0</v>
      </c>
      <c r="AJ531" s="66">
        <v>0</v>
      </c>
      <c r="AM531"/>
      <c r="AO531"/>
      <c r="AP531"/>
      <c r="AQ531"/>
    </row>
    <row r="532" spans="1:43" x14ac:dyDescent="0.35">
      <c r="A532" s="66"/>
      <c r="B532" s="66"/>
      <c r="C532" s="49"/>
      <c r="D532" s="49"/>
      <c r="E532" s="49" t="s">
        <v>526</v>
      </c>
      <c r="F532" s="49"/>
      <c r="G532" s="49"/>
      <c r="H532" s="63">
        <v>65498.5</v>
      </c>
      <c r="I532" s="63">
        <v>38325</v>
      </c>
      <c r="J532" s="64">
        <v>65504.98</v>
      </c>
      <c r="K532" s="64">
        <v>55000</v>
      </c>
      <c r="L532" s="65">
        <v>112725.58</v>
      </c>
      <c r="M532" s="65">
        <v>69540</v>
      </c>
      <c r="N532" s="66">
        <f t="shared" si="250"/>
        <v>243729.06</v>
      </c>
      <c r="O532" s="66">
        <f t="shared" si="250"/>
        <v>162865</v>
      </c>
      <c r="P532" s="69">
        <f t="shared" si="249"/>
        <v>81243.02</v>
      </c>
      <c r="Q532" s="69">
        <f t="shared" si="249"/>
        <v>54288.333333333336</v>
      </c>
      <c r="R532" s="54"/>
      <c r="S532" s="49"/>
      <c r="T532" s="49"/>
      <c r="U532" s="49"/>
      <c r="V532" s="49"/>
      <c r="W532" s="49" t="s">
        <v>906</v>
      </c>
      <c r="X532" s="49"/>
      <c r="Y532" s="49"/>
      <c r="Z532" s="66">
        <v>45000</v>
      </c>
      <c r="AA532" s="140"/>
      <c r="AB532" s="66">
        <f t="shared" ref="AB532:AJ532" si="253">ROUND(42665.15, 0)</f>
        <v>42665</v>
      </c>
      <c r="AC532" s="66">
        <f t="shared" si="253"/>
        <v>42665</v>
      </c>
      <c r="AD532" s="66">
        <f t="shared" si="253"/>
        <v>42665</v>
      </c>
      <c r="AE532" s="66">
        <f t="shared" si="253"/>
        <v>42665</v>
      </c>
      <c r="AF532" s="66">
        <f t="shared" si="253"/>
        <v>42665</v>
      </c>
      <c r="AG532" s="66">
        <f t="shared" si="253"/>
        <v>42665</v>
      </c>
      <c r="AH532" s="66">
        <f t="shared" si="253"/>
        <v>42665</v>
      </c>
      <c r="AI532" s="66">
        <f t="shared" si="253"/>
        <v>42665</v>
      </c>
      <c r="AJ532" s="66">
        <f t="shared" si="253"/>
        <v>42665</v>
      </c>
      <c r="AM532"/>
      <c r="AO532"/>
      <c r="AP532"/>
      <c r="AQ532"/>
    </row>
    <row r="533" spans="1:43" x14ac:dyDescent="0.35">
      <c r="A533" s="66"/>
      <c r="B533" s="66"/>
      <c r="C533" s="49"/>
      <c r="D533" s="49"/>
      <c r="E533" s="49" t="s">
        <v>527</v>
      </c>
      <c r="F533" s="49"/>
      <c r="G533" s="49"/>
      <c r="H533" s="63">
        <v>4664.29</v>
      </c>
      <c r="I533" s="63">
        <v>2716.8</v>
      </c>
      <c r="J533" s="64">
        <v>3018.33</v>
      </c>
      <c r="K533" s="64">
        <v>4360</v>
      </c>
      <c r="L533" s="65">
        <v>4947.66</v>
      </c>
      <c r="M533" s="65">
        <v>5328</v>
      </c>
      <c r="N533" s="66">
        <f t="shared" ref="N533:O544" si="254">ROUND(H533+J533+L533,5)</f>
        <v>12630.28</v>
      </c>
      <c r="O533" s="66">
        <f t="shared" si="254"/>
        <v>12404.8</v>
      </c>
      <c r="P533" s="69">
        <f t="shared" si="249"/>
        <v>4210.0933333333332</v>
      </c>
      <c r="Q533" s="69">
        <f t="shared" si="249"/>
        <v>4134.9333333333334</v>
      </c>
      <c r="R533" s="54"/>
      <c r="S533" s="49"/>
      <c r="T533" s="49"/>
      <c r="U533" s="49"/>
      <c r="V533" s="49"/>
      <c r="W533" s="49" t="s">
        <v>527</v>
      </c>
      <c r="X533" s="49"/>
      <c r="Y533" s="49"/>
      <c r="Z533" s="66">
        <v>5027</v>
      </c>
      <c r="AA533" s="140"/>
      <c r="AB533" s="66">
        <v>6033.32</v>
      </c>
      <c r="AC533" s="66">
        <v>6033.32</v>
      </c>
      <c r="AD533" s="66">
        <v>6033.32</v>
      </c>
      <c r="AE533" s="66">
        <v>6033.32</v>
      </c>
      <c r="AF533" s="66">
        <v>6033.32</v>
      </c>
      <c r="AG533" s="66">
        <f>ROUND(6033.32, 0)</f>
        <v>6033</v>
      </c>
      <c r="AH533" s="66">
        <f>ROUND(6033.32, 0)</f>
        <v>6033</v>
      </c>
      <c r="AI533" s="66">
        <f>ROUND(6033.32, 0)</f>
        <v>6033</v>
      </c>
      <c r="AJ533" s="66">
        <f>ROUND(6033.32, 0)</f>
        <v>6033</v>
      </c>
      <c r="AM533"/>
      <c r="AO533"/>
      <c r="AP533"/>
      <c r="AQ533"/>
    </row>
    <row r="534" spans="1:43" ht="29" x14ac:dyDescent="0.35">
      <c r="A534" s="66"/>
      <c r="B534" s="66"/>
      <c r="C534" s="49"/>
      <c r="D534" s="49"/>
      <c r="E534" s="49" t="s">
        <v>528</v>
      </c>
      <c r="F534" s="49"/>
      <c r="G534" s="49"/>
      <c r="H534" s="63">
        <v>4727</v>
      </c>
      <c r="I534" s="63">
        <v>4572</v>
      </c>
      <c r="J534" s="64">
        <v>5187</v>
      </c>
      <c r="K534" s="64">
        <v>4900</v>
      </c>
      <c r="L534" s="65">
        <v>3671</v>
      </c>
      <c r="M534" s="65">
        <v>5431</v>
      </c>
      <c r="N534" s="66">
        <f t="shared" si="254"/>
        <v>13585</v>
      </c>
      <c r="O534" s="66">
        <f t="shared" si="254"/>
        <v>14903</v>
      </c>
      <c r="P534" s="69">
        <f t="shared" si="249"/>
        <v>4528.333333333333</v>
      </c>
      <c r="Q534" s="69">
        <f t="shared" si="249"/>
        <v>4967.666666666667</v>
      </c>
      <c r="R534" s="54"/>
      <c r="S534" s="49"/>
      <c r="T534" s="49"/>
      <c r="U534" s="49"/>
      <c r="V534" s="49"/>
      <c r="W534" s="49" t="s">
        <v>528</v>
      </c>
      <c r="X534" s="49"/>
      <c r="Y534" s="49"/>
      <c r="Z534" s="66">
        <v>3132</v>
      </c>
      <c r="AA534" s="140"/>
      <c r="AB534" s="66">
        <f t="shared" ref="AB534:AF534" si="255">ROUND(3414.6, 0)</f>
        <v>3415</v>
      </c>
      <c r="AC534" s="66">
        <f t="shared" si="255"/>
        <v>3415</v>
      </c>
      <c r="AD534" s="66">
        <f t="shared" si="255"/>
        <v>3415</v>
      </c>
      <c r="AE534" s="66">
        <f t="shared" si="255"/>
        <v>3415</v>
      </c>
      <c r="AF534" s="66">
        <f t="shared" si="255"/>
        <v>3415</v>
      </c>
      <c r="AG534" s="66">
        <v>3415</v>
      </c>
      <c r="AH534" s="66">
        <v>3415</v>
      </c>
      <c r="AI534" s="66">
        <v>3415</v>
      </c>
      <c r="AJ534" s="66">
        <v>3415</v>
      </c>
      <c r="AL534" s="220" t="s">
        <v>993</v>
      </c>
      <c r="AM534"/>
      <c r="AO534"/>
      <c r="AP534"/>
      <c r="AQ534"/>
    </row>
    <row r="535" spans="1:43" x14ac:dyDescent="0.35">
      <c r="A535" s="66"/>
      <c r="B535" s="66"/>
      <c r="C535" s="49"/>
      <c r="D535" s="49"/>
      <c r="E535" s="49" t="s">
        <v>529</v>
      </c>
      <c r="F535" s="49"/>
      <c r="G535" s="49"/>
      <c r="H535" s="63">
        <v>89.42</v>
      </c>
      <c r="I535" s="63">
        <v>5000</v>
      </c>
      <c r="J535" s="64">
        <v>12728.53</v>
      </c>
      <c r="K535" s="64">
        <v>0</v>
      </c>
      <c r="L535" s="65">
        <v>0</v>
      </c>
      <c r="M535" s="65">
        <v>0</v>
      </c>
      <c r="N535" s="66">
        <f t="shared" si="254"/>
        <v>12817.95</v>
      </c>
      <c r="O535" s="66">
        <f t="shared" si="254"/>
        <v>5000</v>
      </c>
      <c r="P535" s="69">
        <f t="shared" si="249"/>
        <v>4272.6500000000005</v>
      </c>
      <c r="Q535" s="69">
        <f t="shared" si="249"/>
        <v>1666.6666666666667</v>
      </c>
      <c r="R535" s="54"/>
      <c r="S535" s="49"/>
      <c r="T535" s="49"/>
      <c r="U535" s="49"/>
      <c r="V535" s="49"/>
      <c r="W535" s="49" t="s">
        <v>529</v>
      </c>
      <c r="X535" s="49"/>
      <c r="Y535" s="49"/>
      <c r="Z535" s="66">
        <v>5000</v>
      </c>
      <c r="AA535" s="140"/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0</v>
      </c>
      <c r="AI535" s="66">
        <v>0</v>
      </c>
      <c r="AJ535" s="66">
        <v>0</v>
      </c>
      <c r="AL535" s="220" t="s">
        <v>983</v>
      </c>
      <c r="AM535"/>
      <c r="AO535"/>
      <c r="AP535"/>
      <c r="AQ535"/>
    </row>
    <row r="536" spans="1:43" x14ac:dyDescent="0.35">
      <c r="A536" s="66"/>
      <c r="B536" s="66"/>
      <c r="C536" s="49"/>
      <c r="D536" s="49"/>
      <c r="E536" s="49" t="s">
        <v>530</v>
      </c>
      <c r="F536" s="49"/>
      <c r="G536" s="49"/>
      <c r="H536" s="63">
        <v>3574.34</v>
      </c>
      <c r="I536" s="63">
        <v>4992</v>
      </c>
      <c r="J536" s="64">
        <v>3364.92</v>
      </c>
      <c r="K536" s="64">
        <v>5562</v>
      </c>
      <c r="L536" s="65">
        <v>2926.66</v>
      </c>
      <c r="M536" s="65">
        <v>5000</v>
      </c>
      <c r="N536" s="66">
        <f t="shared" si="254"/>
        <v>9865.92</v>
      </c>
      <c r="O536" s="66">
        <f t="shared" si="254"/>
        <v>15554</v>
      </c>
      <c r="P536" s="69">
        <f t="shared" si="249"/>
        <v>3288.64</v>
      </c>
      <c r="Q536" s="69">
        <f t="shared" si="249"/>
        <v>5184.666666666667</v>
      </c>
      <c r="R536" s="54"/>
      <c r="S536" s="49"/>
      <c r="T536" s="49"/>
      <c r="U536" s="49"/>
      <c r="V536" s="49"/>
      <c r="W536" s="49" t="s">
        <v>530</v>
      </c>
      <c r="X536" s="49"/>
      <c r="Y536" s="49"/>
      <c r="Z536" s="66">
        <v>5000</v>
      </c>
      <c r="AA536" s="140"/>
      <c r="AB536" s="66">
        <v>4000</v>
      </c>
      <c r="AC536" s="66">
        <v>4000</v>
      </c>
      <c r="AD536" s="66">
        <v>4000</v>
      </c>
      <c r="AE536" s="66">
        <v>4000</v>
      </c>
      <c r="AF536" s="66">
        <v>4000</v>
      </c>
      <c r="AG536" s="66">
        <v>4000</v>
      </c>
      <c r="AH536" s="66">
        <v>4000</v>
      </c>
      <c r="AI536" s="66">
        <v>4000</v>
      </c>
      <c r="AJ536" s="66">
        <v>4000</v>
      </c>
      <c r="AM536"/>
      <c r="AO536"/>
      <c r="AP536"/>
      <c r="AQ536"/>
    </row>
    <row r="537" spans="1:43" x14ac:dyDescent="0.35">
      <c r="A537" s="66"/>
      <c r="B537" s="66"/>
      <c r="C537" s="49"/>
      <c r="D537" s="49"/>
      <c r="E537" s="49" t="s">
        <v>531</v>
      </c>
      <c r="F537" s="49"/>
      <c r="G537" s="49"/>
      <c r="H537" s="63">
        <v>10575.38</v>
      </c>
      <c r="I537" s="63">
        <v>11000</v>
      </c>
      <c r="J537" s="64">
        <v>7582.88</v>
      </c>
      <c r="K537" s="64">
        <v>11700</v>
      </c>
      <c r="L537" s="65">
        <v>8602.8799999999992</v>
      </c>
      <c r="M537" s="65">
        <v>10000</v>
      </c>
      <c r="N537" s="66">
        <f t="shared" si="254"/>
        <v>26761.14</v>
      </c>
      <c r="O537" s="66">
        <f t="shared" si="254"/>
        <v>32700</v>
      </c>
      <c r="P537" s="69">
        <f t="shared" si="249"/>
        <v>8920.3799999999992</v>
      </c>
      <c r="Q537" s="69">
        <f t="shared" si="249"/>
        <v>10900</v>
      </c>
      <c r="R537" s="54"/>
      <c r="S537" s="49"/>
      <c r="T537" s="49"/>
      <c r="U537" s="49"/>
      <c r="V537" s="49"/>
      <c r="W537" s="49" t="s">
        <v>531</v>
      </c>
      <c r="X537" s="49"/>
      <c r="Y537" s="49"/>
      <c r="Z537" s="66">
        <v>10000</v>
      </c>
      <c r="AA537" s="140"/>
      <c r="AB537" s="66">
        <v>9000</v>
      </c>
      <c r="AC537" s="66">
        <v>9000</v>
      </c>
      <c r="AD537" s="66">
        <v>9000</v>
      </c>
      <c r="AE537" s="66">
        <v>9000</v>
      </c>
      <c r="AF537" s="66">
        <v>9000</v>
      </c>
      <c r="AG537" s="66">
        <v>9000</v>
      </c>
      <c r="AH537" s="66">
        <v>9000</v>
      </c>
      <c r="AI537" s="66">
        <v>9000</v>
      </c>
      <c r="AJ537" s="66">
        <v>9000</v>
      </c>
      <c r="AM537"/>
      <c r="AO537"/>
      <c r="AP537"/>
      <c r="AQ537"/>
    </row>
    <row r="538" spans="1:43" x14ac:dyDescent="0.35">
      <c r="A538" s="66"/>
      <c r="B538" s="66"/>
      <c r="C538" s="49"/>
      <c r="D538" s="49"/>
      <c r="E538" s="49" t="s">
        <v>532</v>
      </c>
      <c r="F538" s="49"/>
      <c r="G538" s="49"/>
      <c r="H538" s="63">
        <v>3539.31</v>
      </c>
      <c r="I538" s="63">
        <v>3645</v>
      </c>
      <c r="J538" s="64">
        <v>3316.13</v>
      </c>
      <c r="K538" s="64">
        <v>3200</v>
      </c>
      <c r="L538" s="65">
        <v>3381.09</v>
      </c>
      <c r="M538" s="65">
        <v>3250</v>
      </c>
      <c r="N538" s="66">
        <f t="shared" si="254"/>
        <v>10236.530000000001</v>
      </c>
      <c r="O538" s="66">
        <f t="shared" si="254"/>
        <v>10095</v>
      </c>
      <c r="P538" s="69">
        <f t="shared" si="249"/>
        <v>3412.1766666666667</v>
      </c>
      <c r="Q538" s="69">
        <f t="shared" si="249"/>
        <v>3365</v>
      </c>
      <c r="R538" s="54"/>
      <c r="S538" s="49"/>
      <c r="T538" s="49"/>
      <c r="U538" s="49"/>
      <c r="V538" s="49"/>
      <c r="W538" s="49" t="s">
        <v>532</v>
      </c>
      <c r="X538" s="49"/>
      <c r="Y538" s="49"/>
      <c r="Z538" s="66">
        <v>3405</v>
      </c>
      <c r="AA538" s="140"/>
      <c r="AB538" s="66">
        <v>3050</v>
      </c>
      <c r="AC538" s="66">
        <v>3050</v>
      </c>
      <c r="AD538" s="66">
        <v>3050</v>
      </c>
      <c r="AE538" s="66">
        <v>3050</v>
      </c>
      <c r="AF538" s="66">
        <v>3050</v>
      </c>
      <c r="AG538" s="66">
        <v>3050</v>
      </c>
      <c r="AH538" s="66">
        <v>3050</v>
      </c>
      <c r="AI538" s="66">
        <v>3050</v>
      </c>
      <c r="AJ538" s="66">
        <v>3050</v>
      </c>
      <c r="AM538"/>
      <c r="AO538"/>
      <c r="AP538"/>
      <c r="AQ538"/>
    </row>
    <row r="539" spans="1:43" x14ac:dyDescent="0.35">
      <c r="A539" s="66"/>
      <c r="B539" s="66"/>
      <c r="C539" s="49"/>
      <c r="D539" s="49"/>
      <c r="E539" s="49" t="s">
        <v>533</v>
      </c>
      <c r="F539" s="49"/>
      <c r="G539" s="49"/>
      <c r="H539" s="63">
        <v>8875.7999999999993</v>
      </c>
      <c r="I539" s="63">
        <v>9376</v>
      </c>
      <c r="J539" s="64">
        <v>6026.59</v>
      </c>
      <c r="K539" s="64">
        <v>8800</v>
      </c>
      <c r="L539" s="65">
        <v>0</v>
      </c>
      <c r="M539" s="65">
        <v>0</v>
      </c>
      <c r="N539" s="66">
        <f t="shared" si="254"/>
        <v>14902.39</v>
      </c>
      <c r="O539" s="66">
        <f t="shared" si="254"/>
        <v>18176</v>
      </c>
      <c r="P539" s="69">
        <f t="shared" si="249"/>
        <v>4967.4633333333331</v>
      </c>
      <c r="Q539" s="69">
        <f t="shared" si="249"/>
        <v>6058.666666666667</v>
      </c>
      <c r="R539" s="54"/>
      <c r="S539" s="49"/>
      <c r="T539" s="49"/>
      <c r="U539" s="49"/>
      <c r="V539" s="49"/>
      <c r="W539" s="49" t="s">
        <v>533</v>
      </c>
      <c r="X539" s="49"/>
      <c r="Y539" s="49"/>
      <c r="Z539" s="66">
        <v>0</v>
      </c>
      <c r="AA539" s="140"/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0</v>
      </c>
      <c r="AI539" s="66">
        <v>0</v>
      </c>
      <c r="AJ539" s="66">
        <v>0</v>
      </c>
      <c r="AM539"/>
      <c r="AO539"/>
      <c r="AP539"/>
      <c r="AQ539"/>
    </row>
    <row r="540" spans="1:43" x14ac:dyDescent="0.35">
      <c r="A540" s="66"/>
      <c r="B540" s="66"/>
      <c r="C540" s="49"/>
      <c r="D540" s="49"/>
      <c r="E540" s="49" t="s">
        <v>534</v>
      </c>
      <c r="F540" s="49"/>
      <c r="G540" s="49"/>
      <c r="H540" s="63">
        <v>27953.49</v>
      </c>
      <c r="I540" s="63">
        <v>28074</v>
      </c>
      <c r="J540" s="64">
        <v>19873.310000000001</v>
      </c>
      <c r="K540" s="64">
        <v>17150</v>
      </c>
      <c r="L540" s="65">
        <v>19701.16</v>
      </c>
      <c r="M540" s="65">
        <v>19345</v>
      </c>
      <c r="N540" s="66">
        <f t="shared" si="254"/>
        <v>67527.960000000006</v>
      </c>
      <c r="O540" s="66">
        <f t="shared" si="254"/>
        <v>64569</v>
      </c>
      <c r="P540" s="69">
        <f t="shared" si="249"/>
        <v>22509.320000000003</v>
      </c>
      <c r="Q540" s="69">
        <f t="shared" si="249"/>
        <v>21523</v>
      </c>
      <c r="R540" s="54"/>
      <c r="S540" s="49"/>
      <c r="T540" s="49"/>
      <c r="U540" s="49"/>
      <c r="V540" s="49"/>
      <c r="W540" s="49" t="s">
        <v>534</v>
      </c>
      <c r="X540" s="49"/>
      <c r="Y540" s="49"/>
      <c r="Z540" s="66">
        <v>19503</v>
      </c>
      <c r="AA540" s="140"/>
      <c r="AB540" s="66">
        <v>20400</v>
      </c>
      <c r="AC540" s="66">
        <v>20400</v>
      </c>
      <c r="AD540" s="66">
        <v>20400</v>
      </c>
      <c r="AE540" s="66">
        <v>22860</v>
      </c>
      <c r="AF540" s="66">
        <v>22860</v>
      </c>
      <c r="AG540" s="66">
        <v>22860</v>
      </c>
      <c r="AH540" s="66">
        <v>22860</v>
      </c>
      <c r="AI540" s="66">
        <v>22860</v>
      </c>
      <c r="AJ540" s="66">
        <v>22860</v>
      </c>
      <c r="AM540"/>
      <c r="AO540"/>
      <c r="AP540"/>
      <c r="AQ540"/>
    </row>
    <row r="541" spans="1:43" x14ac:dyDescent="0.35">
      <c r="A541" s="66"/>
      <c r="B541" s="66"/>
      <c r="C541" s="49"/>
      <c r="D541" s="49"/>
      <c r="E541" s="49" t="s">
        <v>535</v>
      </c>
      <c r="F541" s="49"/>
      <c r="G541" s="49"/>
      <c r="H541" s="63">
        <v>0</v>
      </c>
      <c r="I541" s="63">
        <v>6000</v>
      </c>
      <c r="J541" s="64">
        <v>21228.95</v>
      </c>
      <c r="K541" s="64">
        <v>0</v>
      </c>
      <c r="L541" s="65">
        <v>47757.3</v>
      </c>
      <c r="M541" s="65">
        <v>3000</v>
      </c>
      <c r="N541" s="66">
        <f t="shared" si="254"/>
        <v>68986.25</v>
      </c>
      <c r="O541" s="66">
        <f t="shared" si="254"/>
        <v>9000</v>
      </c>
      <c r="P541" s="69">
        <f t="shared" si="249"/>
        <v>22995.416666666668</v>
      </c>
      <c r="Q541" s="69">
        <f t="shared" si="249"/>
        <v>3000</v>
      </c>
      <c r="R541" s="54"/>
      <c r="S541" s="49"/>
      <c r="T541" s="49"/>
      <c r="U541" s="49"/>
      <c r="V541" s="49"/>
      <c r="W541" s="49" t="s">
        <v>535</v>
      </c>
      <c r="X541" s="49"/>
      <c r="Y541" s="49"/>
      <c r="Z541" s="66">
        <v>3000</v>
      </c>
      <c r="AA541" s="140"/>
      <c r="AB541" s="66">
        <v>3000</v>
      </c>
      <c r="AC541" s="66">
        <v>3000</v>
      </c>
      <c r="AD541" s="66">
        <v>3000</v>
      </c>
      <c r="AE541" s="66">
        <v>3000</v>
      </c>
      <c r="AF541" s="66">
        <v>3000</v>
      </c>
      <c r="AG541" s="66">
        <v>3000</v>
      </c>
      <c r="AH541" s="66">
        <v>3000</v>
      </c>
      <c r="AI541" s="66">
        <v>3000</v>
      </c>
      <c r="AJ541" s="66">
        <v>3000</v>
      </c>
      <c r="AM541"/>
      <c r="AO541"/>
      <c r="AP541"/>
      <c r="AQ541"/>
    </row>
    <row r="542" spans="1:43" x14ac:dyDescent="0.35">
      <c r="A542" s="66"/>
      <c r="B542" s="66"/>
      <c r="C542" s="49"/>
      <c r="D542" s="49"/>
      <c r="E542" s="49" t="s">
        <v>536</v>
      </c>
      <c r="F542" s="49"/>
      <c r="G542" s="49"/>
      <c r="H542" s="63">
        <v>19982.650000000001</v>
      </c>
      <c r="I542" s="63">
        <v>32500</v>
      </c>
      <c r="J542" s="64">
        <v>16665.71</v>
      </c>
      <c r="K542" s="64">
        <v>34050</v>
      </c>
      <c r="L542" s="65">
        <v>22645.33</v>
      </c>
      <c r="M542" s="65">
        <v>35000</v>
      </c>
      <c r="N542" s="66">
        <f t="shared" si="254"/>
        <v>59293.69</v>
      </c>
      <c r="O542" s="66">
        <f t="shared" si="254"/>
        <v>101550</v>
      </c>
      <c r="P542" s="69">
        <f t="shared" si="249"/>
        <v>19764.563333333335</v>
      </c>
      <c r="Q542" s="69">
        <f t="shared" si="249"/>
        <v>33850</v>
      </c>
      <c r="R542" s="54"/>
      <c r="S542" s="49"/>
      <c r="T542" s="49"/>
      <c r="U542" s="49"/>
      <c r="V542" s="49"/>
      <c r="W542" s="49" t="s">
        <v>536</v>
      </c>
      <c r="X542" s="49"/>
      <c r="Y542" s="49"/>
      <c r="Z542" s="66">
        <v>35000</v>
      </c>
      <c r="AA542" s="140"/>
      <c r="AB542" s="66">
        <v>35000</v>
      </c>
      <c r="AC542" s="66">
        <v>30000</v>
      </c>
      <c r="AD542" s="66">
        <v>30000</v>
      </c>
      <c r="AE542" s="66">
        <v>30000</v>
      </c>
      <c r="AF542" s="66">
        <v>35000</v>
      </c>
      <c r="AG542" s="66">
        <v>35000</v>
      </c>
      <c r="AH542" s="66">
        <v>35000</v>
      </c>
      <c r="AI542" s="66">
        <v>35000</v>
      </c>
      <c r="AJ542" s="66">
        <v>35000</v>
      </c>
      <c r="AM542"/>
      <c r="AO542"/>
      <c r="AP542"/>
      <c r="AQ542"/>
    </row>
    <row r="543" spans="1:43" x14ac:dyDescent="0.35">
      <c r="A543" s="66"/>
      <c r="B543" s="66"/>
      <c r="C543" s="49"/>
      <c r="D543" s="49"/>
      <c r="E543" s="49" t="s">
        <v>537</v>
      </c>
      <c r="F543" s="49"/>
      <c r="G543" s="49"/>
      <c r="H543" s="63">
        <v>0</v>
      </c>
      <c r="I543" s="63"/>
      <c r="J543" s="64">
        <v>0</v>
      </c>
      <c r="K543" s="64"/>
      <c r="L543" s="65">
        <v>0</v>
      </c>
      <c r="M543" s="65"/>
      <c r="N543" s="66">
        <f t="shared" si="254"/>
        <v>0</v>
      </c>
      <c r="O543" s="66"/>
      <c r="P543" s="69">
        <f t="shared" si="249"/>
        <v>0</v>
      </c>
      <c r="Q543" s="69">
        <f t="shared" si="249"/>
        <v>0</v>
      </c>
      <c r="R543" s="54"/>
      <c r="S543" s="49"/>
      <c r="T543" s="49"/>
      <c r="U543" s="49"/>
      <c r="V543" s="49"/>
      <c r="W543" s="49" t="s">
        <v>537</v>
      </c>
      <c r="X543" s="49"/>
      <c r="Y543" s="49"/>
      <c r="Z543" s="66">
        <v>0</v>
      </c>
      <c r="AA543" s="140"/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H543" s="66">
        <v>0</v>
      </c>
      <c r="AI543" s="66">
        <v>0</v>
      </c>
      <c r="AJ543" s="66">
        <v>0</v>
      </c>
      <c r="AM543"/>
      <c r="AO543"/>
      <c r="AP543"/>
      <c r="AQ543"/>
    </row>
    <row r="544" spans="1:43" x14ac:dyDescent="0.35">
      <c r="A544" s="66"/>
      <c r="B544" s="66"/>
      <c r="C544" s="49"/>
      <c r="D544" s="49"/>
      <c r="E544" s="49" t="s">
        <v>538</v>
      </c>
      <c r="F544" s="49"/>
      <c r="G544" s="49"/>
      <c r="H544" s="63">
        <v>14880.27</v>
      </c>
      <c r="I544" s="63">
        <v>15000</v>
      </c>
      <c r="J544" s="64">
        <v>16092.2</v>
      </c>
      <c r="K544" s="64">
        <v>10000</v>
      </c>
      <c r="L544" s="65">
        <v>-1635.48</v>
      </c>
      <c r="M544" s="65">
        <v>10000</v>
      </c>
      <c r="N544" s="66">
        <f t="shared" si="254"/>
        <v>29336.99</v>
      </c>
      <c r="O544" s="66">
        <f>ROUND(I544+K544+M544,5)</f>
        <v>35000</v>
      </c>
      <c r="P544" s="69">
        <f t="shared" si="249"/>
        <v>9778.9966666666678</v>
      </c>
      <c r="Q544" s="69">
        <f t="shared" si="249"/>
        <v>11666.666666666666</v>
      </c>
      <c r="R544" s="54"/>
      <c r="S544" s="49"/>
      <c r="T544" s="49"/>
      <c r="U544" s="49"/>
      <c r="V544" s="49"/>
      <c r="W544" s="49" t="s">
        <v>538</v>
      </c>
      <c r="X544" s="49"/>
      <c r="Y544" s="49"/>
      <c r="Z544" s="66">
        <v>10000</v>
      </c>
      <c r="AA544" s="140"/>
      <c r="AB544" s="66">
        <v>10000</v>
      </c>
      <c r="AC544" s="66">
        <v>10000</v>
      </c>
      <c r="AD544" s="66">
        <v>10000</v>
      </c>
      <c r="AE544" s="66">
        <v>10000</v>
      </c>
      <c r="AF544" s="66">
        <v>10000</v>
      </c>
      <c r="AG544" s="66">
        <v>10000</v>
      </c>
      <c r="AH544" s="66">
        <v>10000</v>
      </c>
      <c r="AI544" s="66">
        <v>10000</v>
      </c>
      <c r="AJ544" s="66">
        <v>10000</v>
      </c>
      <c r="AM544"/>
      <c r="AO544"/>
      <c r="AP544"/>
      <c r="AQ544"/>
    </row>
    <row r="545" spans="1:43" x14ac:dyDescent="0.35">
      <c r="A545" s="66"/>
      <c r="B545" s="66"/>
      <c r="C545" s="49"/>
      <c r="D545" s="49"/>
      <c r="E545" s="49" t="s">
        <v>539</v>
      </c>
      <c r="F545" s="49"/>
      <c r="G545" s="49"/>
      <c r="H545" s="63"/>
      <c r="I545" s="63"/>
      <c r="J545" s="64"/>
      <c r="K545" s="64"/>
      <c r="L545" s="65"/>
      <c r="M545" s="65"/>
      <c r="N545" s="66"/>
      <c r="O545" s="66"/>
      <c r="P545" s="69"/>
      <c r="Q545" s="69"/>
      <c r="R545" s="54"/>
      <c r="S545" s="49"/>
      <c r="T545" s="49"/>
      <c r="U545" s="49"/>
      <c r="V545" s="49"/>
      <c r="W545" s="49" t="s">
        <v>539</v>
      </c>
      <c r="X545" s="49"/>
      <c r="Y545" s="49"/>
      <c r="Z545" s="66"/>
      <c r="AA545" s="140"/>
      <c r="AB545" s="66"/>
      <c r="AC545" s="66"/>
      <c r="AD545" s="66"/>
      <c r="AE545" s="66"/>
      <c r="AF545" s="66"/>
      <c r="AG545" s="66"/>
      <c r="AH545" s="66"/>
      <c r="AI545" s="66"/>
      <c r="AJ545" s="66"/>
      <c r="AM545"/>
      <c r="AO545"/>
      <c r="AP545"/>
      <c r="AQ545"/>
    </row>
    <row r="546" spans="1:43" x14ac:dyDescent="0.35">
      <c r="A546" s="66"/>
      <c r="B546" s="66"/>
      <c r="C546" s="49"/>
      <c r="D546" s="49"/>
      <c r="E546" s="49"/>
      <c r="F546" s="49" t="s">
        <v>540</v>
      </c>
      <c r="G546" s="49"/>
      <c r="H546" s="63">
        <v>11400</v>
      </c>
      <c r="I546" s="63">
        <v>11970</v>
      </c>
      <c r="J546" s="64">
        <v>11400</v>
      </c>
      <c r="K546" s="64">
        <v>11400</v>
      </c>
      <c r="L546" s="65">
        <v>11400</v>
      </c>
      <c r="M546" s="65">
        <v>11970</v>
      </c>
      <c r="N546" s="66">
        <f t="shared" ref="N546:O550" si="256">ROUND(H546+J546+L546,5)</f>
        <v>34200</v>
      </c>
      <c r="O546" s="66">
        <f t="shared" si="256"/>
        <v>35340</v>
      </c>
      <c r="P546" s="69">
        <f t="shared" si="249"/>
        <v>11400</v>
      </c>
      <c r="Q546" s="69">
        <f t="shared" si="249"/>
        <v>11780</v>
      </c>
      <c r="R546" s="54"/>
      <c r="S546" s="49"/>
      <c r="T546" s="49"/>
      <c r="U546" s="49"/>
      <c r="V546" s="49"/>
      <c r="W546" s="49"/>
      <c r="X546" s="49" t="s">
        <v>540</v>
      </c>
      <c r="Y546" s="49"/>
      <c r="Z546" s="66">
        <v>11970</v>
      </c>
      <c r="AA546" s="140"/>
      <c r="AB546" s="66">
        <v>11970</v>
      </c>
      <c r="AC546" s="66">
        <v>11970</v>
      </c>
      <c r="AD546" s="66">
        <v>11970</v>
      </c>
      <c r="AE546" s="66">
        <v>11970</v>
      </c>
      <c r="AF546" s="66">
        <v>11970</v>
      </c>
      <c r="AG546" s="66">
        <v>11970</v>
      </c>
      <c r="AH546" s="66">
        <v>11970</v>
      </c>
      <c r="AI546" s="66">
        <v>11970</v>
      </c>
      <c r="AJ546" s="66">
        <v>11970</v>
      </c>
      <c r="AM546"/>
      <c r="AO546"/>
      <c r="AP546"/>
      <c r="AQ546"/>
    </row>
    <row r="547" spans="1:43" x14ac:dyDescent="0.35">
      <c r="A547" s="66"/>
      <c r="B547" s="66"/>
      <c r="C547" s="49"/>
      <c r="D547" s="49"/>
      <c r="E547" s="49"/>
      <c r="F547" s="49" t="s">
        <v>541</v>
      </c>
      <c r="G547" s="49"/>
      <c r="H547" s="63">
        <v>20000</v>
      </c>
      <c r="I547" s="63">
        <v>20000</v>
      </c>
      <c r="J547" s="64">
        <v>20000.04</v>
      </c>
      <c r="K547" s="64">
        <v>20000</v>
      </c>
      <c r="L547" s="65">
        <v>20000.04</v>
      </c>
      <c r="M547" s="65">
        <v>20000</v>
      </c>
      <c r="N547" s="66">
        <f t="shared" si="256"/>
        <v>60000.08</v>
      </c>
      <c r="O547" s="66">
        <f t="shared" si="256"/>
        <v>60000</v>
      </c>
      <c r="P547" s="69">
        <f t="shared" si="249"/>
        <v>20000.026666666668</v>
      </c>
      <c r="Q547" s="69">
        <f t="shared" si="249"/>
        <v>20000</v>
      </c>
      <c r="R547" s="54"/>
      <c r="S547" s="49"/>
      <c r="T547" s="49"/>
      <c r="U547" s="49"/>
      <c r="V547" s="49"/>
      <c r="W547" s="49"/>
      <c r="X547" s="49" t="s">
        <v>541</v>
      </c>
      <c r="Y547" s="49"/>
      <c r="Z547" s="66">
        <v>21000</v>
      </c>
      <c r="AA547" s="140"/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H547" s="66">
        <v>0</v>
      </c>
      <c r="AI547" s="66">
        <v>0</v>
      </c>
      <c r="AJ547" s="66">
        <v>0</v>
      </c>
      <c r="AL547" s="220" t="s">
        <v>946</v>
      </c>
      <c r="AM547"/>
      <c r="AO547"/>
      <c r="AP547"/>
      <c r="AQ547"/>
    </row>
    <row r="548" spans="1:43" ht="16" thickBot="1" x14ac:dyDescent="0.4">
      <c r="A548" s="66"/>
      <c r="B548" s="66"/>
      <c r="C548" s="49"/>
      <c r="D548" s="49"/>
      <c r="E548" s="49"/>
      <c r="F548" s="49" t="s">
        <v>542</v>
      </c>
      <c r="G548" s="49"/>
      <c r="H548" s="70">
        <v>34792.800000000003</v>
      </c>
      <c r="I548" s="70">
        <v>34464</v>
      </c>
      <c r="J548" s="71">
        <v>36880.32</v>
      </c>
      <c r="K548" s="71">
        <v>32823.360000000001</v>
      </c>
      <c r="L548" s="72">
        <v>39093.120000000003</v>
      </c>
      <c r="M548" s="72">
        <v>38724.339999999997</v>
      </c>
      <c r="N548" s="73">
        <f t="shared" si="256"/>
        <v>110766.24</v>
      </c>
      <c r="O548" s="73">
        <f t="shared" si="256"/>
        <v>106011.7</v>
      </c>
      <c r="P548" s="74">
        <f t="shared" si="249"/>
        <v>36922.080000000002</v>
      </c>
      <c r="Q548" s="74">
        <f t="shared" si="249"/>
        <v>35337.23333333333</v>
      </c>
      <c r="R548" s="54"/>
      <c r="S548" s="49"/>
      <c r="T548" s="49"/>
      <c r="U548" s="49"/>
      <c r="V548" s="49"/>
      <c r="W548" s="49"/>
      <c r="X548" s="49" t="s">
        <v>542</v>
      </c>
      <c r="Y548" s="49"/>
      <c r="Z548" s="73">
        <v>41048</v>
      </c>
      <c r="AA548" s="140"/>
      <c r="AB548" s="73">
        <v>75353.289999999994</v>
      </c>
      <c r="AC548" s="73">
        <v>75353.289999999994</v>
      </c>
      <c r="AD548" s="73">
        <v>75353.289999999994</v>
      </c>
      <c r="AE548" s="73">
        <v>75353.289999999994</v>
      </c>
      <c r="AF548" s="73">
        <v>75353.289999999994</v>
      </c>
      <c r="AG548" s="73">
        <v>43000</v>
      </c>
      <c r="AH548" s="73">
        <v>43000</v>
      </c>
      <c r="AI548" s="73">
        <v>43000</v>
      </c>
      <c r="AJ548" s="73">
        <v>43000</v>
      </c>
      <c r="AM548"/>
      <c r="AO548"/>
      <c r="AP548"/>
      <c r="AQ548"/>
    </row>
    <row r="549" spans="1:43" ht="16" thickBot="1" x14ac:dyDescent="0.4">
      <c r="A549" s="66"/>
      <c r="B549" s="66"/>
      <c r="C549" s="49"/>
      <c r="D549" s="49"/>
      <c r="E549" s="49" t="s">
        <v>543</v>
      </c>
      <c r="F549" s="49"/>
      <c r="G549" s="49"/>
      <c r="H549" s="63">
        <f t="shared" ref="H549:M549" si="257">ROUND(SUM(H545:H548),5)</f>
        <v>66192.800000000003</v>
      </c>
      <c r="I549" s="63">
        <f t="shared" si="257"/>
        <v>66434</v>
      </c>
      <c r="J549" s="64">
        <f t="shared" si="257"/>
        <v>68280.36</v>
      </c>
      <c r="K549" s="64">
        <f t="shared" si="257"/>
        <v>64223.360000000001</v>
      </c>
      <c r="L549" s="65">
        <f t="shared" si="257"/>
        <v>70493.16</v>
      </c>
      <c r="M549" s="65">
        <f t="shared" si="257"/>
        <v>70694.34</v>
      </c>
      <c r="N549" s="66">
        <f t="shared" si="256"/>
        <v>204966.32</v>
      </c>
      <c r="O549" s="66">
        <f t="shared" si="256"/>
        <v>201351.7</v>
      </c>
      <c r="P549" s="69">
        <f t="shared" si="249"/>
        <v>68322.106666666674</v>
      </c>
      <c r="Q549" s="69">
        <f t="shared" si="249"/>
        <v>67117.233333333337</v>
      </c>
      <c r="R549" s="54"/>
      <c r="S549" s="49"/>
      <c r="T549" s="49"/>
      <c r="U549" s="49"/>
      <c r="V549" s="49"/>
      <c r="W549" s="49" t="s">
        <v>543</v>
      </c>
      <c r="X549" s="49"/>
      <c r="Y549" s="49"/>
      <c r="Z549" s="66">
        <f>ROUND(SUM(Z545:Z548),5)</f>
        <v>74018</v>
      </c>
      <c r="AA549" s="140"/>
      <c r="AB549" s="66">
        <f t="shared" ref="AB549:AI549" si="258">ROUND(SUM(AB545:AB548),5)</f>
        <v>87323.29</v>
      </c>
      <c r="AC549" s="66">
        <f t="shared" si="258"/>
        <v>87323.29</v>
      </c>
      <c r="AD549" s="66">
        <f t="shared" si="258"/>
        <v>87323.29</v>
      </c>
      <c r="AE549" s="66">
        <f t="shared" si="258"/>
        <v>87323.29</v>
      </c>
      <c r="AF549" s="66">
        <f t="shared" si="258"/>
        <v>87323.29</v>
      </c>
      <c r="AG549" s="66">
        <f t="shared" si="258"/>
        <v>54970</v>
      </c>
      <c r="AH549" s="66">
        <f t="shared" si="258"/>
        <v>54970</v>
      </c>
      <c r="AI549" s="66">
        <f t="shared" si="258"/>
        <v>54970</v>
      </c>
      <c r="AJ549" s="66">
        <f t="shared" ref="AJ549" si="259">ROUND(SUM(AJ545:AJ548),5)</f>
        <v>54970</v>
      </c>
      <c r="AM549"/>
      <c r="AO549"/>
      <c r="AP549"/>
      <c r="AQ549"/>
    </row>
    <row r="550" spans="1:43" x14ac:dyDescent="0.35">
      <c r="A550" s="66"/>
      <c r="B550" s="66"/>
      <c r="C550" s="49"/>
      <c r="D550" s="49" t="s">
        <v>544</v>
      </c>
      <c r="E550" s="49"/>
      <c r="F550" s="49"/>
      <c r="G550" s="49"/>
      <c r="H550" s="63">
        <f t="shared" ref="H550:M550" si="260">ROUND(SUM(H490:H514)+SUM(H520:H544)+SUM(H549:H549),5)</f>
        <v>820827.03</v>
      </c>
      <c r="I550" s="63">
        <f t="shared" si="260"/>
        <v>933251.5</v>
      </c>
      <c r="J550" s="64">
        <f t="shared" si="260"/>
        <v>885822.56</v>
      </c>
      <c r="K550" s="64">
        <f t="shared" si="260"/>
        <v>789393.59</v>
      </c>
      <c r="L550" s="65">
        <f t="shared" si="260"/>
        <v>1006470.26</v>
      </c>
      <c r="M550" s="65">
        <f t="shared" si="260"/>
        <v>900551.6</v>
      </c>
      <c r="N550" s="66">
        <f t="shared" si="256"/>
        <v>2713119.85</v>
      </c>
      <c r="O550" s="66">
        <f t="shared" si="256"/>
        <v>2623196.69</v>
      </c>
      <c r="P550" s="69">
        <f t="shared" si="249"/>
        <v>904373.28333333333</v>
      </c>
      <c r="Q550" s="69">
        <f t="shared" si="249"/>
        <v>874398.89666666661</v>
      </c>
      <c r="R550" s="54"/>
      <c r="S550" s="49"/>
      <c r="T550" s="49"/>
      <c r="U550" s="49"/>
      <c r="V550" s="49" t="s">
        <v>544</v>
      </c>
      <c r="W550" s="49"/>
      <c r="X550" s="49"/>
      <c r="Y550" s="49"/>
      <c r="Z550" s="78">
        <f>ROUND(SUM(Z490:Z514)+SUM(Z520:Z544)+SUM(Z549:Z549),5)</f>
        <v>979664.82</v>
      </c>
      <c r="AA550" s="140"/>
      <c r="AB550" s="91">
        <f t="shared" ref="AB550:AG550" si="261">ROUND(SUM(AB490:AB514)+SUM(AB520:AB544)+SUM(AB549:AB549),5)</f>
        <v>1013580.17</v>
      </c>
      <c r="AC550" s="91">
        <f t="shared" si="261"/>
        <v>983580.17</v>
      </c>
      <c r="AD550" s="91">
        <f t="shared" si="261"/>
        <v>986099.17</v>
      </c>
      <c r="AE550" s="91">
        <f t="shared" si="261"/>
        <v>985787.17</v>
      </c>
      <c r="AF550" s="91">
        <f t="shared" si="261"/>
        <v>1047700.03</v>
      </c>
      <c r="AG550" s="91">
        <f t="shared" si="261"/>
        <v>1086582</v>
      </c>
      <c r="AH550" s="91">
        <f t="shared" ref="AH550:AI550" si="262">ROUND(SUM(AH490:AH514)+SUM(AH520:AH544)+SUM(AH549:AH549),5)</f>
        <v>1068876.6299999999</v>
      </c>
      <c r="AI550" s="91">
        <f t="shared" si="262"/>
        <v>1066329.6299999999</v>
      </c>
      <c r="AJ550" s="91">
        <f t="shared" ref="AJ550" si="263">ROUND(SUM(AJ490:AJ514)+SUM(AJ520:AJ544)+SUM(AJ549:AJ549),5)</f>
        <v>1066465</v>
      </c>
      <c r="AM550"/>
      <c r="AO550"/>
      <c r="AP550"/>
      <c r="AQ550"/>
    </row>
    <row r="551" spans="1:43" x14ac:dyDescent="0.35">
      <c r="A551" s="66"/>
      <c r="B551" s="66"/>
      <c r="C551" s="49"/>
      <c r="D551" s="49" t="s">
        <v>545</v>
      </c>
      <c r="E551" s="49"/>
      <c r="F551" s="49"/>
      <c r="G551" s="49"/>
      <c r="H551" s="63"/>
      <c r="I551" s="63"/>
      <c r="J551" s="64"/>
      <c r="K551" s="64"/>
      <c r="L551" s="65"/>
      <c r="M551" s="65"/>
      <c r="N551" s="66"/>
      <c r="O551" s="66"/>
      <c r="P551" s="69"/>
      <c r="Q551" s="69"/>
      <c r="R551" s="54"/>
      <c r="S551" s="49"/>
      <c r="T551" s="49"/>
      <c r="U551" s="49"/>
      <c r="V551" s="49" t="s">
        <v>545</v>
      </c>
      <c r="W551" s="49"/>
      <c r="X551" s="49"/>
      <c r="Y551" s="49"/>
      <c r="Z551" s="66"/>
      <c r="AA551" s="140"/>
      <c r="AB551" s="66"/>
      <c r="AC551" s="66"/>
      <c r="AD551" s="66"/>
      <c r="AE551" s="66"/>
      <c r="AF551" s="66"/>
      <c r="AG551" s="66"/>
      <c r="AH551" s="66"/>
      <c r="AI551" s="66"/>
      <c r="AJ551" s="66"/>
    </row>
    <row r="552" spans="1:43" ht="16" thickBot="1" x14ac:dyDescent="0.4">
      <c r="A552" s="66"/>
      <c r="B552" s="66"/>
      <c r="C552" s="49"/>
      <c r="D552" s="49"/>
      <c r="E552" s="49" t="s">
        <v>546</v>
      </c>
      <c r="F552" s="49"/>
      <c r="G552" s="49"/>
      <c r="H552" s="63">
        <v>4568.2</v>
      </c>
      <c r="I552" s="63">
        <v>20000</v>
      </c>
      <c r="J552" s="64">
        <v>4000.49</v>
      </c>
      <c r="K552" s="64">
        <v>30000</v>
      </c>
      <c r="L552" s="65">
        <v>22812.77</v>
      </c>
      <c r="M552" s="65">
        <v>10000</v>
      </c>
      <c r="N552" s="66">
        <f t="shared" ref="N552:O555" si="264">ROUND(H552+J552+L552,5)</f>
        <v>31381.46</v>
      </c>
      <c r="O552" s="66">
        <f t="shared" si="264"/>
        <v>60000</v>
      </c>
      <c r="P552" s="69">
        <f t="shared" si="249"/>
        <v>10460.486666666666</v>
      </c>
      <c r="Q552" s="69">
        <f t="shared" si="249"/>
        <v>20000</v>
      </c>
      <c r="R552" s="54"/>
      <c r="S552" s="49"/>
      <c r="T552" s="49"/>
      <c r="U552" s="49"/>
      <c r="V552" s="49"/>
      <c r="W552" s="49" t="s">
        <v>546</v>
      </c>
      <c r="X552" s="49"/>
      <c r="Y552" s="49"/>
      <c r="Z552" s="66">
        <v>15000</v>
      </c>
      <c r="AA552" s="140"/>
      <c r="AB552" s="66">
        <v>10000</v>
      </c>
      <c r="AC552" s="66">
        <v>10000</v>
      </c>
      <c r="AD552" s="66">
        <v>10000</v>
      </c>
      <c r="AE552" s="66">
        <v>10000</v>
      </c>
      <c r="AF552" s="66">
        <v>10000</v>
      </c>
      <c r="AG552" s="66">
        <v>10000</v>
      </c>
      <c r="AH552" s="66">
        <v>10000</v>
      </c>
      <c r="AI552" s="66">
        <v>10000</v>
      </c>
      <c r="AJ552" s="66">
        <v>10000</v>
      </c>
    </row>
    <row r="553" spans="1:43" ht="16" thickBot="1" x14ac:dyDescent="0.4">
      <c r="A553" s="66"/>
      <c r="B553" s="66"/>
      <c r="C553" s="49"/>
      <c r="D553" s="49" t="s">
        <v>547</v>
      </c>
      <c r="E553" s="49"/>
      <c r="F553" s="49"/>
      <c r="G553" s="49"/>
      <c r="H553" s="75">
        <f t="shared" ref="H553:M553" si="265">ROUND(SUM(H551:H552),5)</f>
        <v>4568.2</v>
      </c>
      <c r="I553" s="75">
        <f t="shared" si="265"/>
        <v>20000</v>
      </c>
      <c r="J553" s="76">
        <f t="shared" si="265"/>
        <v>4000.49</v>
      </c>
      <c r="K553" s="76">
        <f t="shared" si="265"/>
        <v>30000</v>
      </c>
      <c r="L553" s="77">
        <f t="shared" si="265"/>
        <v>22812.77</v>
      </c>
      <c r="M553" s="77">
        <f t="shared" si="265"/>
        <v>10000</v>
      </c>
      <c r="N553" s="78">
        <f t="shared" si="264"/>
        <v>31381.46</v>
      </c>
      <c r="O553" s="78">
        <f t="shared" si="264"/>
        <v>60000</v>
      </c>
      <c r="P553" s="79">
        <f t="shared" si="249"/>
        <v>10460.486666666666</v>
      </c>
      <c r="Q553" s="79">
        <f t="shared" si="249"/>
        <v>20000</v>
      </c>
      <c r="R553" s="54"/>
      <c r="S553" s="49"/>
      <c r="T553" s="49"/>
      <c r="U553" s="49"/>
      <c r="V553" s="49" t="s">
        <v>547</v>
      </c>
      <c r="W553" s="49"/>
      <c r="X553" s="49"/>
      <c r="Y553" s="49"/>
      <c r="Z553" s="78">
        <f>ROUND(SUM(Z551:Z552),5)</f>
        <v>15000</v>
      </c>
      <c r="AA553" s="140"/>
      <c r="AB553" s="91">
        <f t="shared" ref="AB553:AI553" si="266">ROUND(SUM(AB551:AB552),5)</f>
        <v>10000</v>
      </c>
      <c r="AC553" s="91">
        <f t="shared" si="266"/>
        <v>10000</v>
      </c>
      <c r="AD553" s="91">
        <f t="shared" si="266"/>
        <v>10000</v>
      </c>
      <c r="AE553" s="91">
        <f t="shared" si="266"/>
        <v>10000</v>
      </c>
      <c r="AF553" s="91">
        <f t="shared" si="266"/>
        <v>10000</v>
      </c>
      <c r="AG553" s="91">
        <f t="shared" si="266"/>
        <v>10000</v>
      </c>
      <c r="AH553" s="91">
        <f t="shared" si="266"/>
        <v>10000</v>
      </c>
      <c r="AI553" s="91">
        <f t="shared" si="266"/>
        <v>10000</v>
      </c>
      <c r="AJ553" s="91">
        <f t="shared" ref="AJ553" si="267">ROUND(SUM(AJ551:AJ552),5)</f>
        <v>10000</v>
      </c>
    </row>
    <row r="554" spans="1:43" ht="16" thickBot="1" x14ac:dyDescent="0.4">
      <c r="A554" s="66"/>
      <c r="B554" s="66"/>
      <c r="C554" s="49" t="s">
        <v>548</v>
      </c>
      <c r="D554" s="49"/>
      <c r="E554" s="49"/>
      <c r="F554" s="49"/>
      <c r="G554" s="49"/>
      <c r="H554" s="83">
        <f t="shared" ref="H554:M554" si="268">ROUND(H221+H225+H364+H371+H376+H428+H489+H550+H553,5)</f>
        <v>4602596.84</v>
      </c>
      <c r="I554" s="83">
        <f t="shared" si="268"/>
        <v>4826439.17</v>
      </c>
      <c r="J554" s="84">
        <f t="shared" si="268"/>
        <v>5124859.8899999997</v>
      </c>
      <c r="K554" s="84">
        <f t="shared" si="268"/>
        <v>4876753.51</v>
      </c>
      <c r="L554" s="85">
        <f t="shared" si="268"/>
        <v>5236566.88</v>
      </c>
      <c r="M554" s="85">
        <f t="shared" si="268"/>
        <v>5167354.4800000004</v>
      </c>
      <c r="N554" s="86">
        <f t="shared" si="264"/>
        <v>14964023.609999999</v>
      </c>
      <c r="O554" s="86">
        <f t="shared" si="264"/>
        <v>14870547.16</v>
      </c>
      <c r="P554" s="87">
        <f t="shared" si="249"/>
        <v>4988007.87</v>
      </c>
      <c r="Q554" s="87">
        <f t="shared" si="249"/>
        <v>4956849.0533333337</v>
      </c>
      <c r="R554" s="54"/>
      <c r="S554" s="49"/>
      <c r="T554" s="49"/>
      <c r="U554" s="49" t="s">
        <v>548</v>
      </c>
      <c r="V554" s="49"/>
      <c r="W554" s="49"/>
      <c r="X554" s="49"/>
      <c r="Y554" s="49"/>
      <c r="Z554" s="86">
        <f>ROUND(Z221+Z225+Z364+Z371+Z376+Z428+Z489+Z550+Z553,5)</f>
        <v>5275555.82</v>
      </c>
      <c r="AA554" s="140"/>
      <c r="AB554" s="86">
        <f t="shared" ref="AB554:AI554" si="269">ROUND(AB221+AB225+AB364+AB371+AB376+AB428+AB489+AB550+AB553,5)</f>
        <v>5504831.5764199998</v>
      </c>
      <c r="AC554" s="86">
        <f t="shared" si="269"/>
        <v>5320349.5814199997</v>
      </c>
      <c r="AD554" s="86">
        <f t="shared" si="269"/>
        <v>5361614.52202</v>
      </c>
      <c r="AE554" s="86">
        <f t="shared" si="269"/>
        <v>5353153.41</v>
      </c>
      <c r="AF554" s="86">
        <f t="shared" si="269"/>
        <v>5504490.165</v>
      </c>
      <c r="AG554" s="86">
        <f t="shared" si="269"/>
        <v>5616355.9950000001</v>
      </c>
      <c r="AH554" s="86">
        <f t="shared" si="269"/>
        <v>5723650.625</v>
      </c>
      <c r="AI554" s="86">
        <f t="shared" si="269"/>
        <v>5695203.625</v>
      </c>
      <c r="AJ554" s="86">
        <f>ROUND(AJ221+AJ225+AJ364+AJ371+AJ376+AJ428+AJ489+AJ550+AJ553,0)</f>
        <v>5626839</v>
      </c>
    </row>
    <row r="555" spans="1:43" x14ac:dyDescent="0.35">
      <c r="A555" s="66"/>
      <c r="B555" s="66" t="s">
        <v>549</v>
      </c>
      <c r="C555" s="49"/>
      <c r="D555" s="49"/>
      <c r="E555" s="49"/>
      <c r="F555" s="49"/>
      <c r="G555" s="49"/>
      <c r="H555" s="63">
        <f t="shared" ref="H555:M555" si="270">ROUND(H5+H220-H554,5)</f>
        <v>-92592.2</v>
      </c>
      <c r="I555" s="63">
        <f t="shared" si="270"/>
        <v>8714.58</v>
      </c>
      <c r="J555" s="64">
        <f t="shared" si="270"/>
        <v>-187378.98</v>
      </c>
      <c r="K555" s="64">
        <f t="shared" si="270"/>
        <v>826.41</v>
      </c>
      <c r="L555" s="65">
        <f t="shared" si="270"/>
        <v>-21575.47</v>
      </c>
      <c r="M555" s="65">
        <f t="shared" si="270"/>
        <v>354.02</v>
      </c>
      <c r="N555" s="66">
        <f t="shared" si="264"/>
        <v>-301546.65000000002</v>
      </c>
      <c r="O555" s="66">
        <f t="shared" si="264"/>
        <v>9895.01</v>
      </c>
      <c r="P555" s="69">
        <f t="shared" si="249"/>
        <v>-100515.55</v>
      </c>
      <c r="Q555" s="69">
        <f t="shared" si="249"/>
        <v>3298.3366666666666</v>
      </c>
      <c r="R555" s="54"/>
      <c r="S555" s="49"/>
      <c r="T555" s="49" t="s">
        <v>549</v>
      </c>
      <c r="U555" s="49"/>
      <c r="V555" s="49"/>
      <c r="W555" s="49"/>
      <c r="X555" s="49"/>
      <c r="Y555" s="49"/>
      <c r="Z555" s="66">
        <f>ROUND(Z5+Z220-Z554,5)</f>
        <v>811.37</v>
      </c>
      <c r="AA555" s="140"/>
      <c r="AB555" s="66">
        <f t="shared" ref="AB555:AF555" si="271">ROUND(AB5+AB220-AB554,5)</f>
        <v>-193160.46642000001</v>
      </c>
      <c r="AC555" s="66">
        <f t="shared" si="271"/>
        <v>-8678.4714199999999</v>
      </c>
      <c r="AD555" s="66">
        <f t="shared" si="271"/>
        <v>15325.98798</v>
      </c>
      <c r="AE555" s="66">
        <f t="shared" si="271"/>
        <v>3787.1</v>
      </c>
      <c r="AF555" s="66">
        <f t="shared" si="271"/>
        <v>5642.0349999999999</v>
      </c>
      <c r="AG555" s="66">
        <f>ROUND(AG5+AG220-AG554,0)</f>
        <v>-17387</v>
      </c>
      <c r="AH555" s="66">
        <f>ROUND(AH5+AH220-AH554,0)</f>
        <v>20318</v>
      </c>
      <c r="AI555" s="66">
        <f>ROUND(AI5+AI220-AI554,0)</f>
        <v>-17235</v>
      </c>
      <c r="AJ555" s="66">
        <f>ROUND(AJ5+AJ220-AJ554,0)</f>
        <v>54630</v>
      </c>
    </row>
    <row r="556" spans="1:43" x14ac:dyDescent="0.35">
      <c r="A556" s="66"/>
      <c r="B556" s="66" t="s">
        <v>550</v>
      </c>
      <c r="C556" s="49"/>
      <c r="D556" s="49"/>
      <c r="E556" s="49"/>
      <c r="F556" s="49"/>
      <c r="G556" s="49"/>
      <c r="H556" s="63"/>
      <c r="I556" s="63"/>
      <c r="J556" s="64"/>
      <c r="K556" s="64"/>
      <c r="L556" s="65"/>
      <c r="M556" s="65"/>
      <c r="N556" s="66"/>
      <c r="O556" s="66"/>
      <c r="P556" s="69"/>
      <c r="Q556" s="69"/>
      <c r="R556" s="54"/>
      <c r="S556" s="49"/>
      <c r="T556" s="49" t="s">
        <v>550</v>
      </c>
      <c r="U556" s="49"/>
      <c r="V556" s="49"/>
      <c r="W556" s="49"/>
      <c r="X556" s="49"/>
      <c r="Y556" s="49"/>
      <c r="Z556" s="66"/>
      <c r="AA556" s="140"/>
      <c r="AB556" s="66"/>
      <c r="AC556" s="66"/>
      <c r="AD556" s="66"/>
      <c r="AE556" s="66"/>
      <c r="AF556" s="66"/>
      <c r="AG556" s="66"/>
      <c r="AH556" s="66"/>
      <c r="AI556" s="66"/>
      <c r="AJ556" s="66"/>
    </row>
    <row r="557" spans="1:43" x14ac:dyDescent="0.35">
      <c r="A557" s="66"/>
      <c r="B557" s="66"/>
      <c r="C557" s="49" t="s">
        <v>551</v>
      </c>
      <c r="D557" s="49"/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 t="s">
        <v>551</v>
      </c>
      <c r="V557" s="49"/>
      <c r="W557" s="49"/>
      <c r="X557" s="49"/>
      <c r="Y557" s="49"/>
      <c r="Z557" s="66"/>
      <c r="AA557" s="140"/>
      <c r="AB557" s="66"/>
      <c r="AC557" s="66"/>
      <c r="AD557" s="66"/>
      <c r="AE557" s="66"/>
      <c r="AF557" s="66"/>
      <c r="AG557" s="66"/>
      <c r="AH557" s="66"/>
      <c r="AI557" s="66"/>
      <c r="AJ557" s="66"/>
    </row>
    <row r="558" spans="1:43" x14ac:dyDescent="0.35">
      <c r="A558" s="66"/>
      <c r="B558" s="66"/>
      <c r="C558" s="49"/>
      <c r="D558" s="49" t="s">
        <v>552</v>
      </c>
      <c r="E558" s="49"/>
      <c r="F558" s="49"/>
      <c r="G558" s="49"/>
      <c r="H558" s="63">
        <v>288386.05</v>
      </c>
      <c r="I558" s="63">
        <v>0</v>
      </c>
      <c r="J558" s="64">
        <v>313714.26</v>
      </c>
      <c r="K558" s="64">
        <v>0</v>
      </c>
      <c r="L558" s="65">
        <v>363433.03</v>
      </c>
      <c r="M558" s="65">
        <v>0</v>
      </c>
      <c r="N558" s="66">
        <f>ROUND(H558+J558+L558,5)</f>
        <v>965533.34</v>
      </c>
      <c r="O558" s="66">
        <f>ROUND(I558+K558+M558,5)</f>
        <v>0</v>
      </c>
      <c r="P558" s="69">
        <f t="shared" si="249"/>
        <v>321844.44666666666</v>
      </c>
      <c r="Q558" s="69">
        <f t="shared" si="249"/>
        <v>0</v>
      </c>
      <c r="R558" s="54"/>
      <c r="S558" s="49"/>
      <c r="T558" s="49"/>
      <c r="U558" s="49"/>
      <c r="V558" s="49" t="s">
        <v>552</v>
      </c>
      <c r="W558" s="49"/>
      <c r="X558" s="49"/>
      <c r="Y558" s="49"/>
      <c r="Z558" s="66"/>
      <c r="AA558" s="140"/>
      <c r="AB558" s="66"/>
      <c r="AC558" s="66"/>
      <c r="AD558" s="66"/>
      <c r="AE558" s="66"/>
      <c r="AF558" s="66"/>
      <c r="AG558" s="66"/>
      <c r="AH558" s="66"/>
      <c r="AI558" s="66"/>
      <c r="AJ558" s="66"/>
    </row>
    <row r="559" spans="1:43" x14ac:dyDescent="0.35">
      <c r="A559" s="66"/>
      <c r="B559" s="66"/>
      <c r="C559" s="49"/>
      <c r="D559" s="49" t="s">
        <v>553</v>
      </c>
      <c r="E559" s="49"/>
      <c r="F559" s="49"/>
      <c r="G559" s="49"/>
      <c r="H559" s="63"/>
      <c r="I559" s="63"/>
      <c r="J559" s="64"/>
      <c r="K559" s="64"/>
      <c r="L559" s="65"/>
      <c r="M559" s="65"/>
      <c r="N559" s="66"/>
      <c r="O559" s="66"/>
      <c r="P559" s="69"/>
      <c r="Q559" s="69"/>
      <c r="R559" s="54"/>
      <c r="S559" s="49"/>
      <c r="T559" s="49"/>
      <c r="U559" s="49"/>
      <c r="V559" s="49" t="s">
        <v>553</v>
      </c>
      <c r="W559" s="49"/>
      <c r="X559" s="49"/>
      <c r="Y559" s="49"/>
      <c r="Z559" s="66"/>
      <c r="AA559" s="140"/>
      <c r="AB559" s="66"/>
      <c r="AC559" s="66"/>
      <c r="AD559" s="66"/>
      <c r="AE559" s="66"/>
      <c r="AF559" s="66"/>
      <c r="AG559" s="66"/>
      <c r="AH559" s="66"/>
      <c r="AI559" s="66"/>
      <c r="AJ559" s="66"/>
    </row>
    <row r="560" spans="1:43" x14ac:dyDescent="0.35">
      <c r="A560" s="66"/>
      <c r="B560" s="66"/>
      <c r="C560" s="49"/>
      <c r="D560" s="49"/>
      <c r="E560" s="49" t="s">
        <v>554</v>
      </c>
      <c r="F560" s="49"/>
      <c r="G560" s="49"/>
      <c r="H560" s="63">
        <v>0</v>
      </c>
      <c r="I560" s="63">
        <v>0</v>
      </c>
      <c r="J560" s="64">
        <v>0</v>
      </c>
      <c r="K560" s="64">
        <v>0</v>
      </c>
      <c r="L560" s="65">
        <v>0</v>
      </c>
      <c r="M560" s="65">
        <v>0</v>
      </c>
      <c r="N560" s="66">
        <f t="shared" ref="N560:O565" si="272">ROUND(H560+J560+L560,5)</f>
        <v>0</v>
      </c>
      <c r="O560" s="66">
        <f t="shared" si="272"/>
        <v>0</v>
      </c>
      <c r="P560" s="69">
        <f t="shared" si="249"/>
        <v>0</v>
      </c>
      <c r="Q560" s="69">
        <f t="shared" si="249"/>
        <v>0</v>
      </c>
      <c r="R560" s="54"/>
      <c r="S560" s="49"/>
      <c r="T560" s="49"/>
      <c r="U560" s="49"/>
      <c r="V560" s="49"/>
      <c r="W560" s="49" t="s">
        <v>554</v>
      </c>
      <c r="X560" s="49"/>
      <c r="Y560" s="49"/>
      <c r="Z560" s="66"/>
      <c r="AA560" s="140"/>
      <c r="AB560" s="66"/>
      <c r="AC560" s="66"/>
      <c r="AD560" s="66"/>
      <c r="AE560" s="66"/>
      <c r="AF560" s="66"/>
      <c r="AG560" s="66"/>
      <c r="AH560" s="66"/>
      <c r="AI560" s="66"/>
      <c r="AJ560" s="66"/>
    </row>
    <row r="561" spans="1:36" x14ac:dyDescent="0.35">
      <c r="A561" s="66"/>
      <c r="B561" s="66"/>
      <c r="C561" s="49"/>
      <c r="D561" s="49"/>
      <c r="E561" s="49" t="s">
        <v>555</v>
      </c>
      <c r="F561" s="49"/>
      <c r="G561" s="49"/>
      <c r="H561" s="63">
        <v>0</v>
      </c>
      <c r="I561" s="63">
        <v>0</v>
      </c>
      <c r="J561" s="64">
        <v>0</v>
      </c>
      <c r="K561" s="64">
        <v>0</v>
      </c>
      <c r="L561" s="65">
        <v>0</v>
      </c>
      <c r="M561" s="65">
        <v>0</v>
      </c>
      <c r="N561" s="66">
        <f t="shared" si="272"/>
        <v>0</v>
      </c>
      <c r="O561" s="66">
        <f t="shared" si="272"/>
        <v>0</v>
      </c>
      <c r="P561" s="69">
        <f t="shared" si="249"/>
        <v>0</v>
      </c>
      <c r="Q561" s="69">
        <f t="shared" si="249"/>
        <v>0</v>
      </c>
      <c r="R561" s="54"/>
      <c r="S561" s="49"/>
      <c r="T561" s="49"/>
      <c r="U561" s="49"/>
      <c r="V561" s="49"/>
      <c r="W561" s="49" t="s">
        <v>555</v>
      </c>
      <c r="X561" s="49"/>
      <c r="Y561" s="49"/>
      <c r="Z561" s="66"/>
      <c r="AA561" s="140"/>
      <c r="AB561" s="66"/>
      <c r="AC561" s="66"/>
      <c r="AD561" s="66"/>
      <c r="AE561" s="66"/>
      <c r="AF561" s="66"/>
      <c r="AG561" s="66"/>
      <c r="AH561" s="66"/>
      <c r="AI561" s="66"/>
      <c r="AJ561" s="66"/>
    </row>
    <row r="562" spans="1:36" x14ac:dyDescent="0.35">
      <c r="A562" s="66"/>
      <c r="B562" s="66"/>
      <c r="C562" s="49"/>
      <c r="D562" s="49"/>
      <c r="E562" s="49" t="s">
        <v>556</v>
      </c>
      <c r="F562" s="49"/>
      <c r="G562" s="49"/>
      <c r="H562" s="63">
        <v>10930.61</v>
      </c>
      <c r="I562" s="63">
        <v>0</v>
      </c>
      <c r="J562" s="64">
        <v>16392.32</v>
      </c>
      <c r="K562" s="64">
        <v>0</v>
      </c>
      <c r="L562" s="65">
        <v>17337.490000000002</v>
      </c>
      <c r="M562" s="65">
        <v>0</v>
      </c>
      <c r="N562" s="66">
        <f t="shared" si="272"/>
        <v>44660.42</v>
      </c>
      <c r="O562" s="66">
        <f t="shared" si="272"/>
        <v>0</v>
      </c>
      <c r="P562" s="69">
        <f t="shared" si="249"/>
        <v>14886.806666666665</v>
      </c>
      <c r="Q562" s="69">
        <f t="shared" si="249"/>
        <v>0</v>
      </c>
      <c r="R562" s="54"/>
      <c r="S562" s="49"/>
      <c r="T562" s="49"/>
      <c r="U562" s="49"/>
      <c r="V562" s="49"/>
      <c r="W562" s="49" t="s">
        <v>556</v>
      </c>
      <c r="X562" s="49"/>
      <c r="Y562" s="49"/>
      <c r="Z562" s="66"/>
      <c r="AA562" s="140"/>
      <c r="AB562" s="66"/>
      <c r="AC562" s="66"/>
      <c r="AD562" s="66"/>
      <c r="AE562" s="66"/>
      <c r="AF562" s="66"/>
      <c r="AG562" s="66"/>
      <c r="AH562" s="66"/>
      <c r="AI562" s="66"/>
      <c r="AJ562" s="66"/>
    </row>
    <row r="563" spans="1:36" x14ac:dyDescent="0.35">
      <c r="A563" s="66"/>
      <c r="B563" s="66"/>
      <c r="C563" s="49"/>
      <c r="D563" s="49"/>
      <c r="E563" s="49" t="s">
        <v>557</v>
      </c>
      <c r="F563" s="49"/>
      <c r="G563" s="49"/>
      <c r="H563" s="63">
        <v>12442.84</v>
      </c>
      <c r="I563" s="63">
        <v>0</v>
      </c>
      <c r="J563" s="64">
        <v>10602.84</v>
      </c>
      <c r="K563" s="64">
        <v>0</v>
      </c>
      <c r="L563" s="65">
        <v>10395.5</v>
      </c>
      <c r="M563" s="65">
        <v>0</v>
      </c>
      <c r="N563" s="66">
        <f t="shared" si="272"/>
        <v>33441.18</v>
      </c>
      <c r="O563" s="66">
        <f t="shared" si="272"/>
        <v>0</v>
      </c>
      <c r="P563" s="69">
        <f t="shared" si="249"/>
        <v>11147.06</v>
      </c>
      <c r="Q563" s="69">
        <f t="shared" si="249"/>
        <v>0</v>
      </c>
      <c r="R563" s="54"/>
      <c r="S563" s="49"/>
      <c r="T563" s="49"/>
      <c r="U563" s="49"/>
      <c r="V563" s="49"/>
      <c r="W563" s="49" t="s">
        <v>557</v>
      </c>
      <c r="X563" s="49"/>
      <c r="Y563" s="49"/>
      <c r="Z563" s="66"/>
      <c r="AA563" s="140"/>
      <c r="AB563" s="66"/>
      <c r="AC563" s="66"/>
      <c r="AD563" s="66"/>
      <c r="AE563" s="66"/>
      <c r="AF563" s="66"/>
      <c r="AG563" s="66"/>
      <c r="AH563" s="66"/>
      <c r="AI563" s="66"/>
      <c r="AJ563" s="66"/>
    </row>
    <row r="564" spans="1:36" ht="16" thickBot="1" x14ac:dyDescent="0.4">
      <c r="A564" s="66"/>
      <c r="B564" s="66"/>
      <c r="C564" s="49"/>
      <c r="D564" s="49"/>
      <c r="E564" s="49" t="s">
        <v>558</v>
      </c>
      <c r="F564" s="49"/>
      <c r="G564" s="49"/>
      <c r="H564" s="70">
        <v>1000</v>
      </c>
      <c r="I564" s="70">
        <v>0</v>
      </c>
      <c r="J564" s="71">
        <v>1000</v>
      </c>
      <c r="K564" s="64">
        <v>0</v>
      </c>
      <c r="L564" s="72">
        <v>1000</v>
      </c>
      <c r="M564" s="65">
        <v>0</v>
      </c>
      <c r="N564" s="73">
        <f t="shared" si="272"/>
        <v>3000</v>
      </c>
      <c r="O564" s="73">
        <f t="shared" si="272"/>
        <v>0</v>
      </c>
      <c r="P564" s="74">
        <f t="shared" si="249"/>
        <v>1000</v>
      </c>
      <c r="Q564" s="74">
        <f t="shared" si="249"/>
        <v>0</v>
      </c>
      <c r="R564" s="54"/>
      <c r="S564" s="49"/>
      <c r="T564" s="49"/>
      <c r="U564" s="49"/>
      <c r="V564" s="49"/>
      <c r="W564" s="49" t="s">
        <v>558</v>
      </c>
      <c r="X564" s="49"/>
      <c r="Y564" s="49"/>
      <c r="Z564" s="66"/>
      <c r="AA564" s="140"/>
      <c r="AB564" s="66"/>
      <c r="AC564" s="66"/>
      <c r="AD564" s="66"/>
      <c r="AE564" s="66"/>
      <c r="AF564" s="66"/>
      <c r="AG564" s="66"/>
      <c r="AH564" s="66"/>
      <c r="AI564" s="66"/>
      <c r="AJ564" s="66"/>
    </row>
    <row r="565" spans="1:36" x14ac:dyDescent="0.35">
      <c r="A565" s="66"/>
      <c r="B565" s="66"/>
      <c r="C565" s="49"/>
      <c r="D565" s="49" t="s">
        <v>559</v>
      </c>
      <c r="E565" s="49"/>
      <c r="F565" s="49"/>
      <c r="G565" s="49"/>
      <c r="H565" s="63">
        <f t="shared" ref="H565:M565" si="273">ROUND(SUM(H559:H564),5)</f>
        <v>24373.45</v>
      </c>
      <c r="I565" s="63">
        <f t="shared" si="273"/>
        <v>0</v>
      </c>
      <c r="J565" s="64">
        <f t="shared" si="273"/>
        <v>27995.16</v>
      </c>
      <c r="K565" s="76">
        <f t="shared" si="273"/>
        <v>0</v>
      </c>
      <c r="L565" s="65">
        <f t="shared" si="273"/>
        <v>28732.99</v>
      </c>
      <c r="M565" s="77">
        <f t="shared" si="273"/>
        <v>0</v>
      </c>
      <c r="N565" s="66">
        <f t="shared" si="272"/>
        <v>81101.600000000006</v>
      </c>
      <c r="O565" s="66">
        <f t="shared" si="272"/>
        <v>0</v>
      </c>
      <c r="P565" s="69">
        <f t="shared" si="249"/>
        <v>27033.866666666669</v>
      </c>
      <c r="Q565" s="69">
        <f t="shared" si="249"/>
        <v>0</v>
      </c>
      <c r="R565" s="54"/>
      <c r="S565" s="49"/>
      <c r="T565" s="49"/>
      <c r="U565" s="49"/>
      <c r="V565" s="49" t="s">
        <v>559</v>
      </c>
      <c r="W565" s="49"/>
      <c r="X565" s="49"/>
      <c r="Y565" s="49"/>
      <c r="Z565" s="66"/>
      <c r="AA565" s="140"/>
      <c r="AB565" s="66"/>
      <c r="AC565" s="66"/>
      <c r="AD565" s="66"/>
      <c r="AE565" s="66"/>
      <c r="AF565" s="66"/>
      <c r="AG565" s="66"/>
      <c r="AH565" s="66"/>
      <c r="AI565" s="66"/>
      <c r="AJ565" s="66"/>
    </row>
    <row r="566" spans="1:36" x14ac:dyDescent="0.35">
      <c r="A566" s="66"/>
      <c r="B566" s="66"/>
      <c r="C566" s="49"/>
      <c r="D566" s="49" t="s">
        <v>560</v>
      </c>
      <c r="E566" s="49"/>
      <c r="F566" s="49"/>
      <c r="G566" s="49"/>
      <c r="H566" s="63"/>
      <c r="I566" s="63"/>
      <c r="J566" s="64"/>
      <c r="K566" s="64"/>
      <c r="L566" s="65"/>
      <c r="M566" s="65"/>
      <c r="N566" s="66"/>
      <c r="O566" s="66"/>
      <c r="P566" s="69"/>
      <c r="Q566" s="69"/>
      <c r="R566" s="54"/>
      <c r="S566" s="49"/>
      <c r="T566" s="49"/>
      <c r="U566" s="49"/>
      <c r="V566" s="49" t="s">
        <v>560</v>
      </c>
      <c r="W566" s="49"/>
      <c r="X566" s="49"/>
      <c r="Y566" s="49"/>
      <c r="Z566" s="66"/>
      <c r="AA566" s="140"/>
      <c r="AB566" s="66"/>
      <c r="AC566" s="66"/>
      <c r="AD566" s="66"/>
      <c r="AE566" s="66"/>
      <c r="AF566" s="66"/>
      <c r="AG566" s="66"/>
      <c r="AH566" s="66"/>
      <c r="AI566" s="66"/>
      <c r="AJ566" s="66"/>
    </row>
    <row r="567" spans="1:36" x14ac:dyDescent="0.35">
      <c r="A567" s="66"/>
      <c r="B567" s="66"/>
      <c r="C567" s="49"/>
      <c r="D567" s="49"/>
      <c r="E567" s="49" t="s">
        <v>561</v>
      </c>
      <c r="F567" s="49"/>
      <c r="G567" s="49"/>
      <c r="H567" s="63">
        <v>558.27</v>
      </c>
      <c r="I567" s="63">
        <v>0</v>
      </c>
      <c r="J567" s="64">
        <v>-985.85</v>
      </c>
      <c r="K567" s="64">
        <v>0</v>
      </c>
      <c r="L567" s="65">
        <v>6774.89</v>
      </c>
      <c r="M567" s="65">
        <v>0</v>
      </c>
      <c r="N567" s="66">
        <f t="shared" ref="N567:O571" si="274">ROUND(H567+J567+L567,5)</f>
        <v>6347.31</v>
      </c>
      <c r="O567" s="66">
        <f t="shared" si="274"/>
        <v>0</v>
      </c>
      <c r="P567" s="69">
        <f t="shared" si="249"/>
        <v>2115.77</v>
      </c>
      <c r="Q567" s="69">
        <f t="shared" si="249"/>
        <v>0</v>
      </c>
      <c r="R567" s="54"/>
      <c r="S567" s="49"/>
      <c r="T567" s="49"/>
      <c r="U567" s="49"/>
      <c r="V567" s="49"/>
      <c r="W567" s="49" t="s">
        <v>561</v>
      </c>
      <c r="X567" s="49"/>
      <c r="Y567" s="49"/>
      <c r="Z567" s="66"/>
      <c r="AA567" s="140"/>
      <c r="AB567" s="66"/>
      <c r="AC567" s="66"/>
      <c r="AD567" s="66"/>
      <c r="AE567" s="66"/>
      <c r="AF567" s="66"/>
      <c r="AG567" s="66"/>
      <c r="AH567" s="66"/>
      <c r="AI567" s="66"/>
      <c r="AJ567" s="66"/>
    </row>
    <row r="568" spans="1:36" x14ac:dyDescent="0.35">
      <c r="A568" s="66"/>
      <c r="B568" s="66"/>
      <c r="C568" s="49"/>
      <c r="D568" s="49"/>
      <c r="E568" s="49" t="s">
        <v>562</v>
      </c>
      <c r="F568" s="49"/>
      <c r="G568" s="49"/>
      <c r="H568" s="63">
        <v>0</v>
      </c>
      <c r="I568" s="63">
        <v>0</v>
      </c>
      <c r="J568" s="64">
        <v>0</v>
      </c>
      <c r="K568" s="64">
        <v>0</v>
      </c>
      <c r="L568" s="65">
        <v>-58.71</v>
      </c>
      <c r="M568" s="65">
        <v>0</v>
      </c>
      <c r="N568" s="66">
        <f t="shared" si="274"/>
        <v>-58.71</v>
      </c>
      <c r="O568" s="66">
        <f t="shared" si="274"/>
        <v>0</v>
      </c>
      <c r="P568" s="69">
        <f t="shared" si="249"/>
        <v>-19.57</v>
      </c>
      <c r="Q568" s="69">
        <f t="shared" si="249"/>
        <v>0</v>
      </c>
      <c r="R568" s="54"/>
      <c r="S568" s="49"/>
      <c r="T568" s="49"/>
      <c r="U568" s="49"/>
      <c r="V568" s="49"/>
      <c r="W568" s="49" t="s">
        <v>562</v>
      </c>
      <c r="X568" s="49"/>
      <c r="Y568" s="49"/>
      <c r="Z568" s="66"/>
      <c r="AA568" s="140"/>
      <c r="AB568" s="66"/>
      <c r="AC568" s="66"/>
      <c r="AD568" s="66"/>
      <c r="AE568" s="66"/>
      <c r="AF568" s="66"/>
      <c r="AG568" s="66"/>
      <c r="AH568" s="66"/>
      <c r="AI568" s="66"/>
      <c r="AJ568" s="66"/>
    </row>
    <row r="569" spans="1:36" ht="16" thickBot="1" x14ac:dyDescent="0.4">
      <c r="A569" s="66"/>
      <c r="B569" s="66"/>
      <c r="C569" s="49"/>
      <c r="D569" s="49"/>
      <c r="E569" s="49" t="s">
        <v>563</v>
      </c>
      <c r="F569" s="49"/>
      <c r="G569" s="49"/>
      <c r="H569" s="63">
        <v>136732.6</v>
      </c>
      <c r="I569" s="63">
        <v>0</v>
      </c>
      <c r="J569" s="64">
        <v>235676.86</v>
      </c>
      <c r="K569" s="64">
        <v>0</v>
      </c>
      <c r="L569" s="65">
        <v>195303.78</v>
      </c>
      <c r="M569" s="65">
        <v>0</v>
      </c>
      <c r="N569" s="66">
        <f t="shared" si="274"/>
        <v>567713.24</v>
      </c>
      <c r="O569" s="66">
        <f t="shared" si="274"/>
        <v>0</v>
      </c>
      <c r="P569" s="69">
        <f t="shared" si="249"/>
        <v>189237.74666666667</v>
      </c>
      <c r="Q569" s="69">
        <f t="shared" si="249"/>
        <v>0</v>
      </c>
      <c r="R569" s="54"/>
      <c r="S569" s="49"/>
      <c r="T569" s="49"/>
      <c r="U569" s="49"/>
      <c r="V569" s="49"/>
      <c r="W569" s="49" t="s">
        <v>563</v>
      </c>
      <c r="X569" s="49"/>
      <c r="Y569" s="49"/>
      <c r="Z569" s="66"/>
      <c r="AA569" s="140"/>
      <c r="AB569" s="66"/>
      <c r="AC569" s="66"/>
      <c r="AD569" s="66"/>
      <c r="AE569" s="66"/>
      <c r="AF569" s="66"/>
      <c r="AG569" s="66"/>
      <c r="AH569" s="66"/>
      <c r="AI569" s="66"/>
      <c r="AJ569" s="66"/>
    </row>
    <row r="570" spans="1:36" ht="16" thickBot="1" x14ac:dyDescent="0.4">
      <c r="A570" s="66"/>
      <c r="B570" s="66"/>
      <c r="C570" s="49"/>
      <c r="D570" s="49" t="s">
        <v>564</v>
      </c>
      <c r="E570" s="49"/>
      <c r="F570" s="49"/>
      <c r="G570" s="49"/>
      <c r="H570" s="83">
        <f t="shared" ref="H570:M570" si="275">ROUND(SUM(H566:H569),5)</f>
        <v>137290.87</v>
      </c>
      <c r="I570" s="83">
        <f t="shared" si="275"/>
        <v>0</v>
      </c>
      <c r="J570" s="84">
        <f t="shared" si="275"/>
        <v>234691.01</v>
      </c>
      <c r="K570" s="84">
        <f t="shared" si="275"/>
        <v>0</v>
      </c>
      <c r="L570" s="85">
        <f t="shared" si="275"/>
        <v>202019.96</v>
      </c>
      <c r="M570" s="85">
        <f t="shared" si="275"/>
        <v>0</v>
      </c>
      <c r="N570" s="86">
        <f t="shared" si="274"/>
        <v>574001.84</v>
      </c>
      <c r="O570" s="86">
        <f t="shared" si="274"/>
        <v>0</v>
      </c>
      <c r="P570" s="87">
        <f t="shared" si="249"/>
        <v>191333.94666666666</v>
      </c>
      <c r="Q570" s="87">
        <f t="shared" si="249"/>
        <v>0</v>
      </c>
      <c r="R570" s="54"/>
      <c r="S570" s="49"/>
      <c r="T570" s="49"/>
      <c r="U570" s="49"/>
      <c r="V570" s="49" t="s">
        <v>564</v>
      </c>
      <c r="W570" s="49"/>
      <c r="X570" s="49"/>
      <c r="Y570" s="49"/>
      <c r="Z570" s="66"/>
      <c r="AA570" s="140"/>
      <c r="AB570" s="66"/>
      <c r="AC570" s="66"/>
      <c r="AD570" s="66"/>
      <c r="AE570" s="66"/>
      <c r="AF570" s="66"/>
      <c r="AG570" s="66"/>
      <c r="AH570" s="66"/>
      <c r="AI570" s="66"/>
      <c r="AJ570" s="66"/>
    </row>
    <row r="571" spans="1:36" x14ac:dyDescent="0.35">
      <c r="A571" s="66"/>
      <c r="B571" s="66"/>
      <c r="C571" s="49" t="s">
        <v>565</v>
      </c>
      <c r="D571" s="49"/>
      <c r="E571" s="49"/>
      <c r="F571" s="49"/>
      <c r="G571" s="49"/>
      <c r="H571" s="63">
        <f t="shared" ref="H571:M571" si="276">ROUND(SUM(H557:H558)+H565+H570,5)</f>
        <v>450050.37</v>
      </c>
      <c r="I571" s="63">
        <f t="shared" si="276"/>
        <v>0</v>
      </c>
      <c r="J571" s="64">
        <f t="shared" si="276"/>
        <v>576400.43000000005</v>
      </c>
      <c r="K571" s="64">
        <f t="shared" si="276"/>
        <v>0</v>
      </c>
      <c r="L571" s="65">
        <f t="shared" si="276"/>
        <v>594185.98</v>
      </c>
      <c r="M571" s="65">
        <f t="shared" si="276"/>
        <v>0</v>
      </c>
      <c r="N571" s="66">
        <f t="shared" si="274"/>
        <v>1620636.78</v>
      </c>
      <c r="O571" s="66">
        <f t="shared" si="274"/>
        <v>0</v>
      </c>
      <c r="P571" s="69">
        <f t="shared" si="249"/>
        <v>540212.26</v>
      </c>
      <c r="Q571" s="69">
        <f t="shared" si="249"/>
        <v>0</v>
      </c>
      <c r="R571" s="54"/>
      <c r="S571" s="49"/>
      <c r="T571" s="49"/>
      <c r="U571" s="49" t="s">
        <v>565</v>
      </c>
      <c r="V571" s="49"/>
      <c r="W571" s="49"/>
      <c r="X571" s="49"/>
      <c r="Y571" s="49"/>
      <c r="Z571" s="66"/>
      <c r="AA571" s="140"/>
      <c r="AB571" s="66"/>
      <c r="AC571" s="66"/>
      <c r="AD571" s="66"/>
      <c r="AE571" s="66"/>
      <c r="AF571" s="66"/>
      <c r="AG571" s="66"/>
      <c r="AH571" s="66"/>
      <c r="AI571" s="66"/>
      <c r="AJ571" s="66"/>
    </row>
    <row r="572" spans="1:36" x14ac:dyDescent="0.35">
      <c r="A572" s="66"/>
      <c r="B572" s="66"/>
      <c r="C572" s="49" t="s">
        <v>566</v>
      </c>
      <c r="D572" s="49"/>
      <c r="E572" s="49"/>
      <c r="F572" s="49"/>
      <c r="G572" s="49"/>
      <c r="H572" s="63"/>
      <c r="I572" s="63"/>
      <c r="J572" s="64"/>
      <c r="K572" s="64"/>
      <c r="L572" s="65"/>
      <c r="M572" s="65"/>
      <c r="N572" s="66"/>
      <c r="O572" s="66"/>
      <c r="P572" s="69"/>
      <c r="Q572" s="69"/>
      <c r="R572" s="54"/>
      <c r="S572" s="49"/>
      <c r="T572" s="49"/>
      <c r="U572" s="49" t="s">
        <v>566</v>
      </c>
      <c r="V572" s="49"/>
      <c r="W572" s="49"/>
      <c r="X572" s="49"/>
      <c r="Y572" s="49"/>
      <c r="Z572" s="66"/>
      <c r="AA572" s="140"/>
      <c r="AB572" s="66"/>
      <c r="AC572" s="66"/>
      <c r="AD572" s="66"/>
      <c r="AE572" s="66"/>
      <c r="AF572" s="66"/>
      <c r="AG572" s="66"/>
      <c r="AH572" s="66"/>
      <c r="AI572" s="66"/>
      <c r="AJ572" s="66"/>
    </row>
    <row r="573" spans="1:36" x14ac:dyDescent="0.35">
      <c r="A573" s="66"/>
      <c r="B573" s="66"/>
      <c r="C573" s="49"/>
      <c r="D573" s="49" t="s">
        <v>567</v>
      </c>
      <c r="E573" s="49"/>
      <c r="F573" s="49"/>
      <c r="G573" s="49"/>
      <c r="H573" s="63"/>
      <c r="I573" s="63"/>
      <c r="J573" s="64"/>
      <c r="K573" s="64"/>
      <c r="L573" s="65"/>
      <c r="M573" s="65"/>
      <c r="N573" s="66"/>
      <c r="O573" s="66"/>
      <c r="P573" s="69"/>
      <c r="Q573" s="69"/>
      <c r="R573" s="54"/>
      <c r="S573" s="49"/>
      <c r="T573" s="49"/>
      <c r="U573" s="49"/>
      <c r="V573" s="49" t="s">
        <v>567</v>
      </c>
      <c r="W573" s="49"/>
      <c r="X573" s="49"/>
      <c r="Y573" s="49"/>
      <c r="Z573" s="66"/>
      <c r="AA573" s="140"/>
      <c r="AB573" s="66"/>
      <c r="AC573" s="66"/>
      <c r="AD573" s="66"/>
      <c r="AE573" s="66"/>
      <c r="AF573" s="66"/>
      <c r="AG573" s="66"/>
      <c r="AH573" s="66"/>
      <c r="AI573" s="66"/>
      <c r="AJ573" s="66"/>
    </row>
    <row r="574" spans="1:36" x14ac:dyDescent="0.35">
      <c r="A574" s="66"/>
      <c r="B574" s="66"/>
      <c r="C574" s="49"/>
      <c r="D574" s="49"/>
      <c r="E574" s="49" t="s">
        <v>568</v>
      </c>
      <c r="F574" s="49"/>
      <c r="G574" s="49"/>
      <c r="H574" s="63">
        <v>541.88</v>
      </c>
      <c r="I574" s="63">
        <v>0</v>
      </c>
      <c r="J574" s="64">
        <v>554.29999999999995</v>
      </c>
      <c r="K574" s="64">
        <v>0</v>
      </c>
      <c r="L574" s="65">
        <v>645.24</v>
      </c>
      <c r="M574" s="65">
        <v>0</v>
      </c>
      <c r="N574" s="66">
        <f t="shared" ref="N574:O582" si="277">ROUND(H574+J574+L574,5)</f>
        <v>1741.42</v>
      </c>
      <c r="O574" s="66">
        <f t="shared" si="277"/>
        <v>0</v>
      </c>
      <c r="P574" s="69">
        <f t="shared" ref="P574:Q582" si="278">N574/3</f>
        <v>580.47333333333336</v>
      </c>
      <c r="Q574" s="69">
        <f t="shared" si="278"/>
        <v>0</v>
      </c>
      <c r="R574" s="54"/>
      <c r="S574" s="49"/>
      <c r="T574" s="49"/>
      <c r="U574" s="49"/>
      <c r="V574" s="49"/>
      <c r="W574" s="49" t="s">
        <v>568</v>
      </c>
      <c r="X574" s="49"/>
      <c r="Y574" s="49"/>
      <c r="Z574" s="66"/>
      <c r="AA574" s="140"/>
      <c r="AB574" s="66"/>
      <c r="AC574" s="66"/>
      <c r="AD574" s="66"/>
      <c r="AE574" s="66"/>
      <c r="AF574" s="66"/>
      <c r="AG574" s="66"/>
      <c r="AH574" s="66"/>
      <c r="AI574" s="66"/>
      <c r="AJ574" s="66"/>
    </row>
    <row r="575" spans="1:36" x14ac:dyDescent="0.35">
      <c r="A575" s="66"/>
      <c r="B575" s="66"/>
      <c r="C575" s="49"/>
      <c r="D575" s="49"/>
      <c r="E575" s="49" t="s">
        <v>569</v>
      </c>
      <c r="F575" s="49"/>
      <c r="G575" s="49"/>
      <c r="H575" s="63">
        <v>0</v>
      </c>
      <c r="I575" s="63">
        <v>0</v>
      </c>
      <c r="J575" s="64">
        <v>0</v>
      </c>
      <c r="K575" s="64">
        <v>0</v>
      </c>
      <c r="L575" s="65">
        <v>0</v>
      </c>
      <c r="M575" s="65">
        <v>0</v>
      </c>
      <c r="N575" s="66">
        <f t="shared" si="277"/>
        <v>0</v>
      </c>
      <c r="O575" s="66">
        <f t="shared" si="277"/>
        <v>0</v>
      </c>
      <c r="P575" s="69">
        <f t="shared" si="278"/>
        <v>0</v>
      </c>
      <c r="Q575" s="69">
        <f t="shared" si="278"/>
        <v>0</v>
      </c>
      <c r="R575" s="54"/>
      <c r="S575" s="49"/>
      <c r="T575" s="49"/>
      <c r="U575" s="49"/>
      <c r="V575" s="49"/>
      <c r="W575" s="49" t="s">
        <v>569</v>
      </c>
      <c r="X575" s="49"/>
      <c r="Y575" s="49"/>
      <c r="Z575" s="66"/>
      <c r="AA575" s="143"/>
      <c r="AB575" s="66"/>
      <c r="AC575" s="66"/>
      <c r="AD575" s="66"/>
      <c r="AE575" s="66"/>
      <c r="AF575" s="66"/>
      <c r="AG575" s="66"/>
      <c r="AH575" s="66"/>
      <c r="AI575" s="66"/>
      <c r="AJ575" s="66"/>
    </row>
    <row r="576" spans="1:36" x14ac:dyDescent="0.35">
      <c r="A576" s="66"/>
      <c r="B576" s="66"/>
      <c r="C576" s="49"/>
      <c r="D576" s="49"/>
      <c r="E576" s="49" t="s">
        <v>570</v>
      </c>
      <c r="F576" s="49"/>
      <c r="G576" s="49"/>
      <c r="H576" s="63">
        <v>2500</v>
      </c>
      <c r="I576" s="63">
        <v>0</v>
      </c>
      <c r="J576" s="64">
        <v>4000</v>
      </c>
      <c r="K576" s="64">
        <v>0</v>
      </c>
      <c r="L576" s="65">
        <v>4500</v>
      </c>
      <c r="M576" s="65">
        <v>0</v>
      </c>
      <c r="N576" s="66">
        <f t="shared" si="277"/>
        <v>11000</v>
      </c>
      <c r="O576" s="66">
        <f t="shared" si="277"/>
        <v>0</v>
      </c>
      <c r="P576" s="69">
        <f t="shared" si="278"/>
        <v>3666.6666666666665</v>
      </c>
      <c r="Q576" s="69">
        <f t="shared" si="278"/>
        <v>0</v>
      </c>
      <c r="R576" s="54"/>
      <c r="S576" s="49"/>
      <c r="T576" s="49"/>
      <c r="U576" s="49"/>
      <c r="V576" s="49"/>
      <c r="W576" s="49" t="s">
        <v>570</v>
      </c>
      <c r="X576" s="49"/>
      <c r="Y576" s="49"/>
      <c r="Z576" s="66"/>
      <c r="AA576" s="140"/>
      <c r="AB576" s="66"/>
      <c r="AC576" s="66"/>
      <c r="AD576" s="66"/>
      <c r="AE576" s="66"/>
      <c r="AF576" s="66"/>
      <c r="AG576" s="66"/>
      <c r="AH576" s="66"/>
      <c r="AI576" s="66"/>
      <c r="AJ576" s="66"/>
    </row>
    <row r="577" spans="1:40" ht="16" thickBot="1" x14ac:dyDescent="0.4">
      <c r="A577" s="66"/>
      <c r="B577" s="66"/>
      <c r="C577" s="49"/>
      <c r="D577" s="49"/>
      <c r="E577" s="49" t="s">
        <v>571</v>
      </c>
      <c r="F577" s="49"/>
      <c r="G577" s="49"/>
      <c r="H577" s="70">
        <v>21487.599999999999</v>
      </c>
      <c r="I577" s="70">
        <v>0</v>
      </c>
      <c r="J577" s="71">
        <v>19409.990000000002</v>
      </c>
      <c r="K577" s="64">
        <v>0</v>
      </c>
      <c r="L577" s="72">
        <v>19578.830000000002</v>
      </c>
      <c r="M577" s="65">
        <v>0</v>
      </c>
      <c r="N577" s="73">
        <f t="shared" si="277"/>
        <v>60476.42</v>
      </c>
      <c r="O577" s="73">
        <f t="shared" si="277"/>
        <v>0</v>
      </c>
      <c r="P577" s="74">
        <f t="shared" si="278"/>
        <v>20158.806666666667</v>
      </c>
      <c r="Q577" s="74">
        <f t="shared" si="278"/>
        <v>0</v>
      </c>
      <c r="R577" s="54"/>
      <c r="S577" s="49"/>
      <c r="T577" s="49"/>
      <c r="U577" s="49"/>
      <c r="V577" s="49"/>
      <c r="W577" s="49" t="s">
        <v>571</v>
      </c>
      <c r="X577" s="49"/>
      <c r="Y577" s="49"/>
      <c r="Z577" s="66"/>
      <c r="AA577" s="140"/>
      <c r="AB577" s="66"/>
      <c r="AC577" s="66"/>
      <c r="AD577" s="66"/>
      <c r="AE577" s="66"/>
      <c r="AF577" s="66"/>
      <c r="AG577" s="66"/>
      <c r="AH577" s="66"/>
      <c r="AI577" s="66"/>
      <c r="AJ577" s="66"/>
    </row>
    <row r="578" spans="1:40" x14ac:dyDescent="0.35">
      <c r="A578" s="66"/>
      <c r="B578" s="66"/>
      <c r="C578" s="49"/>
      <c r="D578" s="49" t="s">
        <v>572</v>
      </c>
      <c r="E578" s="49"/>
      <c r="F578" s="49"/>
      <c r="G578" s="49"/>
      <c r="H578" s="63">
        <f t="shared" ref="H578:M578" si="279">ROUND(SUM(H573:H577),5)</f>
        <v>24529.48</v>
      </c>
      <c r="I578" s="63">
        <f t="shared" si="279"/>
        <v>0</v>
      </c>
      <c r="J578" s="64">
        <f t="shared" si="279"/>
        <v>23964.29</v>
      </c>
      <c r="K578" s="76">
        <f t="shared" si="279"/>
        <v>0</v>
      </c>
      <c r="L578" s="65">
        <f t="shared" si="279"/>
        <v>24724.07</v>
      </c>
      <c r="M578" s="77">
        <f t="shared" si="279"/>
        <v>0</v>
      </c>
      <c r="N578" s="66">
        <f t="shared" si="277"/>
        <v>73217.84</v>
      </c>
      <c r="O578" s="66">
        <f t="shared" si="277"/>
        <v>0</v>
      </c>
      <c r="P578" s="69">
        <f t="shared" si="278"/>
        <v>24405.946666666667</v>
      </c>
      <c r="Q578" s="69">
        <f t="shared" si="278"/>
        <v>0</v>
      </c>
      <c r="R578" s="54"/>
      <c r="S578" s="49"/>
      <c r="T578" s="49"/>
      <c r="U578" s="49"/>
      <c r="V578" s="49" t="s">
        <v>572</v>
      </c>
      <c r="W578" s="49"/>
      <c r="X578" s="49"/>
      <c r="Y578" s="49"/>
      <c r="Z578" s="66"/>
      <c r="AA578" s="140"/>
      <c r="AB578" s="66"/>
      <c r="AC578" s="66"/>
      <c r="AD578" s="66"/>
      <c r="AE578" s="66"/>
      <c r="AF578" s="66"/>
      <c r="AG578" s="66"/>
      <c r="AH578" s="66"/>
      <c r="AI578" s="66"/>
      <c r="AJ578" s="66"/>
    </row>
    <row r="579" spans="1:40" ht="16" thickBot="1" x14ac:dyDescent="0.4">
      <c r="A579" s="66"/>
      <c r="B579" s="66"/>
      <c r="C579" s="49"/>
      <c r="D579" s="49" t="s">
        <v>573</v>
      </c>
      <c r="E579" s="49"/>
      <c r="F579" s="49"/>
      <c r="G579" s="49"/>
      <c r="H579" s="63">
        <v>288386.05</v>
      </c>
      <c r="I579" s="63">
        <v>0</v>
      </c>
      <c r="J579" s="64">
        <v>313714.26</v>
      </c>
      <c r="K579" s="64">
        <v>0</v>
      </c>
      <c r="L579" s="65">
        <v>363433.03</v>
      </c>
      <c r="M579" s="65">
        <v>0</v>
      </c>
      <c r="N579" s="66">
        <f t="shared" si="277"/>
        <v>965533.34</v>
      </c>
      <c r="O579" s="66">
        <f t="shared" si="277"/>
        <v>0</v>
      </c>
      <c r="P579" s="69">
        <f t="shared" si="278"/>
        <v>321844.44666666666</v>
      </c>
      <c r="Q579" s="69">
        <f t="shared" si="278"/>
        <v>0</v>
      </c>
      <c r="R579" s="54"/>
      <c r="S579" s="49"/>
      <c r="T579" s="49"/>
      <c r="U579" s="49"/>
      <c r="V579" s="49" t="s">
        <v>573</v>
      </c>
      <c r="W579" s="49"/>
      <c r="X579" s="49"/>
      <c r="Y579" s="49"/>
      <c r="Z579" s="66"/>
      <c r="AA579" s="140"/>
      <c r="AB579" s="66"/>
      <c r="AC579" s="66"/>
      <c r="AD579" s="66"/>
      <c r="AE579" s="66"/>
      <c r="AF579" s="66"/>
      <c r="AG579" s="66"/>
      <c r="AH579" s="66"/>
      <c r="AI579" s="66"/>
      <c r="AJ579" s="66"/>
    </row>
    <row r="580" spans="1:40" ht="16" thickBot="1" x14ac:dyDescent="0.4">
      <c r="A580" s="66"/>
      <c r="B580" s="66"/>
      <c r="C580" s="49" t="s">
        <v>574</v>
      </c>
      <c r="D580" s="49"/>
      <c r="E580" s="49"/>
      <c r="F580" s="49"/>
      <c r="G580" s="49"/>
      <c r="H580" s="75">
        <f t="shared" ref="H580:M580" si="280">ROUND(H572+SUM(H578:H579),5)</f>
        <v>312915.53000000003</v>
      </c>
      <c r="I580" s="75">
        <f t="shared" si="280"/>
        <v>0</v>
      </c>
      <c r="J580" s="76">
        <f t="shared" si="280"/>
        <v>337678.55</v>
      </c>
      <c r="K580" s="76">
        <f t="shared" si="280"/>
        <v>0</v>
      </c>
      <c r="L580" s="77">
        <f t="shared" si="280"/>
        <v>388157.1</v>
      </c>
      <c r="M580" s="77">
        <f t="shared" si="280"/>
        <v>0</v>
      </c>
      <c r="N580" s="78">
        <f t="shared" si="277"/>
        <v>1038751.18</v>
      </c>
      <c r="O580" s="78">
        <f t="shared" si="277"/>
        <v>0</v>
      </c>
      <c r="P580" s="79">
        <f t="shared" si="278"/>
        <v>346250.39333333337</v>
      </c>
      <c r="Q580" s="79">
        <f t="shared" si="278"/>
        <v>0</v>
      </c>
      <c r="R580" s="54"/>
      <c r="S580" s="49"/>
      <c r="T580" s="49"/>
      <c r="U580" s="49" t="s">
        <v>574</v>
      </c>
      <c r="V580" s="49"/>
      <c r="W580" s="49"/>
      <c r="X580" s="49"/>
      <c r="Y580" s="49"/>
      <c r="Z580" s="66"/>
      <c r="AA580" s="140"/>
      <c r="AB580" s="66"/>
      <c r="AC580" s="66"/>
      <c r="AD580" s="66"/>
      <c r="AE580" s="66"/>
      <c r="AF580" s="66"/>
      <c r="AG580" s="66"/>
      <c r="AH580" s="66"/>
      <c r="AI580" s="66"/>
      <c r="AJ580" s="66"/>
      <c r="AL580" s="194"/>
    </row>
    <row r="581" spans="1:40" ht="16" thickBot="1" x14ac:dyDescent="0.4">
      <c r="A581" s="66"/>
      <c r="B581" s="66" t="s">
        <v>575</v>
      </c>
      <c r="C581" s="49"/>
      <c r="D581" s="49"/>
      <c r="E581" s="49"/>
      <c r="F581" s="49"/>
      <c r="G581" s="49"/>
      <c r="H581" s="75">
        <f t="shared" ref="H581:M581" si="281">ROUND(H556+H571-H580,5)</f>
        <v>137134.84</v>
      </c>
      <c r="I581" s="75">
        <f t="shared" si="281"/>
        <v>0</v>
      </c>
      <c r="J581" s="76">
        <f t="shared" si="281"/>
        <v>238721.88</v>
      </c>
      <c r="K581" s="76">
        <f t="shared" si="281"/>
        <v>0</v>
      </c>
      <c r="L581" s="77">
        <f t="shared" si="281"/>
        <v>206028.88</v>
      </c>
      <c r="M581" s="77">
        <f t="shared" si="281"/>
        <v>0</v>
      </c>
      <c r="N581" s="78">
        <f t="shared" si="277"/>
        <v>581885.6</v>
      </c>
      <c r="O581" s="78">
        <f t="shared" si="277"/>
        <v>0</v>
      </c>
      <c r="P581" s="79">
        <f t="shared" si="278"/>
        <v>193961.86666666667</v>
      </c>
      <c r="Q581" s="79">
        <f t="shared" si="278"/>
        <v>0</v>
      </c>
      <c r="R581" s="54"/>
      <c r="S581" s="49"/>
      <c r="T581" s="49" t="s">
        <v>575</v>
      </c>
      <c r="U581" s="49"/>
      <c r="V581" s="49"/>
      <c r="W581" s="49"/>
      <c r="X581" s="49"/>
      <c r="Y581" s="49"/>
      <c r="Z581" s="66"/>
      <c r="AA581" s="140"/>
      <c r="AB581" s="66"/>
      <c r="AC581" s="66"/>
      <c r="AD581" s="66"/>
      <c r="AE581" s="66"/>
      <c r="AF581" s="66"/>
      <c r="AG581" s="66"/>
      <c r="AH581" s="66"/>
      <c r="AI581" s="66"/>
      <c r="AJ581" s="66"/>
    </row>
    <row r="582" spans="1:40" s="45" customFormat="1" ht="16" thickBot="1" x14ac:dyDescent="0.4">
      <c r="A582" s="95" t="s">
        <v>576</v>
      </c>
      <c r="B582" s="95"/>
      <c r="C582" s="49"/>
      <c r="D582" s="49"/>
      <c r="E582" s="49"/>
      <c r="F582" s="49"/>
      <c r="G582" s="49"/>
      <c r="H582" s="96">
        <f t="shared" ref="H582:M582" si="282">ROUND(H555+H581,5)</f>
        <v>44542.64</v>
      </c>
      <c r="I582" s="96">
        <f t="shared" si="282"/>
        <v>8714.58</v>
      </c>
      <c r="J582" s="97">
        <f t="shared" si="282"/>
        <v>51342.9</v>
      </c>
      <c r="K582" s="97">
        <f t="shared" si="282"/>
        <v>826.41</v>
      </c>
      <c r="L582" s="98">
        <f t="shared" si="282"/>
        <v>184453.41</v>
      </c>
      <c r="M582" s="98">
        <f t="shared" si="282"/>
        <v>354.02</v>
      </c>
      <c r="N582" s="99">
        <f t="shared" si="277"/>
        <v>280338.95</v>
      </c>
      <c r="O582" s="99">
        <f t="shared" si="277"/>
        <v>9895.01</v>
      </c>
      <c r="P582" s="100">
        <f t="shared" si="278"/>
        <v>93446.316666666666</v>
      </c>
      <c r="Q582" s="100">
        <f t="shared" si="278"/>
        <v>3298.3366666666666</v>
      </c>
      <c r="R582" s="101"/>
      <c r="S582" s="49" t="s">
        <v>576</v>
      </c>
      <c r="T582" s="49"/>
      <c r="U582" s="49"/>
      <c r="V582" s="49"/>
      <c r="W582" s="49"/>
      <c r="X582" s="49"/>
      <c r="Y582" s="49"/>
      <c r="Z582" s="99">
        <f>ROUND(Z555+Z581,5)</f>
        <v>811.37</v>
      </c>
      <c r="AA582" s="140"/>
      <c r="AB582" s="99">
        <f t="shared" ref="AB582:AI582" si="283">ROUND(AB555+AB581,5)</f>
        <v>-193160.46642000001</v>
      </c>
      <c r="AC582" s="99">
        <f t="shared" si="283"/>
        <v>-8678.4714199999999</v>
      </c>
      <c r="AD582" s="99">
        <f t="shared" si="283"/>
        <v>15325.98798</v>
      </c>
      <c r="AE582" s="99">
        <f t="shared" si="283"/>
        <v>3787.1</v>
      </c>
      <c r="AF582" s="99">
        <f t="shared" si="283"/>
        <v>5642.0349999999999</v>
      </c>
      <c r="AG582" s="99">
        <f t="shared" si="283"/>
        <v>-17387</v>
      </c>
      <c r="AH582" s="99">
        <f t="shared" si="283"/>
        <v>20318</v>
      </c>
      <c r="AI582" s="99">
        <f t="shared" si="283"/>
        <v>-17235</v>
      </c>
      <c r="AJ582" s="99">
        <f t="shared" ref="AJ582" si="284">ROUND(AJ555+AJ581,5)</f>
        <v>54630</v>
      </c>
      <c r="AK582" s="110"/>
      <c r="AL582" s="110"/>
      <c r="AN582" s="215"/>
    </row>
    <row r="583" spans="1:40" ht="16" thickTop="1" x14ac:dyDescent="0.35">
      <c r="AB583" s="47"/>
      <c r="AC583" s="47"/>
      <c r="AD583" s="47"/>
      <c r="AE583" s="47"/>
      <c r="AF583" s="47"/>
      <c r="AG583" s="47"/>
      <c r="AH583" s="47"/>
      <c r="AI583" s="47"/>
      <c r="AJ583" s="47"/>
    </row>
  </sheetData>
  <mergeCells count="2">
    <mergeCell ref="P3:Q3"/>
    <mergeCell ref="AQ170:AQ17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730-72EB-47DF-ADD4-91E9002D21C0}">
  <dimension ref="A1:AT583"/>
  <sheetViews>
    <sheetView zoomScale="130" zoomScaleNormal="130" workbookViewId="0">
      <pane ySplit="4" topLeftCell="A181" activePane="bottomLeft" state="frozen"/>
      <selection activeCell="Q1" sqref="Q1"/>
      <selection pane="bottomLeft" activeCell="AQ187" sqref="AQ187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hidden="1" customWidth="1"/>
    <col min="9" max="9" width="14.1796875" style="46" hidden="1" customWidth="1"/>
    <col min="10" max="10" width="16.81640625" style="46" hidden="1" customWidth="1"/>
    <col min="11" max="11" width="14.1796875" style="46" hidden="1" customWidth="1"/>
    <col min="12" max="12" width="16.81640625" style="46" customWidth="1"/>
    <col min="13" max="13" width="14.1796875" style="46" hidden="1" customWidth="1"/>
    <col min="14" max="14" width="16.81640625" style="46" hidden="1" customWidth="1"/>
    <col min="15" max="15" width="14.81640625" style="46" hidden="1" customWidth="1"/>
    <col min="16" max="16" width="16.81640625" style="46" hidden="1" customWidth="1"/>
    <col min="17" max="17" width="14.1796875" style="46" hidden="1" customWidth="1"/>
    <col min="18" max="18" width="0.81640625" style="46" customWidth="1"/>
    <col min="19" max="24" width="0.90625" style="45" hidden="1" customWidth="1"/>
    <col min="25" max="25" width="49.36328125" style="45" hidden="1" customWidth="1"/>
    <col min="26" max="26" width="22.54296875" style="47" customWidth="1"/>
    <col min="27" max="27" width="0.6328125" style="46" customWidth="1"/>
    <col min="28" max="36" width="17.1796875" style="46" hidden="1" customWidth="1"/>
    <col min="37" max="37" width="17.1796875" style="46" customWidth="1"/>
    <col min="38" max="38" width="22.90625" style="110" customWidth="1"/>
    <col min="39" max="39" width="48.36328125" style="110" customWidth="1"/>
    <col min="40" max="40" width="12.08984375" style="46" customWidth="1"/>
    <col min="41" max="41" width="19.81640625" style="111" customWidth="1"/>
    <col min="42" max="42" width="18.453125" style="46" customWidth="1"/>
    <col min="43" max="43" width="14.81640625" style="46" customWidth="1"/>
    <col min="44" max="44" width="17.36328125" style="46" bestFit="1" customWidth="1"/>
    <col min="45" max="45" width="11.81640625" style="46" customWidth="1"/>
    <col min="46" max="46" width="12.6328125" style="159" bestFit="1" customWidth="1"/>
    <col min="47" max="16384" width="8.81640625" style="46"/>
  </cols>
  <sheetData>
    <row r="1" spans="1:46" ht="25" customHeight="1" thickBot="1" x14ac:dyDescent="0.4">
      <c r="H1" s="103">
        <f t="shared" ref="H1:Q1" si="0">H582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103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Z582</f>
        <v>811.37</v>
      </c>
      <c r="AA1" s="139"/>
      <c r="AB1" s="106">
        <f t="shared" ref="AB1:AJ1" si="1">AB582</f>
        <v>-193160.46642000001</v>
      </c>
      <c r="AC1" s="129">
        <f t="shared" si="1"/>
        <v>-8678.4714199999999</v>
      </c>
      <c r="AD1" s="132">
        <f t="shared" si="1"/>
        <v>15325.98798</v>
      </c>
      <c r="AE1" s="153">
        <f t="shared" si="1"/>
        <v>3787.1</v>
      </c>
      <c r="AF1" s="161">
        <f t="shared" si="1"/>
        <v>5642.0349999999999</v>
      </c>
      <c r="AG1" s="106">
        <f t="shared" si="1"/>
        <v>-17387</v>
      </c>
      <c r="AH1" s="208">
        <f t="shared" si="1"/>
        <v>20318</v>
      </c>
      <c r="AI1" s="267">
        <f t="shared" si="1"/>
        <v>-17235</v>
      </c>
      <c r="AJ1" s="262">
        <f t="shared" si="1"/>
        <v>54630</v>
      </c>
      <c r="AK1" s="263">
        <f t="shared" ref="AK1" si="2">AK582</f>
        <v>102200</v>
      </c>
      <c r="AM1" s="173"/>
    </row>
    <row r="2" spans="1:46" ht="16.5" thickBot="1" x14ac:dyDescent="0.4">
      <c r="AA2" s="140"/>
      <c r="AB2" s="44" t="s">
        <v>583</v>
      </c>
      <c r="AC2" s="130" t="s">
        <v>894</v>
      </c>
      <c r="AD2" s="133" t="s">
        <v>896</v>
      </c>
      <c r="AE2" s="154" t="s">
        <v>909</v>
      </c>
      <c r="AF2" s="162" t="s">
        <v>944</v>
      </c>
      <c r="AG2" s="169" t="s">
        <v>958</v>
      </c>
      <c r="AH2" s="209" t="s">
        <v>1004</v>
      </c>
      <c r="AI2" s="268" t="s">
        <v>1008</v>
      </c>
      <c r="AJ2" s="264" t="s">
        <v>1013</v>
      </c>
      <c r="AK2" s="265" t="s">
        <v>1022</v>
      </c>
    </row>
    <row r="3" spans="1:46" ht="26.5" customHeight="1" thickTop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8" t="s">
        <v>4</v>
      </c>
      <c r="M3" s="52"/>
      <c r="N3" s="53" t="s">
        <v>0</v>
      </c>
      <c r="O3" s="48"/>
      <c r="P3" s="317" t="s">
        <v>577</v>
      </c>
      <c r="Q3" s="317"/>
      <c r="R3" s="54"/>
      <c r="S3" s="49"/>
      <c r="T3" s="49"/>
      <c r="U3" s="49"/>
      <c r="V3" s="49"/>
      <c r="W3" s="49"/>
      <c r="X3" s="49"/>
      <c r="Y3" s="49"/>
      <c r="Z3" s="237" t="s">
        <v>578</v>
      </c>
      <c r="AA3" s="140"/>
      <c r="AB3" s="239" t="s">
        <v>582</v>
      </c>
      <c r="AC3" s="235" t="s">
        <v>582</v>
      </c>
      <c r="AD3" s="235" t="s">
        <v>582</v>
      </c>
      <c r="AE3" s="235" t="s">
        <v>582</v>
      </c>
      <c r="AF3" s="235" t="s">
        <v>582</v>
      </c>
      <c r="AG3" s="235" t="s">
        <v>582</v>
      </c>
      <c r="AH3" s="235" t="s">
        <v>582</v>
      </c>
      <c r="AI3" s="235" t="s">
        <v>582</v>
      </c>
      <c r="AJ3" s="235" t="s">
        <v>582</v>
      </c>
      <c r="AK3" s="235" t="s">
        <v>582</v>
      </c>
    </row>
    <row r="4" spans="1:46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238" t="s">
        <v>1033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61"/>
      <c r="S4" s="55"/>
      <c r="T4" s="55"/>
      <c r="U4" s="55"/>
      <c r="V4" s="55"/>
      <c r="W4" s="55"/>
      <c r="X4" s="55"/>
      <c r="Y4" s="55"/>
      <c r="Z4" s="238" t="s">
        <v>2</v>
      </c>
      <c r="AA4" s="141"/>
      <c r="AB4" s="240" t="s">
        <v>2</v>
      </c>
      <c r="AC4" s="236" t="s">
        <v>2</v>
      </c>
      <c r="AD4" s="236" t="s">
        <v>2</v>
      </c>
      <c r="AE4" s="236" t="s">
        <v>2</v>
      </c>
      <c r="AF4" s="236" t="s">
        <v>2</v>
      </c>
      <c r="AG4" s="236" t="s">
        <v>2</v>
      </c>
      <c r="AH4" s="236" t="s">
        <v>2</v>
      </c>
      <c r="AI4" s="236" t="s">
        <v>2</v>
      </c>
      <c r="AJ4" s="236" t="s">
        <v>2</v>
      </c>
      <c r="AK4" s="236" t="s">
        <v>2</v>
      </c>
      <c r="AL4" s="110"/>
      <c r="AM4" s="174"/>
      <c r="AO4" s="214"/>
      <c r="AT4" s="245"/>
    </row>
    <row r="5" spans="1:46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67"/>
      <c r="Q5" s="67"/>
      <c r="R5" s="68"/>
      <c r="T5" s="49" t="s">
        <v>6</v>
      </c>
      <c r="Z5" s="66"/>
      <c r="AA5" s="142"/>
      <c r="AL5" s="110"/>
      <c r="AM5" s="175"/>
      <c r="AO5" s="215"/>
      <c r="AT5" s="246"/>
    </row>
    <row r="6" spans="1:46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67"/>
      <c r="Q6" s="67"/>
      <c r="R6" s="54"/>
      <c r="S6" s="49"/>
      <c r="T6" s="49"/>
      <c r="U6" s="49" t="s">
        <v>7</v>
      </c>
      <c r="V6" s="49"/>
      <c r="W6" s="49"/>
      <c r="X6" s="49"/>
      <c r="Y6" s="49"/>
      <c r="Z6" s="66"/>
      <c r="AA6" s="140"/>
      <c r="AP6" s="171">
        <f>AP177+AP178+AP179</f>
        <v>142100</v>
      </c>
    </row>
    <row r="7" spans="1:46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67"/>
      <c r="Q7" s="67"/>
      <c r="R7" s="54"/>
      <c r="S7" s="49"/>
      <c r="T7" s="49"/>
      <c r="U7" s="49"/>
      <c r="V7" s="49" t="s">
        <v>8</v>
      </c>
      <c r="W7" s="49"/>
      <c r="X7" s="49"/>
      <c r="Y7" s="49"/>
      <c r="Z7" s="66"/>
      <c r="AA7" s="140"/>
      <c r="AO7" s="131"/>
      <c r="AP7" s="111"/>
      <c r="AR7"/>
    </row>
    <row r="8" spans="1:46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67"/>
      <c r="Q8" s="67"/>
      <c r="R8" s="54"/>
      <c r="S8" s="49"/>
      <c r="T8" s="49"/>
      <c r="U8" s="49"/>
      <c r="V8" s="49"/>
      <c r="W8" s="49" t="s">
        <v>9</v>
      </c>
      <c r="X8" s="49"/>
      <c r="Y8" s="49"/>
      <c r="Z8" s="66"/>
      <c r="AA8" s="140"/>
      <c r="AO8" s="131"/>
      <c r="AP8" s="111"/>
      <c r="AR8"/>
    </row>
    <row r="9" spans="1:46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67"/>
      <c r="Q9" s="67"/>
      <c r="R9" s="54"/>
      <c r="S9" s="49"/>
      <c r="T9" s="49"/>
      <c r="U9" s="49"/>
      <c r="V9" s="49"/>
      <c r="W9" s="49"/>
      <c r="X9" s="49" t="s">
        <v>10</v>
      </c>
      <c r="Y9" s="49"/>
      <c r="Z9" s="66"/>
      <c r="AA9" s="14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  <c r="AG9" s="66">
        <v>1026054.2</v>
      </c>
      <c r="AH9" s="66">
        <v>1026054.2</v>
      </c>
      <c r="AI9" s="66">
        <v>1026054.2</v>
      </c>
      <c r="AJ9" s="66">
        <v>1026054.2</v>
      </c>
      <c r="AK9" s="66">
        <v>1026054.2</v>
      </c>
      <c r="AO9" s="131"/>
      <c r="AP9" s="111"/>
    </row>
    <row r="10" spans="1:46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3">ROUND(H10+J10+L10,5)</f>
        <v>270788.24</v>
      </c>
      <c r="O10" s="66">
        <f t="shared" si="3"/>
        <v>174481</v>
      </c>
      <c r="P10" s="69">
        <f>N10/3</f>
        <v>90262.746666666659</v>
      </c>
      <c r="Q10" s="69">
        <f>O10/3</f>
        <v>58160.333333333336</v>
      </c>
      <c r="R10" s="5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140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O10" s="131"/>
      <c r="AP10" s="111"/>
    </row>
    <row r="11" spans="1:46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3"/>
        <v>104161.84</v>
      </c>
      <c r="O11" s="66">
        <f t="shared" si="3"/>
        <v>47215</v>
      </c>
      <c r="P11" s="69">
        <f t="shared" ref="P11:Q74" si="4">N11/3</f>
        <v>34720.613333333335</v>
      </c>
      <c r="Q11" s="69">
        <f t="shared" si="4"/>
        <v>15738.333333333334</v>
      </c>
      <c r="R11" s="5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140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O11" s="131"/>
      <c r="AP11" s="111"/>
    </row>
    <row r="12" spans="1:46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3"/>
        <v>0</v>
      </c>
      <c r="O12" s="66">
        <f t="shared" si="3"/>
        <v>8970</v>
      </c>
      <c r="P12" s="69">
        <f t="shared" si="4"/>
        <v>0</v>
      </c>
      <c r="Q12" s="69">
        <f t="shared" si="4"/>
        <v>2990</v>
      </c>
      <c r="R12" s="5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140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O12" s="131"/>
      <c r="AP12" s="111"/>
    </row>
    <row r="13" spans="1:46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3"/>
        <v>49113.85</v>
      </c>
      <c r="O13" s="66">
        <f t="shared" si="3"/>
        <v>22276</v>
      </c>
      <c r="P13" s="69">
        <f t="shared" si="4"/>
        <v>16371.283333333333</v>
      </c>
      <c r="Q13" s="69">
        <f t="shared" si="4"/>
        <v>7425.333333333333</v>
      </c>
      <c r="R13" s="5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140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O13" s="131"/>
      <c r="AP13" s="111"/>
    </row>
    <row r="14" spans="1:46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3"/>
        <v>7790</v>
      </c>
      <c r="O14" s="73">
        <f t="shared" si="3"/>
        <v>1400</v>
      </c>
      <c r="P14" s="74">
        <f t="shared" si="4"/>
        <v>2596.6666666666665</v>
      </c>
      <c r="Q14" s="74">
        <f t="shared" si="4"/>
        <v>466.66666666666669</v>
      </c>
      <c r="R14" s="5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140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O14" s="131"/>
      <c r="AP14" s="111"/>
    </row>
    <row r="15" spans="1:46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5">ROUND(SUM(H9:H14),5)</f>
        <v>171173.36</v>
      </c>
      <c r="I15" s="63">
        <f t="shared" si="5"/>
        <v>33072</v>
      </c>
      <c r="J15" s="64">
        <f t="shared" si="5"/>
        <v>129396.15</v>
      </c>
      <c r="K15" s="64">
        <f t="shared" si="5"/>
        <v>61776</v>
      </c>
      <c r="L15" s="65">
        <f t="shared" si="5"/>
        <v>131284.42000000001</v>
      </c>
      <c r="M15" s="65">
        <f t="shared" si="5"/>
        <v>159494</v>
      </c>
      <c r="N15" s="66">
        <f t="shared" si="3"/>
        <v>431853.93</v>
      </c>
      <c r="O15" s="66">
        <f t="shared" si="3"/>
        <v>254342</v>
      </c>
      <c r="P15" s="69">
        <f t="shared" si="4"/>
        <v>143951.31</v>
      </c>
      <c r="Q15" s="69">
        <f t="shared" si="4"/>
        <v>84780.666666666672</v>
      </c>
      <c r="R15" s="5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140"/>
      <c r="AB15" s="66">
        <f t="shared" ref="AB15:AJ15" si="6">ROUND(SUM(AB9:AB14),5)</f>
        <v>960784.8</v>
      </c>
      <c r="AC15" s="66">
        <f t="shared" si="6"/>
        <v>960784.8</v>
      </c>
      <c r="AD15" s="66">
        <f t="shared" si="6"/>
        <v>1026054.2</v>
      </c>
      <c r="AE15" s="66">
        <f t="shared" si="6"/>
        <v>1026054.2</v>
      </c>
      <c r="AF15" s="66">
        <f t="shared" si="6"/>
        <v>1026054.2</v>
      </c>
      <c r="AG15" s="66">
        <f t="shared" si="6"/>
        <v>1026054.2</v>
      </c>
      <c r="AH15" s="66">
        <f t="shared" si="6"/>
        <v>1026054.2</v>
      </c>
      <c r="AI15" s="66">
        <f t="shared" si="6"/>
        <v>1026054.2</v>
      </c>
      <c r="AJ15" s="66">
        <f t="shared" si="6"/>
        <v>1026054.2</v>
      </c>
      <c r="AK15" s="66">
        <f t="shared" ref="AK15" si="7">ROUND(SUM(AK9:AK14),5)</f>
        <v>1026054.2</v>
      </c>
      <c r="AO15" s="131"/>
      <c r="AP15" s="111"/>
    </row>
    <row r="16" spans="1:46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54"/>
      <c r="S16" s="49"/>
      <c r="T16" s="49"/>
      <c r="U16" s="49"/>
      <c r="V16" s="49"/>
      <c r="W16" s="49"/>
      <c r="X16" s="49" t="s">
        <v>17</v>
      </c>
      <c r="Y16" s="49"/>
      <c r="Z16" s="66"/>
      <c r="AA16" s="140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O16" s="131"/>
      <c r="AP16" s="111"/>
    </row>
    <row r="17" spans="1:42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8">ROUND(H17+J17+L17,5)</f>
        <v>101809.82</v>
      </c>
      <c r="O17" s="66">
        <f t="shared" si="8"/>
        <v>79973</v>
      </c>
      <c r="P17" s="69">
        <f t="shared" si="4"/>
        <v>33936.606666666667</v>
      </c>
      <c r="Q17" s="69">
        <f t="shared" si="4"/>
        <v>26657.666666666668</v>
      </c>
      <c r="R17" s="5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140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O17" s="131"/>
      <c r="AP17" s="111"/>
    </row>
    <row r="18" spans="1:42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8"/>
        <v>26984.29</v>
      </c>
      <c r="O18" s="66">
        <f t="shared" si="8"/>
        <v>23625</v>
      </c>
      <c r="P18" s="69">
        <f t="shared" si="4"/>
        <v>8994.7633333333342</v>
      </c>
      <c r="Q18" s="69">
        <f t="shared" si="4"/>
        <v>7875</v>
      </c>
      <c r="R18" s="5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140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O18" s="131"/>
      <c r="AP18" s="111"/>
    </row>
    <row r="19" spans="1:42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8"/>
        <v>17270</v>
      </c>
      <c r="O19" s="66">
        <f t="shared" si="8"/>
        <v>35512</v>
      </c>
      <c r="P19" s="69">
        <f t="shared" si="4"/>
        <v>5756.666666666667</v>
      </c>
      <c r="Q19" s="69">
        <f t="shared" si="4"/>
        <v>11837.333333333334</v>
      </c>
      <c r="R19" s="5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140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O19" s="131"/>
      <c r="AP19" s="111"/>
    </row>
    <row r="20" spans="1:42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8"/>
        <v>22714.81</v>
      </c>
      <c r="O20" s="66">
        <f t="shared" si="8"/>
        <v>35292</v>
      </c>
      <c r="P20" s="69">
        <f t="shared" si="4"/>
        <v>7571.6033333333335</v>
      </c>
      <c r="Q20" s="69">
        <f t="shared" si="4"/>
        <v>11764</v>
      </c>
      <c r="R20" s="5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140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O20" s="131"/>
      <c r="AP20" s="111"/>
    </row>
    <row r="21" spans="1:42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8"/>
        <v>3255.05</v>
      </c>
      <c r="O21" s="66">
        <f t="shared" si="8"/>
        <v>0</v>
      </c>
      <c r="P21" s="69">
        <f t="shared" si="4"/>
        <v>1085.0166666666667</v>
      </c>
      <c r="Q21" s="69">
        <f t="shared" si="4"/>
        <v>0</v>
      </c>
      <c r="R21" s="5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140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O21" s="131"/>
      <c r="AP21" s="111"/>
    </row>
    <row r="22" spans="1:42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8"/>
        <v>24336.65</v>
      </c>
      <c r="O22" s="66">
        <f t="shared" si="8"/>
        <v>58135</v>
      </c>
      <c r="P22" s="69">
        <f t="shared" si="4"/>
        <v>8112.2166666666672</v>
      </c>
      <c r="Q22" s="69">
        <f t="shared" si="4"/>
        <v>19378.333333333332</v>
      </c>
      <c r="R22" s="5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140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O22" s="131"/>
      <c r="AP22" s="111"/>
    </row>
    <row r="23" spans="1:42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8"/>
        <v>3560.05</v>
      </c>
      <c r="O23" s="66">
        <f t="shared" si="8"/>
        <v>0</v>
      </c>
      <c r="P23" s="69">
        <f t="shared" si="4"/>
        <v>1186.6833333333334</v>
      </c>
      <c r="Q23" s="69">
        <f t="shared" si="4"/>
        <v>0</v>
      </c>
      <c r="R23" s="5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140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O23" s="131"/>
      <c r="AP23" s="111"/>
    </row>
    <row r="24" spans="1:42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8"/>
        <v>20454.099999999999</v>
      </c>
      <c r="O24" s="66">
        <f t="shared" si="8"/>
        <v>42287</v>
      </c>
      <c r="P24" s="69">
        <f t="shared" si="4"/>
        <v>6818.0333333333328</v>
      </c>
      <c r="Q24" s="69">
        <f t="shared" si="4"/>
        <v>14095.666666666666</v>
      </c>
      <c r="R24" s="5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140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O24" s="131"/>
      <c r="AP24" s="111"/>
    </row>
    <row r="25" spans="1:42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8"/>
        <v>13358.41</v>
      </c>
      <c r="O25" s="66">
        <f t="shared" si="8"/>
        <v>17758</v>
      </c>
      <c r="P25" s="69">
        <f t="shared" si="4"/>
        <v>4452.8033333333333</v>
      </c>
      <c r="Q25" s="69">
        <f t="shared" si="4"/>
        <v>5919.333333333333</v>
      </c>
      <c r="R25" s="5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140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O25" s="131"/>
      <c r="AP25" s="111"/>
    </row>
    <row r="26" spans="1:42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8"/>
        <v>5642.08</v>
      </c>
      <c r="O26" s="66">
        <f t="shared" si="8"/>
        <v>0</v>
      </c>
      <c r="P26" s="69">
        <f t="shared" si="4"/>
        <v>1880.6933333333334</v>
      </c>
      <c r="Q26" s="69">
        <f t="shared" si="4"/>
        <v>0</v>
      </c>
      <c r="R26" s="5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140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O26" s="131"/>
      <c r="AP26" s="111"/>
    </row>
    <row r="27" spans="1:42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8"/>
        <v>28947.17</v>
      </c>
      <c r="O27" s="66">
        <f t="shared" si="8"/>
        <v>23569</v>
      </c>
      <c r="P27" s="69">
        <f t="shared" si="4"/>
        <v>9649.0566666666655</v>
      </c>
      <c r="Q27" s="69">
        <f t="shared" si="4"/>
        <v>7856.333333333333</v>
      </c>
      <c r="R27" s="5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140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O27" s="131"/>
      <c r="AP27" s="111"/>
    </row>
    <row r="28" spans="1:42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8"/>
        <v>6391.99</v>
      </c>
      <c r="O28" s="66">
        <f t="shared" si="8"/>
        <v>5858</v>
      </c>
      <c r="P28" s="69">
        <f t="shared" si="4"/>
        <v>2130.6633333333334</v>
      </c>
      <c r="Q28" s="69">
        <f t="shared" si="4"/>
        <v>1952.6666666666667</v>
      </c>
      <c r="R28" s="5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140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O28" s="131"/>
      <c r="AP28" s="111"/>
    </row>
    <row r="29" spans="1:42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8"/>
        <v>33957.879999999997</v>
      </c>
      <c r="O29" s="66">
        <f t="shared" si="8"/>
        <v>66808</v>
      </c>
      <c r="P29" s="69">
        <f t="shared" si="4"/>
        <v>11319.293333333333</v>
      </c>
      <c r="Q29" s="69">
        <f t="shared" si="4"/>
        <v>22269.333333333332</v>
      </c>
      <c r="R29" s="5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140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O29" s="131"/>
      <c r="AP29" s="111"/>
    </row>
    <row r="30" spans="1:42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8"/>
        <v>44017.48</v>
      </c>
      <c r="O30" s="66">
        <f t="shared" si="8"/>
        <v>49854</v>
      </c>
      <c r="P30" s="69">
        <f t="shared" si="4"/>
        <v>14672.493333333334</v>
      </c>
      <c r="Q30" s="69">
        <f t="shared" si="4"/>
        <v>16618</v>
      </c>
      <c r="R30" s="5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140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O30" s="131"/>
      <c r="AP30" s="111"/>
    </row>
    <row r="31" spans="1:42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8"/>
        <v>64578.81</v>
      </c>
      <c r="O31" s="66">
        <f t="shared" si="8"/>
        <v>27090</v>
      </c>
      <c r="P31" s="69">
        <f t="shared" si="4"/>
        <v>21526.27</v>
      </c>
      <c r="Q31" s="69">
        <f t="shared" si="4"/>
        <v>9030</v>
      </c>
      <c r="R31" s="5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140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O31" s="131"/>
      <c r="AP31" s="111"/>
    </row>
    <row r="32" spans="1:42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8"/>
        <v>14800.16</v>
      </c>
      <c r="O32" s="66">
        <f t="shared" si="8"/>
        <v>0</v>
      </c>
      <c r="P32" s="69">
        <f t="shared" si="4"/>
        <v>4933.3866666666663</v>
      </c>
      <c r="Q32" s="69">
        <f t="shared" si="4"/>
        <v>0</v>
      </c>
      <c r="R32" s="5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140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O32" s="131"/>
      <c r="AP32" s="111"/>
    </row>
    <row r="33" spans="1:42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8"/>
        <v>1604.11</v>
      </c>
      <c r="O33" s="66">
        <f t="shared" si="8"/>
        <v>22561</v>
      </c>
      <c r="P33" s="69">
        <f t="shared" si="4"/>
        <v>534.70333333333326</v>
      </c>
      <c r="Q33" s="69">
        <f t="shared" si="4"/>
        <v>7520.333333333333</v>
      </c>
      <c r="R33" s="5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140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O33" s="131"/>
      <c r="AP33" s="111"/>
    </row>
    <row r="34" spans="1:42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8"/>
        <v>1104</v>
      </c>
      <c r="O34" s="66">
        <f t="shared" si="8"/>
        <v>7038</v>
      </c>
      <c r="P34" s="69">
        <f t="shared" si="4"/>
        <v>368</v>
      </c>
      <c r="Q34" s="69">
        <f t="shared" si="4"/>
        <v>2346</v>
      </c>
      <c r="R34" s="5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140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O34" s="131"/>
      <c r="AP34" s="111"/>
    </row>
    <row r="35" spans="1:42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8"/>
        <v>0</v>
      </c>
      <c r="O35" s="66">
        <f t="shared" si="8"/>
        <v>15254</v>
      </c>
      <c r="P35" s="69">
        <f t="shared" si="4"/>
        <v>0</v>
      </c>
      <c r="Q35" s="69">
        <f t="shared" si="4"/>
        <v>5084.666666666667</v>
      </c>
      <c r="R35" s="5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140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O35" s="131"/>
      <c r="AP35" s="111"/>
    </row>
    <row r="36" spans="1:42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4"/>
        <v>1854.64</v>
      </c>
      <c r="Q36" s="69">
        <f t="shared" si="4"/>
        <v>0</v>
      </c>
      <c r="R36" s="5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140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O36" s="131"/>
      <c r="AP36" s="111"/>
    </row>
    <row r="37" spans="1:42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4"/>
        <v>0</v>
      </c>
      <c r="Q37" s="69">
        <f t="shared" si="4"/>
        <v>0</v>
      </c>
      <c r="R37" s="5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140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O37" s="131"/>
      <c r="AP37" s="111"/>
    </row>
    <row r="38" spans="1:42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4"/>
        <v>0</v>
      </c>
      <c r="Q38" s="74">
        <f t="shared" si="4"/>
        <v>0</v>
      </c>
      <c r="R38" s="5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140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O38" s="131"/>
      <c r="AP38" s="111"/>
    </row>
    <row r="39" spans="1:42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9">ROUND(SUM(H16:H38),5)</f>
        <v>125929.22</v>
      </c>
      <c r="I39" s="63">
        <f t="shared" si="9"/>
        <v>120263</v>
      </c>
      <c r="J39" s="64">
        <f t="shared" si="9"/>
        <v>136830.26</v>
      </c>
      <c r="K39" s="64">
        <f t="shared" si="9"/>
        <v>203448</v>
      </c>
      <c r="L39" s="65">
        <f t="shared" si="9"/>
        <v>177591.3</v>
      </c>
      <c r="M39" s="65">
        <f t="shared" si="9"/>
        <v>186903</v>
      </c>
      <c r="N39" s="66">
        <f>ROUND(H39+J39+L39,5)</f>
        <v>440350.78</v>
      </c>
      <c r="O39" s="66">
        <f>ROUND(I39+K39+M39,5)</f>
        <v>510614</v>
      </c>
      <c r="P39" s="69">
        <f t="shared" si="4"/>
        <v>146783.59333333335</v>
      </c>
      <c r="Q39" s="69">
        <f t="shared" si="4"/>
        <v>170204.66666666666</v>
      </c>
      <c r="R39" s="5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140"/>
      <c r="AB39" s="66">
        <f t="shared" ref="AB39:AJ39" si="10">ROUND(SUM(AB16:AB38),5)</f>
        <v>0</v>
      </c>
      <c r="AC39" s="66">
        <f t="shared" si="10"/>
        <v>0</v>
      </c>
      <c r="AD39" s="66">
        <f t="shared" si="10"/>
        <v>0</v>
      </c>
      <c r="AE39" s="66">
        <f t="shared" si="10"/>
        <v>0</v>
      </c>
      <c r="AF39" s="66">
        <f t="shared" si="10"/>
        <v>0</v>
      </c>
      <c r="AG39" s="66">
        <f t="shared" si="10"/>
        <v>0</v>
      </c>
      <c r="AH39" s="66">
        <f t="shared" si="10"/>
        <v>0</v>
      </c>
      <c r="AI39" s="66">
        <f t="shared" si="10"/>
        <v>0</v>
      </c>
      <c r="AJ39" s="66">
        <f t="shared" si="10"/>
        <v>0</v>
      </c>
      <c r="AK39" s="66">
        <f t="shared" ref="AK39" si="11">ROUND(SUM(AK16:AK38),5)</f>
        <v>0</v>
      </c>
      <c r="AO39" s="131"/>
      <c r="AP39" s="111"/>
    </row>
    <row r="40" spans="1:42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54"/>
      <c r="S40" s="49"/>
      <c r="T40" s="49"/>
      <c r="U40" s="49"/>
      <c r="V40" s="49"/>
      <c r="W40" s="49"/>
      <c r="X40" s="49" t="s">
        <v>41</v>
      </c>
      <c r="Y40" s="49"/>
      <c r="Z40" s="66"/>
      <c r="AA40" s="140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O40" s="131"/>
      <c r="AP40" s="111"/>
    </row>
    <row r="41" spans="1:42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12">ROUND(H41+J41+L41,5)</f>
        <v>17081.599999999999</v>
      </c>
      <c r="O41" s="66">
        <f t="shared" si="12"/>
        <v>44688</v>
      </c>
      <c r="P41" s="69">
        <f t="shared" si="4"/>
        <v>5693.8666666666659</v>
      </c>
      <c r="Q41" s="69">
        <f t="shared" si="4"/>
        <v>14896</v>
      </c>
      <c r="R41" s="5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140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O41" s="131"/>
      <c r="AP41" s="111"/>
    </row>
    <row r="42" spans="1:42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12"/>
        <v>1953.03</v>
      </c>
      <c r="O42" s="66">
        <f t="shared" si="12"/>
        <v>0</v>
      </c>
      <c r="P42" s="69">
        <f t="shared" si="4"/>
        <v>651.01</v>
      </c>
      <c r="Q42" s="69">
        <f t="shared" si="4"/>
        <v>0</v>
      </c>
      <c r="R42" s="5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140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O42" s="131"/>
      <c r="AP42" s="111"/>
    </row>
    <row r="43" spans="1:42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12"/>
        <v>6637.98</v>
      </c>
      <c r="O43" s="66">
        <f t="shared" si="12"/>
        <v>16220</v>
      </c>
      <c r="P43" s="69">
        <f t="shared" si="4"/>
        <v>2212.66</v>
      </c>
      <c r="Q43" s="69">
        <f t="shared" si="4"/>
        <v>5406.666666666667</v>
      </c>
      <c r="R43" s="5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140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O43" s="131"/>
      <c r="AP43" s="111"/>
    </row>
    <row r="44" spans="1:42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12"/>
        <v>0</v>
      </c>
      <c r="O44" s="73">
        <f t="shared" si="12"/>
        <v>0</v>
      </c>
      <c r="P44" s="74">
        <f t="shared" si="4"/>
        <v>0</v>
      </c>
      <c r="Q44" s="74">
        <f t="shared" si="4"/>
        <v>0</v>
      </c>
      <c r="R44" s="5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140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O44" s="131"/>
      <c r="AP44" s="111"/>
    </row>
    <row r="45" spans="1:42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13">ROUND(SUM(H40:H44),5)</f>
        <v>5918.6</v>
      </c>
      <c r="I45" s="63">
        <f t="shared" si="13"/>
        <v>27950</v>
      </c>
      <c r="J45" s="64">
        <f t="shared" si="13"/>
        <v>10455</v>
      </c>
      <c r="K45" s="64">
        <f t="shared" si="13"/>
        <v>22248</v>
      </c>
      <c r="L45" s="65">
        <f t="shared" si="13"/>
        <v>9299.01</v>
      </c>
      <c r="M45" s="65">
        <f t="shared" si="13"/>
        <v>10710</v>
      </c>
      <c r="N45" s="66">
        <f t="shared" si="12"/>
        <v>25672.61</v>
      </c>
      <c r="O45" s="66">
        <f t="shared" si="12"/>
        <v>60908</v>
      </c>
      <c r="P45" s="69">
        <f t="shared" si="4"/>
        <v>8557.5366666666669</v>
      </c>
      <c r="Q45" s="69">
        <f t="shared" si="4"/>
        <v>20302.666666666668</v>
      </c>
      <c r="R45" s="5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140"/>
      <c r="AB45" s="66">
        <f t="shared" ref="AB45:AJ45" si="14">ROUND(SUM(AB40:AB44),5)</f>
        <v>0</v>
      </c>
      <c r="AC45" s="66">
        <f t="shared" si="14"/>
        <v>0</v>
      </c>
      <c r="AD45" s="66">
        <f t="shared" si="14"/>
        <v>0</v>
      </c>
      <c r="AE45" s="66">
        <f t="shared" si="14"/>
        <v>0</v>
      </c>
      <c r="AF45" s="66">
        <f t="shared" si="14"/>
        <v>0</v>
      </c>
      <c r="AG45" s="66">
        <f t="shared" si="14"/>
        <v>0</v>
      </c>
      <c r="AH45" s="66">
        <f t="shared" si="14"/>
        <v>0</v>
      </c>
      <c r="AI45" s="66">
        <f t="shared" si="14"/>
        <v>0</v>
      </c>
      <c r="AJ45" s="66">
        <f t="shared" si="14"/>
        <v>0</v>
      </c>
      <c r="AK45" s="66">
        <f t="shared" ref="AK45" si="15">ROUND(SUM(AK40:AK44),5)</f>
        <v>0</v>
      </c>
      <c r="AO45" s="131"/>
      <c r="AP45" s="111"/>
    </row>
    <row r="46" spans="1:42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54"/>
      <c r="S46" s="49"/>
      <c r="T46" s="49"/>
      <c r="U46" s="49"/>
      <c r="V46" s="49"/>
      <c r="W46" s="49"/>
      <c r="X46" s="49" t="s">
        <v>47</v>
      </c>
      <c r="Y46" s="49"/>
      <c r="Z46" s="66"/>
      <c r="AA46" s="140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O46" s="131"/>
      <c r="AP46" s="111"/>
    </row>
    <row r="47" spans="1:42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16">ROUND(H47+J47+L47,5)</f>
        <v>87354.12</v>
      </c>
      <c r="O47" s="66">
        <f t="shared" si="16"/>
        <v>72146</v>
      </c>
      <c r="P47" s="69">
        <f t="shared" si="4"/>
        <v>29118.039999999997</v>
      </c>
      <c r="Q47" s="69">
        <f t="shared" si="4"/>
        <v>24048.666666666668</v>
      </c>
      <c r="R47" s="5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140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O47" s="131"/>
      <c r="AP47" s="111"/>
    </row>
    <row r="48" spans="1:42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6"/>
        <v>12866.68</v>
      </c>
      <c r="O48" s="66">
        <f t="shared" si="16"/>
        <v>23176</v>
      </c>
      <c r="P48" s="69">
        <f t="shared" si="4"/>
        <v>4288.8933333333334</v>
      </c>
      <c r="Q48" s="69">
        <f t="shared" si="4"/>
        <v>7725.333333333333</v>
      </c>
      <c r="R48" s="5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140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O48" s="131"/>
      <c r="AP48" s="111"/>
    </row>
    <row r="49" spans="1:42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6"/>
        <v>1104</v>
      </c>
      <c r="O49" s="66">
        <f t="shared" si="16"/>
        <v>19670</v>
      </c>
      <c r="P49" s="69">
        <f t="shared" si="4"/>
        <v>368</v>
      </c>
      <c r="Q49" s="69">
        <f t="shared" si="4"/>
        <v>6556.666666666667</v>
      </c>
      <c r="R49" s="5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140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O49" s="131"/>
      <c r="AP49" s="111"/>
    </row>
    <row r="50" spans="1:42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6"/>
        <v>35352.550000000003</v>
      </c>
      <c r="O50" s="66">
        <f t="shared" si="16"/>
        <v>25225</v>
      </c>
      <c r="P50" s="69">
        <f t="shared" si="4"/>
        <v>11784.183333333334</v>
      </c>
      <c r="Q50" s="69">
        <f t="shared" si="4"/>
        <v>8408.3333333333339</v>
      </c>
      <c r="R50" s="5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140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O50" s="131"/>
      <c r="AP50" s="111"/>
    </row>
    <row r="51" spans="1:42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6"/>
        <v>3884.55</v>
      </c>
      <c r="O51" s="66">
        <f t="shared" si="16"/>
        <v>1190</v>
      </c>
      <c r="P51" s="69">
        <f t="shared" si="4"/>
        <v>1294.8500000000001</v>
      </c>
      <c r="Q51" s="69">
        <f t="shared" si="4"/>
        <v>396.66666666666669</v>
      </c>
      <c r="R51" s="5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140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O51" s="131"/>
      <c r="AP51" s="111"/>
    </row>
    <row r="52" spans="1:42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6"/>
        <v>3960</v>
      </c>
      <c r="O52" s="66">
        <f t="shared" si="16"/>
        <v>11560</v>
      </c>
      <c r="P52" s="69">
        <f t="shared" si="4"/>
        <v>1320</v>
      </c>
      <c r="Q52" s="69">
        <f t="shared" si="4"/>
        <v>3853.3333333333335</v>
      </c>
      <c r="R52" s="5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140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O52" s="131"/>
      <c r="AP52" s="111"/>
    </row>
    <row r="53" spans="1:42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6"/>
        <v>546</v>
      </c>
      <c r="O53" s="66">
        <f t="shared" si="16"/>
        <v>10387</v>
      </c>
      <c r="P53" s="69">
        <f t="shared" si="4"/>
        <v>182</v>
      </c>
      <c r="Q53" s="69">
        <f t="shared" si="4"/>
        <v>3462.3333333333335</v>
      </c>
      <c r="R53" s="5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140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O53" s="131"/>
      <c r="AP53" s="111"/>
    </row>
    <row r="54" spans="1:42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6"/>
        <v>8740.36</v>
      </c>
      <c r="O54" s="66">
        <f t="shared" si="16"/>
        <v>19808</v>
      </c>
      <c r="P54" s="69">
        <f t="shared" si="4"/>
        <v>2913.4533333333334</v>
      </c>
      <c r="Q54" s="69">
        <f t="shared" si="4"/>
        <v>6602.666666666667</v>
      </c>
      <c r="R54" s="5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140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O54" s="131"/>
      <c r="AP54" s="111"/>
    </row>
    <row r="55" spans="1:42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6"/>
        <v>594</v>
      </c>
      <c r="O55" s="66">
        <f t="shared" si="16"/>
        <v>24884</v>
      </c>
      <c r="P55" s="69">
        <f t="shared" si="4"/>
        <v>198</v>
      </c>
      <c r="Q55" s="69">
        <f t="shared" si="4"/>
        <v>8294.6666666666661</v>
      </c>
      <c r="R55" s="5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140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O55" s="131"/>
      <c r="AP55" s="111"/>
    </row>
    <row r="56" spans="1:42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6"/>
        <v>690</v>
      </c>
      <c r="O56" s="66">
        <f t="shared" si="16"/>
        <v>5419</v>
      </c>
      <c r="P56" s="69">
        <f t="shared" si="4"/>
        <v>230</v>
      </c>
      <c r="Q56" s="69">
        <f t="shared" si="4"/>
        <v>1806.3333333333333</v>
      </c>
      <c r="R56" s="5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140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O56" s="131"/>
      <c r="AP56" s="111"/>
    </row>
    <row r="57" spans="1:42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6"/>
        <v>1413.6</v>
      </c>
      <c r="O57" s="66">
        <f t="shared" si="16"/>
        <v>27552</v>
      </c>
      <c r="P57" s="69">
        <f t="shared" si="4"/>
        <v>471.2</v>
      </c>
      <c r="Q57" s="69">
        <f t="shared" si="4"/>
        <v>9184</v>
      </c>
      <c r="R57" s="5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140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O57" s="131"/>
      <c r="AP57" s="111"/>
    </row>
    <row r="58" spans="1:42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6"/>
        <v>174920.21</v>
      </c>
      <c r="O58" s="66">
        <f t="shared" si="16"/>
        <v>143746</v>
      </c>
      <c r="P58" s="69">
        <f t="shared" si="4"/>
        <v>58306.736666666664</v>
      </c>
      <c r="Q58" s="69">
        <f t="shared" si="4"/>
        <v>47915.333333333336</v>
      </c>
      <c r="R58" s="5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140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O58" s="131"/>
      <c r="AP58" s="111"/>
    </row>
    <row r="59" spans="1:42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6"/>
        <v>12307.07</v>
      </c>
      <c r="O59" s="66">
        <f t="shared" si="16"/>
        <v>24217</v>
      </c>
      <c r="P59" s="69">
        <f t="shared" si="4"/>
        <v>4102.3566666666666</v>
      </c>
      <c r="Q59" s="69">
        <f t="shared" si="4"/>
        <v>8072.333333333333</v>
      </c>
      <c r="R59" s="5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140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O59" s="131"/>
      <c r="AP59" s="111"/>
    </row>
    <row r="60" spans="1:42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6"/>
        <v>23322.21</v>
      </c>
      <c r="O60" s="66">
        <f t="shared" si="16"/>
        <v>22992</v>
      </c>
      <c r="P60" s="69">
        <f t="shared" si="4"/>
        <v>7774.07</v>
      </c>
      <c r="Q60" s="69">
        <f t="shared" si="4"/>
        <v>7664</v>
      </c>
      <c r="R60" s="5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140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O60" s="131"/>
      <c r="AP60" s="111"/>
    </row>
    <row r="61" spans="1:42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6"/>
        <v>4553.9799999999996</v>
      </c>
      <c r="O61" s="73">
        <f t="shared" si="16"/>
        <v>0</v>
      </c>
      <c r="P61" s="74">
        <f t="shared" si="4"/>
        <v>1517.9933333333331</v>
      </c>
      <c r="Q61" s="74">
        <f t="shared" si="4"/>
        <v>0</v>
      </c>
      <c r="R61" s="5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140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O61" s="131"/>
      <c r="AP61" s="111"/>
    </row>
    <row r="62" spans="1:42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7">ROUND(SUM(H46:H61),5)</f>
        <v>137372.26</v>
      </c>
      <c r="I62" s="63">
        <f t="shared" si="17"/>
        <v>73450</v>
      </c>
      <c r="J62" s="64">
        <f t="shared" si="17"/>
        <v>111914.03</v>
      </c>
      <c r="K62" s="64">
        <f t="shared" si="17"/>
        <v>203796</v>
      </c>
      <c r="L62" s="65">
        <f t="shared" si="17"/>
        <v>122323.04</v>
      </c>
      <c r="M62" s="65">
        <f t="shared" si="17"/>
        <v>154726</v>
      </c>
      <c r="N62" s="66">
        <f t="shared" si="16"/>
        <v>371609.33</v>
      </c>
      <c r="O62" s="66">
        <f t="shared" si="16"/>
        <v>431972</v>
      </c>
      <c r="P62" s="69">
        <f t="shared" si="4"/>
        <v>123869.77666666667</v>
      </c>
      <c r="Q62" s="69">
        <f t="shared" si="4"/>
        <v>143990.66666666666</v>
      </c>
      <c r="R62" s="5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140"/>
      <c r="AB62" s="66">
        <f t="shared" ref="AB62:AJ62" si="18">ROUND(SUM(AB46:AB61),5)</f>
        <v>0</v>
      </c>
      <c r="AC62" s="66">
        <f t="shared" si="18"/>
        <v>0</v>
      </c>
      <c r="AD62" s="66">
        <f t="shared" si="18"/>
        <v>0</v>
      </c>
      <c r="AE62" s="66">
        <f t="shared" si="18"/>
        <v>0</v>
      </c>
      <c r="AF62" s="66">
        <f t="shared" si="18"/>
        <v>0</v>
      </c>
      <c r="AG62" s="66">
        <f t="shared" si="18"/>
        <v>0</v>
      </c>
      <c r="AH62" s="66">
        <f t="shared" si="18"/>
        <v>0</v>
      </c>
      <c r="AI62" s="66">
        <f t="shared" si="18"/>
        <v>0</v>
      </c>
      <c r="AJ62" s="66">
        <f t="shared" si="18"/>
        <v>0</v>
      </c>
      <c r="AK62" s="66">
        <f t="shared" ref="AK62" si="19">ROUND(SUM(AK46:AK61),5)</f>
        <v>0</v>
      </c>
      <c r="AO62" s="131"/>
      <c r="AP62" s="111"/>
    </row>
    <row r="63" spans="1:42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6"/>
        <v>34181.74</v>
      </c>
      <c r="O63" s="66">
        <f t="shared" si="16"/>
        <v>66123.38</v>
      </c>
      <c r="P63" s="69">
        <f t="shared" si="4"/>
        <v>11393.913333333332</v>
      </c>
      <c r="Q63" s="69">
        <f t="shared" si="4"/>
        <v>22041.126666666667</v>
      </c>
      <c r="R63" s="5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140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O63" s="131"/>
      <c r="AP63" s="111"/>
    </row>
    <row r="64" spans="1:42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54"/>
      <c r="S64" s="49"/>
      <c r="T64" s="49"/>
      <c r="U64" s="49"/>
      <c r="V64" s="49"/>
      <c r="W64" s="49"/>
      <c r="X64" s="49" t="s">
        <v>65</v>
      </c>
      <c r="Y64" s="49"/>
      <c r="Z64" s="66"/>
      <c r="AA64" s="140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O64" s="131"/>
      <c r="AP64" s="111"/>
    </row>
    <row r="65" spans="1:42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20">ROUND(H65+J65+L65,5)</f>
        <v>106817.3</v>
      </c>
      <c r="O65" s="66">
        <f t="shared" si="20"/>
        <v>56558</v>
      </c>
      <c r="P65" s="69">
        <f t="shared" si="4"/>
        <v>35605.76666666667</v>
      </c>
      <c r="Q65" s="69">
        <f t="shared" si="4"/>
        <v>18852.666666666668</v>
      </c>
      <c r="R65" s="5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140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O65" s="131"/>
      <c r="AP65" s="111"/>
    </row>
    <row r="66" spans="1:42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20"/>
        <v>63970.64</v>
      </c>
      <c r="O66" s="66">
        <f t="shared" si="20"/>
        <v>68284</v>
      </c>
      <c r="P66" s="69">
        <f t="shared" si="4"/>
        <v>21323.546666666665</v>
      </c>
      <c r="Q66" s="69">
        <f t="shared" si="4"/>
        <v>22761.333333333332</v>
      </c>
      <c r="R66" s="5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140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O66" s="131"/>
      <c r="AP66" s="111"/>
    </row>
    <row r="67" spans="1:42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20"/>
        <v>1794</v>
      </c>
      <c r="O67" s="66">
        <f t="shared" si="20"/>
        <v>15153</v>
      </c>
      <c r="P67" s="69">
        <f t="shared" si="4"/>
        <v>598</v>
      </c>
      <c r="Q67" s="69">
        <f t="shared" si="4"/>
        <v>5051</v>
      </c>
      <c r="R67" s="5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140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O67" s="131"/>
      <c r="AP67" s="111"/>
    </row>
    <row r="68" spans="1:42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20"/>
        <v>22842.29</v>
      </c>
      <c r="O68" s="66">
        <f t="shared" si="20"/>
        <v>61166</v>
      </c>
      <c r="P68" s="69">
        <f t="shared" si="4"/>
        <v>7614.0966666666673</v>
      </c>
      <c r="Q68" s="69">
        <f t="shared" si="4"/>
        <v>20388.666666666668</v>
      </c>
      <c r="R68" s="5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140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O68" s="131"/>
      <c r="AP68" s="111"/>
    </row>
    <row r="69" spans="1:42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20"/>
        <v>9232</v>
      </c>
      <c r="O69" s="66">
        <f t="shared" si="20"/>
        <v>16972</v>
      </c>
      <c r="P69" s="69">
        <f t="shared" si="4"/>
        <v>3077.3333333333335</v>
      </c>
      <c r="Q69" s="69">
        <f t="shared" si="4"/>
        <v>5657.333333333333</v>
      </c>
      <c r="R69" s="5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140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O69" s="131"/>
      <c r="AP69" s="111"/>
    </row>
    <row r="70" spans="1:42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20"/>
        <v>11879.44</v>
      </c>
      <c r="O70" s="73">
        <f t="shared" si="20"/>
        <v>43386</v>
      </c>
      <c r="P70" s="74">
        <f t="shared" si="4"/>
        <v>3959.8133333333335</v>
      </c>
      <c r="Q70" s="74">
        <f t="shared" si="4"/>
        <v>14462</v>
      </c>
      <c r="R70" s="5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140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O70" s="131"/>
      <c r="AP70" s="111"/>
    </row>
    <row r="71" spans="1:42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21">ROUND(SUM(H64:H70),5)</f>
        <v>53816.6</v>
      </c>
      <c r="I71" s="63">
        <f t="shared" si="21"/>
        <v>52052</v>
      </c>
      <c r="J71" s="64">
        <f t="shared" si="21"/>
        <v>74785.06</v>
      </c>
      <c r="K71" s="64">
        <f t="shared" si="21"/>
        <v>127356</v>
      </c>
      <c r="L71" s="65">
        <f t="shared" si="21"/>
        <v>87934.01</v>
      </c>
      <c r="M71" s="65">
        <f t="shared" si="21"/>
        <v>82111</v>
      </c>
      <c r="N71" s="66">
        <f t="shared" si="20"/>
        <v>216535.67</v>
      </c>
      <c r="O71" s="66">
        <f t="shared" si="20"/>
        <v>261519</v>
      </c>
      <c r="P71" s="69">
        <f t="shared" si="4"/>
        <v>72178.556666666671</v>
      </c>
      <c r="Q71" s="69">
        <f t="shared" si="4"/>
        <v>87173</v>
      </c>
      <c r="R71" s="5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140"/>
      <c r="AB71" s="66">
        <f t="shared" ref="AB71:AJ71" si="22">ROUND(SUM(AB64:AB70),5)</f>
        <v>0</v>
      </c>
      <c r="AC71" s="66">
        <f t="shared" si="22"/>
        <v>0</v>
      </c>
      <c r="AD71" s="66">
        <f t="shared" si="22"/>
        <v>0</v>
      </c>
      <c r="AE71" s="66">
        <f t="shared" si="22"/>
        <v>0</v>
      </c>
      <c r="AF71" s="66">
        <f t="shared" si="22"/>
        <v>0</v>
      </c>
      <c r="AG71" s="66">
        <f t="shared" si="22"/>
        <v>0</v>
      </c>
      <c r="AH71" s="66">
        <f t="shared" si="22"/>
        <v>0</v>
      </c>
      <c r="AI71" s="66">
        <f t="shared" si="22"/>
        <v>0</v>
      </c>
      <c r="AJ71" s="66">
        <f t="shared" si="22"/>
        <v>0</v>
      </c>
      <c r="AK71" s="66">
        <f t="shared" ref="AK71" si="23">ROUND(SUM(AK64:AK70),5)</f>
        <v>0</v>
      </c>
      <c r="AO71" s="131"/>
      <c r="AP71" s="111"/>
    </row>
    <row r="72" spans="1:42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54"/>
      <c r="S72" s="49"/>
      <c r="T72" s="49"/>
      <c r="U72" s="49"/>
      <c r="V72" s="49"/>
      <c r="W72" s="49"/>
      <c r="X72" s="49" t="s">
        <v>73</v>
      </c>
      <c r="Y72" s="49"/>
      <c r="Z72" s="66"/>
      <c r="AA72" s="140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O72" s="131"/>
      <c r="AP72" s="111"/>
    </row>
    <row r="73" spans="1:42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24">ROUND(H73+J73+L73,5)</f>
        <v>5364.31</v>
      </c>
      <c r="O73" s="66">
        <f t="shared" si="24"/>
        <v>9909</v>
      </c>
      <c r="P73" s="69">
        <f t="shared" si="4"/>
        <v>1788.1033333333335</v>
      </c>
      <c r="Q73" s="69">
        <f t="shared" si="4"/>
        <v>3303</v>
      </c>
      <c r="R73" s="5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140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O73" s="131"/>
      <c r="AP73" s="111"/>
    </row>
    <row r="74" spans="1:42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24"/>
        <v>46000.91</v>
      </c>
      <c r="O74" s="66">
        <f t="shared" si="24"/>
        <v>29903</v>
      </c>
      <c r="P74" s="69">
        <f t="shared" si="4"/>
        <v>15333.636666666667</v>
      </c>
      <c r="Q74" s="69">
        <f t="shared" si="4"/>
        <v>9967.6666666666661</v>
      </c>
      <c r="R74" s="5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140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O74" s="131"/>
      <c r="AP74" s="111"/>
    </row>
    <row r="75" spans="1:42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24"/>
        <v>0</v>
      </c>
      <c r="O75" s="66">
        <f t="shared" si="24"/>
        <v>31248</v>
      </c>
      <c r="P75" s="69">
        <f t="shared" ref="P75:Q137" si="25">N75/3</f>
        <v>0</v>
      </c>
      <c r="Q75" s="69">
        <f t="shared" si="25"/>
        <v>10416</v>
      </c>
      <c r="R75" s="5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140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O75" s="131"/>
      <c r="AP75" s="111"/>
    </row>
    <row r="76" spans="1:42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24"/>
        <v>29409.79</v>
      </c>
      <c r="O76" s="66">
        <f t="shared" si="24"/>
        <v>27007</v>
      </c>
      <c r="P76" s="69">
        <f t="shared" si="25"/>
        <v>9803.2633333333342</v>
      </c>
      <c r="Q76" s="69">
        <f t="shared" si="25"/>
        <v>9002.3333333333339</v>
      </c>
      <c r="R76" s="5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140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O76" s="131"/>
      <c r="AP76" s="111"/>
    </row>
    <row r="77" spans="1:42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24"/>
        <v>3458.77</v>
      </c>
      <c r="O77" s="66">
        <f t="shared" si="24"/>
        <v>7965</v>
      </c>
      <c r="P77" s="69">
        <f t="shared" si="25"/>
        <v>1152.9233333333334</v>
      </c>
      <c r="Q77" s="69">
        <f t="shared" si="25"/>
        <v>2655</v>
      </c>
      <c r="R77" s="5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140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O77" s="131"/>
      <c r="AP77" s="111"/>
    </row>
    <row r="78" spans="1:42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24"/>
        <v>21632.07</v>
      </c>
      <c r="O78" s="66">
        <f t="shared" si="24"/>
        <v>25676</v>
      </c>
      <c r="P78" s="69">
        <f t="shared" si="25"/>
        <v>7210.69</v>
      </c>
      <c r="Q78" s="69">
        <f t="shared" si="25"/>
        <v>8558.6666666666661</v>
      </c>
      <c r="R78" s="5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140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O78" s="131"/>
      <c r="AP78" s="111"/>
    </row>
    <row r="79" spans="1:42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24"/>
        <v>966</v>
      </c>
      <c r="O79" s="66">
        <f t="shared" si="24"/>
        <v>3588</v>
      </c>
      <c r="P79" s="69">
        <f t="shared" si="25"/>
        <v>322</v>
      </c>
      <c r="Q79" s="69">
        <f t="shared" si="25"/>
        <v>1196</v>
      </c>
      <c r="R79" s="5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140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O79" s="131"/>
      <c r="AP79" s="111"/>
    </row>
    <row r="80" spans="1:42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24"/>
        <v>0</v>
      </c>
      <c r="O80" s="66">
        <f t="shared" si="24"/>
        <v>3901</v>
      </c>
      <c r="P80" s="69">
        <f t="shared" si="25"/>
        <v>0</v>
      </c>
      <c r="Q80" s="69">
        <f t="shared" si="25"/>
        <v>1300.3333333333333</v>
      </c>
      <c r="R80" s="5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140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O80" s="131"/>
      <c r="AP80" s="111"/>
    </row>
    <row r="81" spans="1:42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25"/>
        <v>0</v>
      </c>
      <c r="Q81" s="69">
        <f t="shared" si="25"/>
        <v>0</v>
      </c>
      <c r="R81" s="5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140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O81" s="131"/>
      <c r="AP81" s="111"/>
    </row>
    <row r="82" spans="1:42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6">ROUND(H82+J82+L82,5)</f>
        <v>0</v>
      </c>
      <c r="O82" s="66">
        <f t="shared" si="26"/>
        <v>0</v>
      </c>
      <c r="P82" s="69">
        <f t="shared" si="25"/>
        <v>0</v>
      </c>
      <c r="Q82" s="69">
        <f t="shared" si="25"/>
        <v>0</v>
      </c>
      <c r="R82" s="5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140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O82" s="131"/>
      <c r="AP82" s="111"/>
    </row>
    <row r="83" spans="1:42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6"/>
        <v>0</v>
      </c>
      <c r="O83" s="73">
        <f t="shared" si="26"/>
        <v>0</v>
      </c>
      <c r="P83" s="74">
        <f t="shared" si="25"/>
        <v>0</v>
      </c>
      <c r="Q83" s="74">
        <f t="shared" si="25"/>
        <v>0</v>
      </c>
      <c r="R83" s="5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140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O83" s="131"/>
      <c r="AP83" s="111"/>
    </row>
    <row r="84" spans="1:42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7">ROUND(SUM(H72:H83),5)</f>
        <v>39159.980000000003</v>
      </c>
      <c r="I84" s="63">
        <f t="shared" si="27"/>
        <v>39468</v>
      </c>
      <c r="J84" s="64">
        <f t="shared" si="27"/>
        <v>32291.99</v>
      </c>
      <c r="K84" s="64">
        <f t="shared" si="27"/>
        <v>31248</v>
      </c>
      <c r="L84" s="65">
        <f t="shared" si="27"/>
        <v>35379.879999999997</v>
      </c>
      <c r="M84" s="65">
        <f t="shared" si="27"/>
        <v>68481</v>
      </c>
      <c r="N84" s="66">
        <f t="shared" si="26"/>
        <v>106831.85</v>
      </c>
      <c r="O84" s="66">
        <f t="shared" si="26"/>
        <v>139197</v>
      </c>
      <c r="P84" s="69">
        <f t="shared" si="25"/>
        <v>35610.616666666669</v>
      </c>
      <c r="Q84" s="69">
        <f t="shared" si="25"/>
        <v>46399</v>
      </c>
      <c r="R84" s="5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140"/>
      <c r="AB84" s="66">
        <f t="shared" ref="AB84:AJ84" si="28">ROUND(SUM(AB72:AB83),5)</f>
        <v>0</v>
      </c>
      <c r="AC84" s="66">
        <f t="shared" si="28"/>
        <v>0</v>
      </c>
      <c r="AD84" s="66">
        <f t="shared" si="28"/>
        <v>0</v>
      </c>
      <c r="AE84" s="66">
        <f t="shared" si="28"/>
        <v>0</v>
      </c>
      <c r="AF84" s="66">
        <f t="shared" si="28"/>
        <v>0</v>
      </c>
      <c r="AG84" s="66">
        <f t="shared" si="28"/>
        <v>0</v>
      </c>
      <c r="AH84" s="66">
        <f t="shared" si="28"/>
        <v>0</v>
      </c>
      <c r="AI84" s="66">
        <f t="shared" si="28"/>
        <v>0</v>
      </c>
      <c r="AJ84" s="66">
        <f t="shared" si="28"/>
        <v>0</v>
      </c>
      <c r="AK84" s="66">
        <f t="shared" ref="AK84" si="29">ROUND(SUM(AK72:AK83),5)</f>
        <v>0</v>
      </c>
      <c r="AO84" s="131"/>
      <c r="AP84" s="111"/>
    </row>
    <row r="85" spans="1:42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54"/>
      <c r="S85" s="49"/>
      <c r="T85" s="49"/>
      <c r="U85" s="49"/>
      <c r="V85" s="49"/>
      <c r="W85" s="49"/>
      <c r="X85" s="49" t="s">
        <v>85</v>
      </c>
      <c r="Y85" s="49"/>
      <c r="Z85" s="66"/>
      <c r="AA85" s="140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O85" s="131"/>
      <c r="AP85" s="111"/>
    </row>
    <row r="86" spans="1:42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30">ROUND(H86+J86+L86,5)</f>
        <v>41055.360000000001</v>
      </c>
      <c r="O86" s="66">
        <f t="shared" si="30"/>
        <v>61593</v>
      </c>
      <c r="P86" s="69">
        <f t="shared" si="25"/>
        <v>13685.12</v>
      </c>
      <c r="Q86" s="69">
        <f t="shared" si="25"/>
        <v>20531</v>
      </c>
      <c r="R86" s="5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140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O86" s="131"/>
      <c r="AP86" s="111"/>
    </row>
    <row r="87" spans="1:42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30"/>
        <v>4557.07</v>
      </c>
      <c r="O87" s="66">
        <f t="shared" si="30"/>
        <v>5852</v>
      </c>
      <c r="P87" s="69">
        <f t="shared" si="25"/>
        <v>1519.0233333333333</v>
      </c>
      <c r="Q87" s="69">
        <f t="shared" si="25"/>
        <v>1950.6666666666667</v>
      </c>
      <c r="R87" s="5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140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O87" s="131"/>
      <c r="AP87" s="111"/>
    </row>
    <row r="88" spans="1:42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30"/>
        <v>9699</v>
      </c>
      <c r="O88" s="66">
        <f t="shared" si="30"/>
        <v>58996</v>
      </c>
      <c r="P88" s="69">
        <f t="shared" si="25"/>
        <v>3233</v>
      </c>
      <c r="Q88" s="69">
        <f t="shared" si="25"/>
        <v>19665.333333333332</v>
      </c>
      <c r="R88" s="5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140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O88" s="131"/>
      <c r="AP88" s="111"/>
    </row>
    <row r="89" spans="1:42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30"/>
        <v>4967.9799999999996</v>
      </c>
      <c r="O89" s="73">
        <f t="shared" si="30"/>
        <v>15466</v>
      </c>
      <c r="P89" s="74">
        <f t="shared" si="25"/>
        <v>1655.9933333333331</v>
      </c>
      <c r="Q89" s="74">
        <f t="shared" si="25"/>
        <v>5155.333333333333</v>
      </c>
      <c r="R89" s="5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140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O89" s="131"/>
      <c r="AP89" s="111"/>
    </row>
    <row r="90" spans="1:42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31">ROUND(SUM(H85:H89),5)</f>
        <v>20271.38</v>
      </c>
      <c r="I90" s="63">
        <f t="shared" si="31"/>
        <v>42055</v>
      </c>
      <c r="J90" s="64">
        <f t="shared" si="31"/>
        <v>14973.03</v>
      </c>
      <c r="K90" s="64">
        <f t="shared" si="31"/>
        <v>58944</v>
      </c>
      <c r="L90" s="65">
        <f t="shared" si="31"/>
        <v>25035</v>
      </c>
      <c r="M90" s="65">
        <f t="shared" si="31"/>
        <v>40908</v>
      </c>
      <c r="N90" s="66">
        <f t="shared" si="30"/>
        <v>60279.41</v>
      </c>
      <c r="O90" s="66">
        <f t="shared" si="30"/>
        <v>141907</v>
      </c>
      <c r="P90" s="69">
        <f t="shared" si="25"/>
        <v>20093.136666666669</v>
      </c>
      <c r="Q90" s="69">
        <f t="shared" si="25"/>
        <v>47302.333333333336</v>
      </c>
      <c r="R90" s="5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140"/>
      <c r="AB90" s="66">
        <f t="shared" ref="AB90:AJ90" si="32">ROUND(SUM(AB85:AB89),5)</f>
        <v>0</v>
      </c>
      <c r="AC90" s="66">
        <f t="shared" si="32"/>
        <v>0</v>
      </c>
      <c r="AD90" s="66">
        <f t="shared" si="32"/>
        <v>0</v>
      </c>
      <c r="AE90" s="66">
        <f t="shared" si="32"/>
        <v>0</v>
      </c>
      <c r="AF90" s="66">
        <f t="shared" si="32"/>
        <v>0</v>
      </c>
      <c r="AG90" s="66">
        <f t="shared" si="32"/>
        <v>0</v>
      </c>
      <c r="AH90" s="66">
        <f t="shared" si="32"/>
        <v>0</v>
      </c>
      <c r="AI90" s="66">
        <f t="shared" si="32"/>
        <v>0</v>
      </c>
      <c r="AJ90" s="66">
        <f t="shared" si="32"/>
        <v>0</v>
      </c>
      <c r="AK90" s="66">
        <f t="shared" ref="AK90" si="33">ROUND(SUM(AK85:AK89),5)</f>
        <v>0</v>
      </c>
      <c r="AO90" s="131"/>
      <c r="AP90" s="111"/>
    </row>
    <row r="91" spans="1:42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54"/>
      <c r="S91" s="49"/>
      <c r="T91" s="49"/>
      <c r="U91" s="49"/>
      <c r="V91" s="49"/>
      <c r="W91" s="49"/>
      <c r="X91" s="49" t="s">
        <v>91</v>
      </c>
      <c r="Y91" s="49"/>
      <c r="Z91" s="66"/>
      <c r="AA91" s="140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O91" s="131"/>
      <c r="AP91" s="111"/>
    </row>
    <row r="92" spans="1:42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34">ROUND(H92+J92+L92,5)</f>
        <v>108862.85</v>
      </c>
      <c r="O92" s="66">
        <f t="shared" si="34"/>
        <v>69579</v>
      </c>
      <c r="P92" s="69">
        <f t="shared" si="25"/>
        <v>36287.616666666669</v>
      </c>
      <c r="Q92" s="69">
        <f t="shared" si="25"/>
        <v>23193</v>
      </c>
      <c r="R92" s="5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140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O92" s="131"/>
      <c r="AP92" s="111"/>
    </row>
    <row r="93" spans="1:42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34"/>
        <v>14518.12</v>
      </c>
      <c r="O93" s="66">
        <f t="shared" si="34"/>
        <v>19733</v>
      </c>
      <c r="P93" s="69">
        <f t="shared" si="25"/>
        <v>4839.3733333333339</v>
      </c>
      <c r="Q93" s="69">
        <f t="shared" si="25"/>
        <v>6577.666666666667</v>
      </c>
      <c r="R93" s="5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140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O93" s="131"/>
      <c r="AP93" s="111"/>
    </row>
    <row r="94" spans="1:42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34"/>
        <v>43484.49</v>
      </c>
      <c r="O94" s="66">
        <f t="shared" si="34"/>
        <v>62432</v>
      </c>
      <c r="P94" s="69">
        <f t="shared" si="25"/>
        <v>14494.83</v>
      </c>
      <c r="Q94" s="69">
        <f t="shared" si="25"/>
        <v>20810.666666666668</v>
      </c>
      <c r="R94" s="5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140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O94" s="131"/>
      <c r="AP94" s="111"/>
    </row>
    <row r="95" spans="1:42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34"/>
        <v>4211.0600000000004</v>
      </c>
      <c r="O95" s="66">
        <f t="shared" si="34"/>
        <v>13454</v>
      </c>
      <c r="P95" s="69">
        <f t="shared" si="25"/>
        <v>1403.6866666666667</v>
      </c>
      <c r="Q95" s="69">
        <f t="shared" si="25"/>
        <v>4484.666666666667</v>
      </c>
      <c r="R95" s="5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140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O95" s="131"/>
      <c r="AP95" s="111"/>
    </row>
    <row r="96" spans="1:42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34"/>
        <v>49443.53</v>
      </c>
      <c r="O96" s="66">
        <f t="shared" si="34"/>
        <v>34119</v>
      </c>
      <c r="P96" s="69">
        <f t="shared" si="25"/>
        <v>16481.176666666666</v>
      </c>
      <c r="Q96" s="69">
        <f t="shared" si="25"/>
        <v>11373</v>
      </c>
      <c r="R96" s="5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140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O96" s="131"/>
      <c r="AP96" s="111"/>
    </row>
    <row r="97" spans="1:42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34"/>
        <v>5328.03</v>
      </c>
      <c r="O97" s="66">
        <f t="shared" si="34"/>
        <v>7526</v>
      </c>
      <c r="P97" s="69">
        <f t="shared" si="25"/>
        <v>1776.01</v>
      </c>
      <c r="Q97" s="69">
        <f t="shared" si="25"/>
        <v>2508.6666666666665</v>
      </c>
      <c r="R97" s="5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140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O97" s="131"/>
      <c r="AP97" s="111"/>
    </row>
    <row r="98" spans="1:42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34"/>
        <v>63633.29</v>
      </c>
      <c r="O98" s="66">
        <f t="shared" si="34"/>
        <v>69145</v>
      </c>
      <c r="P98" s="69">
        <f t="shared" si="25"/>
        <v>21211.096666666668</v>
      </c>
      <c r="Q98" s="69">
        <f t="shared" si="25"/>
        <v>23048.333333333332</v>
      </c>
      <c r="R98" s="5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140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O98" s="131"/>
      <c r="AP98" s="111"/>
    </row>
    <row r="99" spans="1:42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34"/>
        <v>7554.05</v>
      </c>
      <c r="O99" s="66">
        <f t="shared" si="34"/>
        <v>16058</v>
      </c>
      <c r="P99" s="69">
        <f t="shared" si="25"/>
        <v>2518.0166666666669</v>
      </c>
      <c r="Q99" s="69">
        <f t="shared" si="25"/>
        <v>5352.666666666667</v>
      </c>
      <c r="R99" s="5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140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O99" s="131"/>
      <c r="AP99" s="111"/>
    </row>
    <row r="100" spans="1:42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34"/>
        <v>5514</v>
      </c>
      <c r="O100" s="66">
        <f t="shared" si="34"/>
        <v>12319</v>
      </c>
      <c r="P100" s="69">
        <f t="shared" si="25"/>
        <v>1838</v>
      </c>
      <c r="Q100" s="69">
        <f t="shared" si="25"/>
        <v>4106.333333333333</v>
      </c>
      <c r="R100" s="5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140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O100" s="131"/>
      <c r="AP100" s="111"/>
    </row>
    <row r="101" spans="1:42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5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140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O101" s="131"/>
      <c r="AP101" s="111"/>
    </row>
    <row r="102" spans="1:42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35">ROUND(SUM(H91:H100),5)</f>
        <v>81944.17</v>
      </c>
      <c r="I102" s="63">
        <f t="shared" si="35"/>
        <v>70005</v>
      </c>
      <c r="J102" s="64">
        <f t="shared" si="35"/>
        <v>112983.21</v>
      </c>
      <c r="K102" s="64">
        <f t="shared" si="35"/>
        <v>122376</v>
      </c>
      <c r="L102" s="65">
        <f t="shared" si="35"/>
        <v>107622.04</v>
      </c>
      <c r="M102" s="65">
        <f t="shared" si="35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25"/>
        <v>100849.80666666666</v>
      </c>
      <c r="Q102" s="69">
        <f t="shared" si="25"/>
        <v>101455</v>
      </c>
      <c r="R102" s="5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140"/>
      <c r="AB102" s="66">
        <f t="shared" ref="AB102:AJ102" si="36">ROUND(SUM(AB91:AB101),5)</f>
        <v>0</v>
      </c>
      <c r="AC102" s="66">
        <f t="shared" si="36"/>
        <v>0</v>
      </c>
      <c r="AD102" s="66">
        <f t="shared" si="36"/>
        <v>0</v>
      </c>
      <c r="AE102" s="66">
        <f t="shared" si="36"/>
        <v>0</v>
      </c>
      <c r="AF102" s="66">
        <f t="shared" si="36"/>
        <v>0</v>
      </c>
      <c r="AG102" s="66">
        <f t="shared" si="36"/>
        <v>0</v>
      </c>
      <c r="AH102" s="66">
        <f t="shared" si="36"/>
        <v>0</v>
      </c>
      <c r="AI102" s="66">
        <f t="shared" si="36"/>
        <v>0</v>
      </c>
      <c r="AJ102" s="66">
        <f t="shared" si="36"/>
        <v>0</v>
      </c>
      <c r="AK102" s="66">
        <f t="shared" ref="AK102" si="37">ROUND(SUM(AK91:AK101),5)</f>
        <v>0</v>
      </c>
      <c r="AO102" s="131"/>
      <c r="AP102" s="111"/>
    </row>
    <row r="103" spans="1:42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25"/>
        <v>0</v>
      </c>
      <c r="Q103" s="69">
        <f t="shared" si="25"/>
        <v>0</v>
      </c>
      <c r="R103" s="54"/>
      <c r="S103" s="49"/>
      <c r="T103" s="49"/>
      <c r="U103" s="49"/>
      <c r="V103" s="49"/>
      <c r="W103" s="49"/>
      <c r="X103" s="49" t="s">
        <v>102</v>
      </c>
      <c r="Y103" s="49"/>
      <c r="Z103" s="66"/>
      <c r="AA103" s="140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O103" s="131"/>
      <c r="AP103" s="111"/>
    </row>
    <row r="104" spans="1:42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38">ROUND(H104+J104+L104,5)</f>
        <v>74439.240000000005</v>
      </c>
      <c r="O104" s="66">
        <f t="shared" si="38"/>
        <v>63264</v>
      </c>
      <c r="P104" s="69">
        <f t="shared" si="25"/>
        <v>24813.08</v>
      </c>
      <c r="Q104" s="69">
        <f t="shared" si="25"/>
        <v>21088</v>
      </c>
      <c r="R104" s="5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140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O104" s="131"/>
      <c r="AP104" s="111"/>
    </row>
    <row r="105" spans="1:42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38"/>
        <v>13570.83</v>
      </c>
      <c r="O105" s="66">
        <f t="shared" si="38"/>
        <v>26229</v>
      </c>
      <c r="P105" s="69">
        <f t="shared" si="25"/>
        <v>4523.6099999999997</v>
      </c>
      <c r="Q105" s="69">
        <f t="shared" si="25"/>
        <v>8743</v>
      </c>
      <c r="R105" s="5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140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O105" s="131"/>
      <c r="AP105" s="111"/>
    </row>
    <row r="106" spans="1:42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38"/>
        <v>31132.720000000001</v>
      </c>
      <c r="O106" s="66">
        <f t="shared" si="38"/>
        <v>23118</v>
      </c>
      <c r="P106" s="69">
        <f t="shared" si="25"/>
        <v>10377.573333333334</v>
      </c>
      <c r="Q106" s="69">
        <f t="shared" si="25"/>
        <v>7706</v>
      </c>
      <c r="R106" s="5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140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O106" s="131"/>
      <c r="AP106" s="111"/>
    </row>
    <row r="107" spans="1:42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38"/>
        <v>5105.97</v>
      </c>
      <c r="O107" s="66">
        <f t="shared" si="38"/>
        <v>7489</v>
      </c>
      <c r="P107" s="69">
        <f t="shared" si="25"/>
        <v>1701.99</v>
      </c>
      <c r="Q107" s="69">
        <f t="shared" si="25"/>
        <v>2496.3333333333335</v>
      </c>
      <c r="R107" s="5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140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O107" s="131"/>
      <c r="AP107" s="111"/>
    </row>
    <row r="108" spans="1:42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38"/>
        <v>60762.3</v>
      </c>
      <c r="O108" s="66">
        <f t="shared" si="38"/>
        <v>41781</v>
      </c>
      <c r="P108" s="69">
        <f t="shared" si="25"/>
        <v>20254.100000000002</v>
      </c>
      <c r="Q108" s="69">
        <f t="shared" si="25"/>
        <v>13927</v>
      </c>
      <c r="R108" s="5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140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O108" s="131"/>
      <c r="AP108" s="111"/>
    </row>
    <row r="109" spans="1:42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38"/>
        <v>20355.89</v>
      </c>
      <c r="O109" s="66">
        <f t="shared" si="38"/>
        <v>5382</v>
      </c>
      <c r="P109" s="69">
        <f t="shared" si="25"/>
        <v>6785.2966666666662</v>
      </c>
      <c r="Q109" s="69">
        <f t="shared" si="25"/>
        <v>1794</v>
      </c>
      <c r="R109" s="5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140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O109" s="131"/>
      <c r="AP109" s="111"/>
    </row>
    <row r="110" spans="1:42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38"/>
        <v>3399.97</v>
      </c>
      <c r="O110" s="66">
        <f t="shared" si="38"/>
        <v>0</v>
      </c>
      <c r="P110" s="69">
        <f t="shared" si="25"/>
        <v>1133.3233333333333</v>
      </c>
      <c r="Q110" s="69">
        <f t="shared" si="25"/>
        <v>0</v>
      </c>
      <c r="R110" s="5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140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O110" s="131"/>
      <c r="AP110" s="111"/>
    </row>
    <row r="111" spans="1:42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39">ROUND(SUM(H103:H110),5)</f>
        <v>59018.03</v>
      </c>
      <c r="I111" s="75">
        <f t="shared" si="39"/>
        <v>31525</v>
      </c>
      <c r="J111" s="76">
        <f t="shared" si="39"/>
        <v>66518.98</v>
      </c>
      <c r="K111" s="76">
        <f t="shared" si="39"/>
        <v>44976</v>
      </c>
      <c r="L111" s="77">
        <f t="shared" si="39"/>
        <v>83229.91</v>
      </c>
      <c r="M111" s="77">
        <f t="shared" si="39"/>
        <v>90762</v>
      </c>
      <c r="N111" s="78">
        <f t="shared" si="38"/>
        <v>208766.92</v>
      </c>
      <c r="O111" s="78">
        <f t="shared" si="38"/>
        <v>167263</v>
      </c>
      <c r="P111" s="79">
        <f t="shared" si="25"/>
        <v>69588.973333333342</v>
      </c>
      <c r="Q111" s="79">
        <f t="shared" si="25"/>
        <v>55754.333333333336</v>
      </c>
      <c r="R111" s="5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140"/>
      <c r="AB111" s="78">
        <f t="shared" ref="AB111:AJ111" si="40">ROUND(SUM(AB103:AB110),5)</f>
        <v>0</v>
      </c>
      <c r="AC111" s="78">
        <f t="shared" si="40"/>
        <v>0</v>
      </c>
      <c r="AD111" s="78">
        <f t="shared" si="40"/>
        <v>0</v>
      </c>
      <c r="AE111" s="78">
        <f t="shared" si="40"/>
        <v>0</v>
      </c>
      <c r="AF111" s="78">
        <f t="shared" si="40"/>
        <v>0</v>
      </c>
      <c r="AG111" s="78">
        <f t="shared" si="40"/>
        <v>0</v>
      </c>
      <c r="AH111" s="78">
        <f t="shared" si="40"/>
        <v>0</v>
      </c>
      <c r="AI111" s="78">
        <f t="shared" si="40"/>
        <v>0</v>
      </c>
      <c r="AJ111" s="78">
        <f t="shared" si="40"/>
        <v>0</v>
      </c>
      <c r="AK111" s="78">
        <f t="shared" ref="AK111" si="41">ROUND(SUM(AK103:AK110),5)</f>
        <v>0</v>
      </c>
      <c r="AO111" s="131"/>
      <c r="AP111" s="111"/>
    </row>
    <row r="112" spans="1:42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25"/>
        <v>0</v>
      </c>
      <c r="Q112" s="69">
        <f t="shared" si="25"/>
        <v>0</v>
      </c>
      <c r="R112" s="54"/>
      <c r="S112" s="49"/>
      <c r="T112" s="49"/>
      <c r="U112" s="49"/>
      <c r="V112" s="49"/>
      <c r="W112" s="49"/>
      <c r="X112" s="49" t="s">
        <v>111</v>
      </c>
      <c r="Y112" s="49"/>
      <c r="Z112" s="66"/>
      <c r="AA112" s="140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O112" s="131"/>
      <c r="AP112" s="111"/>
    </row>
    <row r="113" spans="1:42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42">ROUND(H113+J113+L113,5)</f>
        <v>453828.9</v>
      </c>
      <c r="O113" s="66">
        <f t="shared" si="42"/>
        <v>406218</v>
      </c>
      <c r="P113" s="69">
        <f t="shared" si="25"/>
        <v>151276.30000000002</v>
      </c>
      <c r="Q113" s="69">
        <f t="shared" si="25"/>
        <v>135406</v>
      </c>
      <c r="R113" s="5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14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  <c r="AH113" s="66">
        <v>0</v>
      </c>
      <c r="AI113" s="66">
        <v>0</v>
      </c>
      <c r="AJ113" s="66">
        <v>0</v>
      </c>
      <c r="AK113" s="66">
        <v>0</v>
      </c>
      <c r="AO113" s="131"/>
      <c r="AP113" s="111"/>
    </row>
    <row r="114" spans="1:42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42"/>
        <v>0</v>
      </c>
      <c r="O114" s="73">
        <f t="shared" si="42"/>
        <v>0</v>
      </c>
      <c r="P114" s="74">
        <f t="shared" si="25"/>
        <v>0</v>
      </c>
      <c r="Q114" s="74">
        <f t="shared" si="25"/>
        <v>0</v>
      </c>
      <c r="R114" s="5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14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>
        <v>0</v>
      </c>
      <c r="AI114" s="66">
        <v>0</v>
      </c>
      <c r="AJ114" s="66">
        <v>0</v>
      </c>
      <c r="AK114" s="66">
        <v>0</v>
      </c>
      <c r="AO114" s="131"/>
      <c r="AP114" s="111"/>
    </row>
    <row r="115" spans="1:42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43">ROUND(SUM(H112:H114),5)</f>
        <v>57491.4</v>
      </c>
      <c r="I115" s="63">
        <f t="shared" si="43"/>
        <v>406218</v>
      </c>
      <c r="J115" s="64">
        <f t="shared" si="43"/>
        <v>150471.5</v>
      </c>
      <c r="K115" s="64">
        <f t="shared" si="43"/>
        <v>0</v>
      </c>
      <c r="L115" s="65">
        <f t="shared" si="43"/>
        <v>245866</v>
      </c>
      <c r="M115" s="65">
        <f t="shared" si="43"/>
        <v>0</v>
      </c>
      <c r="N115" s="66">
        <f t="shared" si="42"/>
        <v>453828.9</v>
      </c>
      <c r="O115" s="66">
        <f t="shared" si="42"/>
        <v>406218</v>
      </c>
      <c r="P115" s="69">
        <f t="shared" si="25"/>
        <v>151276.30000000002</v>
      </c>
      <c r="Q115" s="69">
        <f t="shared" si="25"/>
        <v>135406</v>
      </c>
      <c r="R115" s="5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14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  <c r="AJ115" s="73">
        <v>0</v>
      </c>
      <c r="AK115" s="73">
        <v>0</v>
      </c>
      <c r="AO115" s="131"/>
      <c r="AP115" s="111"/>
    </row>
    <row r="116" spans="1:42" ht="16" thickBot="1" x14ac:dyDescent="0.4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44">ROUND(H8+H15+H39+H45+SUM(H62:H63)+H71+H84+H90+H102+H111+SUM(H115:H115),5)</f>
        <v>760409.73</v>
      </c>
      <c r="I116" s="75">
        <f t="shared" si="44"/>
        <v>912984</v>
      </c>
      <c r="J116" s="76">
        <f t="shared" si="44"/>
        <v>855809.22</v>
      </c>
      <c r="K116" s="76">
        <f t="shared" si="44"/>
        <v>904615.38</v>
      </c>
      <c r="L116" s="77">
        <f t="shared" si="44"/>
        <v>1036241.61</v>
      </c>
      <c r="M116" s="77">
        <f t="shared" si="44"/>
        <v>926829</v>
      </c>
      <c r="N116" s="78">
        <f t="shared" si="42"/>
        <v>2652460.56</v>
      </c>
      <c r="O116" s="78">
        <f t="shared" si="42"/>
        <v>2744428.38</v>
      </c>
      <c r="P116" s="79">
        <f t="shared" si="25"/>
        <v>884153.52</v>
      </c>
      <c r="Q116" s="79">
        <f t="shared" si="25"/>
        <v>914809.46</v>
      </c>
      <c r="R116" s="5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140"/>
      <c r="AB116" s="80">
        <f t="shared" ref="AB116:AF116" si="45">ROUND(AB8+AB15+AB39+AB45+SUM(AB62:AB63)+AB71+AB84+AB90+AB102+AB111+SUM(AB115:AB115),5)</f>
        <v>960784.8</v>
      </c>
      <c r="AC116" s="80">
        <f t="shared" si="45"/>
        <v>960784.8</v>
      </c>
      <c r="AD116" s="80">
        <f t="shared" si="45"/>
        <v>1026054.2</v>
      </c>
      <c r="AE116" s="80">
        <f t="shared" si="45"/>
        <v>1026054.2</v>
      </c>
      <c r="AF116" s="80">
        <f t="shared" si="45"/>
        <v>1026054.2</v>
      </c>
      <c r="AG116" s="80">
        <f>ROUND(AG8+AG15+AG39+AG45+SUM(AG62:AG63)+AG71+AG84+AG90+AG102+AG111+SUM(AG115:AG115),0)</f>
        <v>1026054</v>
      </c>
      <c r="AH116" s="80">
        <f>ROUND(AH8+AH15+AH39+AH45+SUM(AH62:AH63)+AH71+AH84+AH90+AH102+AH111+SUM(AH115:AH115),0)+20000</f>
        <v>1046054</v>
      </c>
      <c r="AI116" s="80">
        <f>ROUND(AI8+AI15+AI39+AI45+SUM(AI62:AI63)+AI71+AI84+AI90+AI102+AI111+SUM(AI115:AI115),0)+20000</f>
        <v>1046054</v>
      </c>
      <c r="AJ116" s="80">
        <f>ROUND(AJ8+AJ15+AJ39+AJ45+SUM(AJ62:AJ63)+AJ71+AJ84+AJ90+AJ102+AJ111+SUM(AJ115:AJ115),0)+20000</f>
        <v>1046054</v>
      </c>
      <c r="AK116" s="266">
        <f>ROUND(AK8+AK15+AK39+AK45+SUM(AK62:AK63)+AK71+AK84+AK90+AK102+AK111+SUM(AK115:AK115),0)+20000</f>
        <v>1046054</v>
      </c>
      <c r="AL116" s="244"/>
      <c r="AM116" s="226" t="s">
        <v>971</v>
      </c>
      <c r="AN116" s="259" t="s">
        <v>1027</v>
      </c>
      <c r="AO116" s="261" t="s">
        <v>1028</v>
      </c>
      <c r="AP116" s="260" t="s">
        <v>1029</v>
      </c>
    </row>
    <row r="117" spans="1:42" hidden="1" x14ac:dyDescent="0.35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25"/>
        <v>0</v>
      </c>
      <c r="Q117" s="69">
        <f t="shared" si="25"/>
        <v>0</v>
      </c>
      <c r="R117" s="54"/>
      <c r="S117" s="49"/>
      <c r="T117" s="49"/>
      <c r="U117" s="49"/>
      <c r="V117" s="49"/>
      <c r="W117" s="49" t="s">
        <v>116</v>
      </c>
      <c r="X117" s="49"/>
      <c r="Y117" s="49"/>
      <c r="Z117" s="66"/>
      <c r="AA117" s="140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M117" s="221"/>
    </row>
    <row r="118" spans="1:42" hidden="1" x14ac:dyDescent="0.35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25"/>
        <v>0</v>
      </c>
      <c r="Q118" s="69">
        <f t="shared" si="25"/>
        <v>0</v>
      </c>
      <c r="R118" s="54"/>
      <c r="S118" s="49"/>
      <c r="T118" s="49"/>
      <c r="U118" s="49"/>
      <c r="V118" s="49"/>
      <c r="W118" s="49"/>
      <c r="X118" s="49" t="s">
        <v>117</v>
      </c>
      <c r="Y118" s="49"/>
      <c r="Z118" s="66"/>
      <c r="AA118" s="14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  <c r="AG118" s="66">
        <v>1108895</v>
      </c>
      <c r="AH118" s="66">
        <v>1108895</v>
      </c>
      <c r="AI118" s="66">
        <v>1108895</v>
      </c>
      <c r="AJ118" s="66">
        <v>1108895</v>
      </c>
      <c r="AK118" s="66">
        <v>1108895</v>
      </c>
      <c r="AM118" s="221"/>
    </row>
    <row r="119" spans="1:42" hidden="1" x14ac:dyDescent="0.35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46">ROUND(H119+J119+L119,5)</f>
        <v>488400</v>
      </c>
      <c r="O119" s="66">
        <f t="shared" si="46"/>
        <v>485585</v>
      </c>
      <c r="P119" s="69">
        <f t="shared" si="25"/>
        <v>162800</v>
      </c>
      <c r="Q119" s="69">
        <f t="shared" si="25"/>
        <v>161861.66666666666</v>
      </c>
      <c r="R119" s="5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140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M119" s="221"/>
    </row>
    <row r="120" spans="1:42" hidden="1" x14ac:dyDescent="0.35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46"/>
        <v>399075</v>
      </c>
      <c r="O120" s="66">
        <f t="shared" si="46"/>
        <v>126010</v>
      </c>
      <c r="P120" s="69">
        <f t="shared" si="25"/>
        <v>133025</v>
      </c>
      <c r="Q120" s="69">
        <f t="shared" si="25"/>
        <v>42003.333333333336</v>
      </c>
      <c r="R120" s="5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140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M120" s="221"/>
    </row>
    <row r="121" spans="1:42" hidden="1" x14ac:dyDescent="0.35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46"/>
        <v>265</v>
      </c>
      <c r="O121" s="66">
        <f t="shared" si="46"/>
        <v>0</v>
      </c>
      <c r="P121" s="69">
        <f t="shared" si="25"/>
        <v>88.333333333333329</v>
      </c>
      <c r="Q121" s="69">
        <f t="shared" si="25"/>
        <v>0</v>
      </c>
      <c r="R121" s="5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140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M121" s="221"/>
    </row>
    <row r="122" spans="1:42" hidden="1" x14ac:dyDescent="0.35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46"/>
        <v>265</v>
      </c>
      <c r="O122" s="66">
        <f t="shared" si="46"/>
        <v>91390</v>
      </c>
      <c r="P122" s="69">
        <f t="shared" si="25"/>
        <v>88.333333333333329</v>
      </c>
      <c r="Q122" s="69">
        <f t="shared" si="25"/>
        <v>30463.333333333332</v>
      </c>
      <c r="R122" s="5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140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M122" s="221"/>
    </row>
    <row r="123" spans="1:42" hidden="1" x14ac:dyDescent="0.35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46"/>
        <v>98830</v>
      </c>
      <c r="O123" s="66">
        <f t="shared" si="46"/>
        <v>125165</v>
      </c>
      <c r="P123" s="69">
        <f t="shared" si="25"/>
        <v>32943.333333333336</v>
      </c>
      <c r="Q123" s="69">
        <f t="shared" si="25"/>
        <v>41721.666666666664</v>
      </c>
      <c r="R123" s="5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140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M123" s="221"/>
    </row>
    <row r="124" spans="1:42" hidden="1" x14ac:dyDescent="0.35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47">ROUND(SUM(H118:H123),5)</f>
        <v>322815</v>
      </c>
      <c r="I124" s="75">
        <f t="shared" si="47"/>
        <v>280085</v>
      </c>
      <c r="J124" s="76">
        <f t="shared" si="47"/>
        <v>327395</v>
      </c>
      <c r="K124" s="76">
        <f t="shared" si="47"/>
        <v>231075</v>
      </c>
      <c r="L124" s="77">
        <f t="shared" si="47"/>
        <v>336625</v>
      </c>
      <c r="M124" s="77">
        <f t="shared" si="47"/>
        <v>316990</v>
      </c>
      <c r="N124" s="78">
        <f t="shared" si="46"/>
        <v>986835</v>
      </c>
      <c r="O124" s="78">
        <f t="shared" si="46"/>
        <v>828150</v>
      </c>
      <c r="P124" s="79">
        <f t="shared" si="25"/>
        <v>328945</v>
      </c>
      <c r="Q124" s="79">
        <f t="shared" si="25"/>
        <v>276050</v>
      </c>
      <c r="R124" s="5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140"/>
      <c r="AB124" s="78">
        <f t="shared" ref="AB124:AJ124" si="48">ROUND(SUM(AB118:AB123),5)</f>
        <v>1043950</v>
      </c>
      <c r="AC124" s="78">
        <f t="shared" si="48"/>
        <v>1043950</v>
      </c>
      <c r="AD124" s="78">
        <f t="shared" si="48"/>
        <v>1043950</v>
      </c>
      <c r="AE124" s="78">
        <f t="shared" si="48"/>
        <v>1043950</v>
      </c>
      <c r="AF124" s="78">
        <f t="shared" si="48"/>
        <v>1069055</v>
      </c>
      <c r="AG124" s="78">
        <f t="shared" si="48"/>
        <v>1108895</v>
      </c>
      <c r="AH124" s="78">
        <f t="shared" si="48"/>
        <v>1108895</v>
      </c>
      <c r="AI124" s="78">
        <f t="shared" si="48"/>
        <v>1108895</v>
      </c>
      <c r="AJ124" s="78">
        <f t="shared" si="48"/>
        <v>1108895</v>
      </c>
      <c r="AK124" s="78">
        <f t="shared" ref="AK124" si="49">ROUND(SUM(AK118:AK123),5)</f>
        <v>1108895</v>
      </c>
      <c r="AM124" s="221"/>
    </row>
    <row r="125" spans="1:42" hidden="1" x14ac:dyDescent="0.35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25"/>
        <v>0</v>
      </c>
      <c r="Q125" s="69">
        <f t="shared" si="25"/>
        <v>0</v>
      </c>
      <c r="R125" s="54"/>
      <c r="S125" s="49"/>
      <c r="T125" s="49"/>
      <c r="U125" s="49"/>
      <c r="V125" s="49"/>
      <c r="W125" s="49"/>
      <c r="X125" s="49" t="s">
        <v>124</v>
      </c>
      <c r="Y125" s="49"/>
      <c r="Z125" s="66"/>
      <c r="AA125" s="140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M125" s="221"/>
    </row>
    <row r="126" spans="1:42" hidden="1" x14ac:dyDescent="0.35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50">ROUND(H126+J126+L126,5)</f>
        <v>294615</v>
      </c>
      <c r="O126" s="66">
        <f t="shared" si="50"/>
        <v>236035</v>
      </c>
      <c r="P126" s="69">
        <f t="shared" si="25"/>
        <v>98205</v>
      </c>
      <c r="Q126" s="69">
        <f t="shared" si="25"/>
        <v>78678.333333333328</v>
      </c>
      <c r="R126" s="5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140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M126" s="221"/>
    </row>
    <row r="127" spans="1:42" hidden="1" x14ac:dyDescent="0.35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50"/>
        <v>96940</v>
      </c>
      <c r="O127" s="66">
        <f t="shared" si="50"/>
        <v>135795</v>
      </c>
      <c r="P127" s="69">
        <f t="shared" si="25"/>
        <v>32313.333333333332</v>
      </c>
      <c r="Q127" s="69">
        <f t="shared" si="25"/>
        <v>45265</v>
      </c>
      <c r="R127" s="5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140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M127" s="221"/>
    </row>
    <row r="128" spans="1:42" hidden="1" x14ac:dyDescent="0.35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50"/>
        <v>69790</v>
      </c>
      <c r="O128" s="66">
        <f t="shared" si="50"/>
        <v>111720</v>
      </c>
      <c r="P128" s="69">
        <f t="shared" si="25"/>
        <v>23263.333333333332</v>
      </c>
      <c r="Q128" s="69">
        <f t="shared" si="25"/>
        <v>37240</v>
      </c>
      <c r="R128" s="5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140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M128" s="221"/>
    </row>
    <row r="129" spans="1:39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50"/>
        <v>81000</v>
      </c>
      <c r="O129" s="73">
        <f t="shared" si="50"/>
        <v>99880</v>
      </c>
      <c r="P129" s="74">
        <f t="shared" si="25"/>
        <v>27000</v>
      </c>
      <c r="Q129" s="74">
        <f t="shared" si="25"/>
        <v>33293.333333333336</v>
      </c>
      <c r="R129" s="5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140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M129" s="221"/>
    </row>
    <row r="130" spans="1:39" hidden="1" x14ac:dyDescent="0.35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51">ROUND(SUM(H125:H129),5)</f>
        <v>172910</v>
      </c>
      <c r="I130" s="63">
        <f t="shared" si="51"/>
        <v>222395</v>
      </c>
      <c r="J130" s="64">
        <f t="shared" si="51"/>
        <v>180035</v>
      </c>
      <c r="K130" s="64">
        <f t="shared" si="51"/>
        <v>178545</v>
      </c>
      <c r="L130" s="65">
        <f t="shared" si="51"/>
        <v>189400</v>
      </c>
      <c r="M130" s="65">
        <f t="shared" si="51"/>
        <v>182490</v>
      </c>
      <c r="N130" s="66">
        <f t="shared" si="50"/>
        <v>542345</v>
      </c>
      <c r="O130" s="66">
        <f t="shared" si="50"/>
        <v>583430</v>
      </c>
      <c r="P130" s="69">
        <f t="shared" si="25"/>
        <v>180781.66666666666</v>
      </c>
      <c r="Q130" s="69">
        <f t="shared" si="25"/>
        <v>194476.66666666666</v>
      </c>
      <c r="R130" s="5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140"/>
      <c r="AB130" s="66">
        <f t="shared" ref="AB130:AJ130" si="52">ROUND(SUM(AB125:AB129),5)</f>
        <v>0</v>
      </c>
      <c r="AC130" s="66">
        <f t="shared" si="52"/>
        <v>0</v>
      </c>
      <c r="AD130" s="66">
        <f t="shared" si="52"/>
        <v>0</v>
      </c>
      <c r="AE130" s="66">
        <f t="shared" si="52"/>
        <v>0</v>
      </c>
      <c r="AF130" s="66">
        <f t="shared" si="52"/>
        <v>0</v>
      </c>
      <c r="AG130" s="66">
        <f t="shared" si="52"/>
        <v>0</v>
      </c>
      <c r="AH130" s="66">
        <f t="shared" si="52"/>
        <v>0</v>
      </c>
      <c r="AI130" s="66">
        <f t="shared" si="52"/>
        <v>0</v>
      </c>
      <c r="AJ130" s="66">
        <f t="shared" si="52"/>
        <v>0</v>
      </c>
      <c r="AK130" s="66">
        <f t="shared" ref="AK130" si="53">ROUND(SUM(AK125:AK129),5)</f>
        <v>0</v>
      </c>
      <c r="AM130" s="221"/>
    </row>
    <row r="131" spans="1:39" hidden="1" x14ac:dyDescent="0.35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25"/>
        <v>0</v>
      </c>
      <c r="Q131" s="69">
        <f t="shared" si="25"/>
        <v>0</v>
      </c>
      <c r="R131" s="54"/>
      <c r="S131" s="49"/>
      <c r="T131" s="49"/>
      <c r="U131" s="49"/>
      <c r="V131" s="49"/>
      <c r="W131" s="49"/>
      <c r="X131" s="49" t="s">
        <v>130</v>
      </c>
      <c r="Y131" s="49"/>
      <c r="Z131" s="66"/>
      <c r="AA131" s="140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M131" s="221"/>
    </row>
    <row r="132" spans="1:39" hidden="1" x14ac:dyDescent="0.35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54">ROUND(H132+J132+L132,5)</f>
        <v>59355</v>
      </c>
      <c r="O132" s="66">
        <f t="shared" si="54"/>
        <v>117110</v>
      </c>
      <c r="P132" s="69">
        <f t="shared" si="25"/>
        <v>19785</v>
      </c>
      <c r="Q132" s="69">
        <f t="shared" si="25"/>
        <v>39036.666666666664</v>
      </c>
      <c r="R132" s="5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140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M132" s="221"/>
    </row>
    <row r="133" spans="1:39" hidden="1" x14ac:dyDescent="0.35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54"/>
        <v>22765</v>
      </c>
      <c r="O133" s="66">
        <f t="shared" si="54"/>
        <v>58385</v>
      </c>
      <c r="P133" s="69">
        <f t="shared" si="25"/>
        <v>7588.333333333333</v>
      </c>
      <c r="Q133" s="69">
        <f t="shared" si="25"/>
        <v>19461.666666666668</v>
      </c>
      <c r="R133" s="5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140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M133" s="221"/>
    </row>
    <row r="134" spans="1:39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54"/>
        <v>55100</v>
      </c>
      <c r="O134" s="73">
        <f t="shared" si="54"/>
        <v>63285</v>
      </c>
      <c r="P134" s="74">
        <f t="shared" si="25"/>
        <v>18366.666666666668</v>
      </c>
      <c r="Q134" s="74">
        <f t="shared" si="25"/>
        <v>21095</v>
      </c>
      <c r="R134" s="5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140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M134" s="221"/>
    </row>
    <row r="135" spans="1:39" hidden="1" x14ac:dyDescent="0.35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55">ROUND(SUM(H131:H134),5)</f>
        <v>47660</v>
      </c>
      <c r="I135" s="63">
        <f t="shared" si="55"/>
        <v>89480</v>
      </c>
      <c r="J135" s="64">
        <f t="shared" si="55"/>
        <v>50325</v>
      </c>
      <c r="K135" s="64">
        <f t="shared" si="55"/>
        <v>95015</v>
      </c>
      <c r="L135" s="65">
        <f t="shared" si="55"/>
        <v>39235</v>
      </c>
      <c r="M135" s="65">
        <f t="shared" si="55"/>
        <v>54285</v>
      </c>
      <c r="N135" s="66">
        <f t="shared" si="54"/>
        <v>137220</v>
      </c>
      <c r="O135" s="66">
        <f t="shared" si="54"/>
        <v>238780</v>
      </c>
      <c r="P135" s="69">
        <f t="shared" si="25"/>
        <v>45740</v>
      </c>
      <c r="Q135" s="69">
        <f t="shared" si="25"/>
        <v>79593.333333333328</v>
      </c>
      <c r="R135" s="5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140"/>
      <c r="AB135" s="66">
        <f t="shared" ref="AB135:AJ135" si="56">ROUND(SUM(AB131:AB134),5)</f>
        <v>0</v>
      </c>
      <c r="AC135" s="66">
        <f t="shared" si="56"/>
        <v>0</v>
      </c>
      <c r="AD135" s="66">
        <f t="shared" si="56"/>
        <v>0</v>
      </c>
      <c r="AE135" s="66">
        <f t="shared" si="56"/>
        <v>0</v>
      </c>
      <c r="AF135" s="66">
        <f t="shared" si="56"/>
        <v>0</v>
      </c>
      <c r="AG135" s="66">
        <f t="shared" si="56"/>
        <v>0</v>
      </c>
      <c r="AH135" s="66">
        <f t="shared" si="56"/>
        <v>0</v>
      </c>
      <c r="AI135" s="66">
        <f t="shared" si="56"/>
        <v>0</v>
      </c>
      <c r="AJ135" s="66">
        <f t="shared" si="56"/>
        <v>0</v>
      </c>
      <c r="AK135" s="66">
        <f t="shared" ref="AK135" si="57">ROUND(SUM(AK131:AK134),5)</f>
        <v>0</v>
      </c>
      <c r="AM135" s="221"/>
    </row>
    <row r="136" spans="1:39" hidden="1" x14ac:dyDescent="0.35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25"/>
        <v>0</v>
      </c>
      <c r="Q136" s="69">
        <f t="shared" si="25"/>
        <v>0</v>
      </c>
      <c r="R136" s="54"/>
      <c r="S136" s="49"/>
      <c r="T136" s="49"/>
      <c r="U136" s="49"/>
      <c r="V136" s="49"/>
      <c r="W136" s="49"/>
      <c r="X136" s="49" t="s">
        <v>135</v>
      </c>
      <c r="Y136" s="49"/>
      <c r="Z136" s="66"/>
      <c r="AA136" s="140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M136" s="221"/>
    </row>
    <row r="137" spans="1:39" hidden="1" x14ac:dyDescent="0.35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58">ROUND(H137+J137+L137,5)</f>
        <v>139495</v>
      </c>
      <c r="O137" s="66">
        <f t="shared" si="58"/>
        <v>160315</v>
      </c>
      <c r="P137" s="69">
        <f t="shared" si="25"/>
        <v>46498.333333333336</v>
      </c>
      <c r="Q137" s="69">
        <f t="shared" si="25"/>
        <v>53438.333333333336</v>
      </c>
      <c r="R137" s="5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140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M137" s="221"/>
    </row>
    <row r="138" spans="1:39" hidden="1" x14ac:dyDescent="0.35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58"/>
        <v>11925</v>
      </c>
      <c r="O138" s="66">
        <f t="shared" si="58"/>
        <v>57525</v>
      </c>
      <c r="P138" s="69">
        <f t="shared" ref="P138:Q198" si="59">N138/3</f>
        <v>3975</v>
      </c>
      <c r="Q138" s="69">
        <f t="shared" si="59"/>
        <v>19175</v>
      </c>
      <c r="R138" s="5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140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M138" s="221"/>
    </row>
    <row r="139" spans="1:39" hidden="1" x14ac:dyDescent="0.35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58"/>
        <v>54560</v>
      </c>
      <c r="O139" s="66">
        <f t="shared" si="58"/>
        <v>80605</v>
      </c>
      <c r="P139" s="69">
        <f t="shared" si="59"/>
        <v>18186.666666666668</v>
      </c>
      <c r="Q139" s="69">
        <f t="shared" si="59"/>
        <v>26868.333333333332</v>
      </c>
      <c r="R139" s="5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140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M139" s="221"/>
    </row>
    <row r="140" spans="1:39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58"/>
        <v>35915</v>
      </c>
      <c r="O140" s="73">
        <f t="shared" si="58"/>
        <v>52710</v>
      </c>
      <c r="P140" s="74">
        <f t="shared" si="59"/>
        <v>11971.666666666666</v>
      </c>
      <c r="Q140" s="74">
        <f t="shared" si="59"/>
        <v>17570</v>
      </c>
      <c r="R140" s="5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140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M140" s="221"/>
    </row>
    <row r="141" spans="1:39" hidden="1" x14ac:dyDescent="0.35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60">ROUND(SUM(H136:H140),5)</f>
        <v>92055</v>
      </c>
      <c r="I141" s="63">
        <f t="shared" si="60"/>
        <v>121215</v>
      </c>
      <c r="J141" s="64">
        <f t="shared" si="60"/>
        <v>73370</v>
      </c>
      <c r="K141" s="64">
        <f t="shared" si="60"/>
        <v>124725</v>
      </c>
      <c r="L141" s="65">
        <f t="shared" si="60"/>
        <v>76470</v>
      </c>
      <c r="M141" s="65">
        <f t="shared" si="60"/>
        <v>105215</v>
      </c>
      <c r="N141" s="66">
        <f t="shared" si="58"/>
        <v>241895</v>
      </c>
      <c r="O141" s="66">
        <f t="shared" si="58"/>
        <v>351155</v>
      </c>
      <c r="P141" s="69">
        <f t="shared" si="59"/>
        <v>80631.666666666672</v>
      </c>
      <c r="Q141" s="69">
        <f t="shared" si="59"/>
        <v>117051.66666666667</v>
      </c>
      <c r="R141" s="5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140"/>
      <c r="AB141" s="66">
        <f t="shared" ref="AB141:AJ141" si="61">ROUND(SUM(AB136:AB140),5)</f>
        <v>0</v>
      </c>
      <c r="AC141" s="66">
        <f t="shared" si="61"/>
        <v>0</v>
      </c>
      <c r="AD141" s="66">
        <f t="shared" si="61"/>
        <v>0</v>
      </c>
      <c r="AE141" s="66">
        <f t="shared" si="61"/>
        <v>0</v>
      </c>
      <c r="AF141" s="66">
        <f t="shared" si="61"/>
        <v>0</v>
      </c>
      <c r="AG141" s="66">
        <f t="shared" si="61"/>
        <v>0</v>
      </c>
      <c r="AH141" s="66">
        <f t="shared" si="61"/>
        <v>0</v>
      </c>
      <c r="AI141" s="66">
        <f t="shared" si="61"/>
        <v>0</v>
      </c>
      <c r="AJ141" s="66">
        <f t="shared" si="61"/>
        <v>0</v>
      </c>
      <c r="AK141" s="66">
        <f t="shared" ref="AK141" si="62">ROUND(SUM(AK136:AK140),5)</f>
        <v>0</v>
      </c>
      <c r="AM141" s="221"/>
    </row>
    <row r="142" spans="1:39" hidden="1" x14ac:dyDescent="0.35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59"/>
        <v>0</v>
      </c>
      <c r="Q142" s="69">
        <f t="shared" si="59"/>
        <v>0</v>
      </c>
      <c r="R142" s="54"/>
      <c r="S142" s="49"/>
      <c r="T142" s="49"/>
      <c r="U142" s="49"/>
      <c r="V142" s="49"/>
      <c r="W142" s="49"/>
      <c r="X142" s="49" t="s">
        <v>141</v>
      </c>
      <c r="Y142" s="49"/>
      <c r="Z142" s="66"/>
      <c r="AA142" s="140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M142" s="221"/>
    </row>
    <row r="143" spans="1:39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59"/>
        <v>-129721.66666666667</v>
      </c>
      <c r="Q143" s="74">
        <f t="shared" si="59"/>
        <v>-127823.00666666667</v>
      </c>
      <c r="R143" s="5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14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  <c r="AG143" s="73">
        <f>ROUND(-121383.54, 0)</f>
        <v>-121384</v>
      </c>
      <c r="AH143" s="73">
        <f>ROUND(-121383.54, 0)</f>
        <v>-121384</v>
      </c>
      <c r="AI143" s="73">
        <f>ROUND(-121383.54, 0)</f>
        <v>-121384</v>
      </c>
      <c r="AJ143" s="73">
        <f>ROUND(-121383.54, 0)</f>
        <v>-121384</v>
      </c>
      <c r="AK143" s="73">
        <f>ROUND(-121383.54, 0)</f>
        <v>-121384</v>
      </c>
      <c r="AM143" s="221"/>
    </row>
    <row r="144" spans="1:39" hidden="1" x14ac:dyDescent="0.35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63">ROUND(SUM(H142:H143),5)</f>
        <v>-125650</v>
      </c>
      <c r="I144" s="63">
        <f t="shared" si="63"/>
        <v>-126150</v>
      </c>
      <c r="J144" s="64">
        <f t="shared" si="63"/>
        <v>-133460</v>
      </c>
      <c r="K144" s="64">
        <f t="shared" si="63"/>
        <v>-130115.02</v>
      </c>
      <c r="L144" s="65">
        <f t="shared" si="63"/>
        <v>-130055</v>
      </c>
      <c r="M144" s="65">
        <f t="shared" si="63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59"/>
        <v>-129721.66666666667</v>
      </c>
      <c r="Q144" s="69">
        <f t="shared" si="59"/>
        <v>-127823.00666666667</v>
      </c>
      <c r="R144" s="5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140"/>
      <c r="AB144" s="66">
        <f t="shared" ref="AB144:AJ144" si="64">ROUND(SUM(AB142:AB143),5)</f>
        <v>-116261.69</v>
      </c>
      <c r="AC144" s="66">
        <f t="shared" si="64"/>
        <v>-116261.69</v>
      </c>
      <c r="AD144" s="66">
        <f t="shared" si="64"/>
        <v>-116261.69</v>
      </c>
      <c r="AE144" s="66">
        <f t="shared" si="64"/>
        <v>-116261.69</v>
      </c>
      <c r="AF144" s="66">
        <f t="shared" si="64"/>
        <v>-118175</v>
      </c>
      <c r="AG144" s="66">
        <f t="shared" si="64"/>
        <v>-121384</v>
      </c>
      <c r="AH144" s="66">
        <f t="shared" si="64"/>
        <v>-121384</v>
      </c>
      <c r="AI144" s="66">
        <f t="shared" si="64"/>
        <v>-121384</v>
      </c>
      <c r="AJ144" s="66">
        <f t="shared" si="64"/>
        <v>-121384</v>
      </c>
      <c r="AK144" s="66">
        <f t="shared" ref="AK144" si="65">ROUND(SUM(AK142:AK143),5)</f>
        <v>-121384</v>
      </c>
      <c r="AM144" s="221"/>
    </row>
    <row r="145" spans="1:39" hidden="1" x14ac:dyDescent="0.35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59"/>
        <v>0</v>
      </c>
      <c r="Q145" s="69">
        <f t="shared" si="59"/>
        <v>0</v>
      </c>
      <c r="R145" s="54"/>
      <c r="S145" s="49"/>
      <c r="T145" s="49"/>
      <c r="U145" s="49"/>
      <c r="V145" s="49"/>
      <c r="W145" s="49"/>
      <c r="X145" s="49" t="s">
        <v>144</v>
      </c>
      <c r="Y145" s="49"/>
      <c r="Z145" s="66"/>
      <c r="AA145" s="140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M145" s="227"/>
    </row>
    <row r="146" spans="1:39" hidden="1" x14ac:dyDescent="0.35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66">ROUND(H146+J146+L146,5)</f>
        <v>15355</v>
      </c>
      <c r="O146" s="66">
        <f t="shared" si="66"/>
        <v>40980</v>
      </c>
      <c r="P146" s="69">
        <f t="shared" si="59"/>
        <v>5118.333333333333</v>
      </c>
      <c r="Q146" s="69">
        <f t="shared" si="59"/>
        <v>13660</v>
      </c>
      <c r="R146" s="5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140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M146" s="221"/>
    </row>
    <row r="147" spans="1:39" hidden="1" x14ac:dyDescent="0.35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66"/>
        <v>11325</v>
      </c>
      <c r="O147" s="66">
        <f t="shared" si="66"/>
        <v>40155</v>
      </c>
      <c r="P147" s="69">
        <f t="shared" si="59"/>
        <v>3775</v>
      </c>
      <c r="Q147" s="69">
        <f t="shared" si="59"/>
        <v>13385</v>
      </c>
      <c r="R147" s="5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140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M147" s="221"/>
    </row>
    <row r="148" spans="1:39" hidden="1" x14ac:dyDescent="0.35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66"/>
        <v>13910</v>
      </c>
      <c r="O148" s="66">
        <f t="shared" si="66"/>
        <v>41310</v>
      </c>
      <c r="P148" s="69">
        <f t="shared" si="59"/>
        <v>4636.666666666667</v>
      </c>
      <c r="Q148" s="69">
        <f t="shared" si="59"/>
        <v>13770</v>
      </c>
      <c r="R148" s="5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140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M148" s="221"/>
    </row>
    <row r="149" spans="1:39" hidden="1" x14ac:dyDescent="0.35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66"/>
        <v>14095</v>
      </c>
      <c r="O149" s="66">
        <f t="shared" si="66"/>
        <v>40355</v>
      </c>
      <c r="P149" s="69">
        <f t="shared" si="59"/>
        <v>4698.333333333333</v>
      </c>
      <c r="Q149" s="69">
        <f t="shared" si="59"/>
        <v>13451.666666666666</v>
      </c>
      <c r="R149" s="5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140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M149" s="221"/>
    </row>
    <row r="150" spans="1:39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66"/>
        <v>25215</v>
      </c>
      <c r="O150" s="73">
        <f t="shared" si="66"/>
        <v>66355</v>
      </c>
      <c r="P150" s="74">
        <f t="shared" si="59"/>
        <v>8405</v>
      </c>
      <c r="Q150" s="74">
        <f t="shared" si="59"/>
        <v>22118.333333333332</v>
      </c>
      <c r="R150" s="5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140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M150" s="221"/>
    </row>
    <row r="151" spans="1:39" hidden="1" x14ac:dyDescent="0.35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67">ROUND(SUM(H145:H150),5)</f>
        <v>28635</v>
      </c>
      <c r="I151" s="63">
        <f t="shared" si="67"/>
        <v>84725</v>
      </c>
      <c r="J151" s="64">
        <f t="shared" si="67"/>
        <v>25420</v>
      </c>
      <c r="K151" s="64">
        <f t="shared" si="67"/>
        <v>100435</v>
      </c>
      <c r="L151" s="65">
        <f t="shared" si="67"/>
        <v>25845</v>
      </c>
      <c r="M151" s="65">
        <f t="shared" si="67"/>
        <v>43995</v>
      </c>
      <c r="N151" s="66">
        <f t="shared" si="66"/>
        <v>79900</v>
      </c>
      <c r="O151" s="66">
        <f t="shared" si="66"/>
        <v>229155</v>
      </c>
      <c r="P151" s="69">
        <f t="shared" si="59"/>
        <v>26633.333333333332</v>
      </c>
      <c r="Q151" s="69">
        <f t="shared" si="59"/>
        <v>76385</v>
      </c>
      <c r="R151" s="5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140"/>
      <c r="AB151" s="66">
        <f t="shared" ref="AB151:AJ151" si="68">ROUND(SUM(AB145:AB150),5)</f>
        <v>0</v>
      </c>
      <c r="AC151" s="66">
        <f t="shared" si="68"/>
        <v>0</v>
      </c>
      <c r="AD151" s="66">
        <f t="shared" si="68"/>
        <v>0</v>
      </c>
      <c r="AE151" s="66">
        <f t="shared" si="68"/>
        <v>0</v>
      </c>
      <c r="AF151" s="66">
        <f t="shared" si="68"/>
        <v>0</v>
      </c>
      <c r="AG151" s="66">
        <f t="shared" si="68"/>
        <v>0</v>
      </c>
      <c r="AH151" s="66">
        <f t="shared" si="68"/>
        <v>0</v>
      </c>
      <c r="AI151" s="66">
        <f t="shared" si="68"/>
        <v>0</v>
      </c>
      <c r="AJ151" s="66">
        <f t="shared" si="68"/>
        <v>0</v>
      </c>
      <c r="AK151" s="66">
        <f t="shared" ref="AK151" si="69">ROUND(SUM(AK145:AK150),5)</f>
        <v>0</v>
      </c>
      <c r="AM151" s="221"/>
    </row>
    <row r="152" spans="1:39" hidden="1" x14ac:dyDescent="0.35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59"/>
        <v>0</v>
      </c>
      <c r="Q152" s="69">
        <f t="shared" si="59"/>
        <v>0</v>
      </c>
      <c r="R152" s="54"/>
      <c r="S152" s="49"/>
      <c r="T152" s="49"/>
      <c r="U152" s="49"/>
      <c r="V152" s="49"/>
      <c r="W152" s="49"/>
      <c r="X152" s="49" t="s">
        <v>151</v>
      </c>
      <c r="Y152" s="49"/>
      <c r="Z152" s="66"/>
      <c r="AA152" s="140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M152" s="221"/>
    </row>
    <row r="153" spans="1:39" hidden="1" x14ac:dyDescent="0.35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70">ROUND(H153+J153+L153,5)</f>
        <v>158780</v>
      </c>
      <c r="O153" s="66">
        <f t="shared" si="70"/>
        <v>106120</v>
      </c>
      <c r="P153" s="69">
        <f t="shared" si="59"/>
        <v>52926.666666666664</v>
      </c>
      <c r="Q153" s="69">
        <f t="shared" si="59"/>
        <v>35373.333333333336</v>
      </c>
      <c r="R153" s="5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140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M153" s="221"/>
    </row>
    <row r="154" spans="1:39" hidden="1" x14ac:dyDescent="0.35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70"/>
        <v>0</v>
      </c>
      <c r="O154" s="66">
        <f t="shared" si="70"/>
        <v>0</v>
      </c>
      <c r="P154" s="69">
        <f t="shared" si="59"/>
        <v>0</v>
      </c>
      <c r="Q154" s="69">
        <f t="shared" si="59"/>
        <v>0</v>
      </c>
      <c r="R154" s="5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140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M154" s="221"/>
    </row>
    <row r="155" spans="1:39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70"/>
        <v>20005</v>
      </c>
      <c r="O155" s="73">
        <f t="shared" si="70"/>
        <v>57720</v>
      </c>
      <c r="P155" s="74">
        <f t="shared" si="59"/>
        <v>6668.333333333333</v>
      </c>
      <c r="Q155" s="74">
        <f t="shared" si="59"/>
        <v>19240</v>
      </c>
      <c r="R155" s="5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140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M155" s="221"/>
    </row>
    <row r="156" spans="1:39" hidden="1" x14ac:dyDescent="0.35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71">ROUND(SUM(H152:H155),5)</f>
        <v>49410</v>
      </c>
      <c r="I156" s="63">
        <f t="shared" si="71"/>
        <v>53770</v>
      </c>
      <c r="J156" s="64">
        <f t="shared" si="71"/>
        <v>64775</v>
      </c>
      <c r="K156" s="64">
        <f t="shared" si="71"/>
        <v>53565</v>
      </c>
      <c r="L156" s="65">
        <f t="shared" si="71"/>
        <v>64600</v>
      </c>
      <c r="M156" s="65">
        <f t="shared" si="71"/>
        <v>56505</v>
      </c>
      <c r="N156" s="66">
        <f t="shared" si="70"/>
        <v>178785</v>
      </c>
      <c r="O156" s="66">
        <f t="shared" si="70"/>
        <v>163840</v>
      </c>
      <c r="P156" s="69">
        <f t="shared" si="59"/>
        <v>59595</v>
      </c>
      <c r="Q156" s="69">
        <f t="shared" si="59"/>
        <v>54613.333333333336</v>
      </c>
      <c r="R156" s="5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140"/>
      <c r="AB156" s="66">
        <f t="shared" ref="AB156:AJ156" si="72">ROUND(SUM(AB152:AB155),5)</f>
        <v>0</v>
      </c>
      <c r="AC156" s="66">
        <f t="shared" si="72"/>
        <v>0</v>
      </c>
      <c r="AD156" s="66">
        <f t="shared" si="72"/>
        <v>0</v>
      </c>
      <c r="AE156" s="66">
        <f t="shared" si="72"/>
        <v>0</v>
      </c>
      <c r="AF156" s="66">
        <f t="shared" si="72"/>
        <v>0</v>
      </c>
      <c r="AG156" s="66">
        <f t="shared" si="72"/>
        <v>0</v>
      </c>
      <c r="AH156" s="66">
        <f t="shared" si="72"/>
        <v>0</v>
      </c>
      <c r="AI156" s="66">
        <f t="shared" si="72"/>
        <v>0</v>
      </c>
      <c r="AJ156" s="66">
        <f t="shared" si="72"/>
        <v>0</v>
      </c>
      <c r="AK156" s="66">
        <f t="shared" ref="AK156" si="73">ROUND(SUM(AK152:AK155),5)</f>
        <v>0</v>
      </c>
      <c r="AM156" s="221"/>
    </row>
    <row r="157" spans="1:39" hidden="1" x14ac:dyDescent="0.35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59"/>
        <v>0</v>
      </c>
      <c r="Q157" s="69">
        <f t="shared" si="59"/>
        <v>0</v>
      </c>
      <c r="R157" s="54"/>
      <c r="S157" s="49"/>
      <c r="T157" s="49"/>
      <c r="U157" s="49"/>
      <c r="V157" s="49"/>
      <c r="W157" s="49"/>
      <c r="X157" s="49" t="s">
        <v>156</v>
      </c>
      <c r="Y157" s="49"/>
      <c r="Z157" s="66"/>
      <c r="AA157" s="140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M157" s="221"/>
    </row>
    <row r="158" spans="1:39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59"/>
        <v>44666.666666666664</v>
      </c>
      <c r="Q158" s="74">
        <f t="shared" si="59"/>
        <v>41006.666666666664</v>
      </c>
      <c r="R158" s="5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140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M158" s="221"/>
    </row>
    <row r="159" spans="1:39" hidden="1" x14ac:dyDescent="0.35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74">ROUND(SUM(H157:H158),5)</f>
        <v>40160</v>
      </c>
      <c r="I159" s="63">
        <f t="shared" si="74"/>
        <v>39540</v>
      </c>
      <c r="J159" s="64">
        <f t="shared" si="74"/>
        <v>42655</v>
      </c>
      <c r="K159" s="64">
        <f t="shared" si="74"/>
        <v>40060</v>
      </c>
      <c r="L159" s="65">
        <f t="shared" si="74"/>
        <v>51185</v>
      </c>
      <c r="M159" s="65">
        <f t="shared" si="74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59"/>
        <v>44666.666666666664</v>
      </c>
      <c r="Q159" s="69">
        <f t="shared" si="59"/>
        <v>41006.666666666664</v>
      </c>
      <c r="R159" s="5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140"/>
      <c r="AB159" s="66">
        <f t="shared" ref="AB159:AJ159" si="75">ROUND(SUM(AB157:AB158),5)</f>
        <v>0</v>
      </c>
      <c r="AC159" s="66">
        <f t="shared" si="75"/>
        <v>0</v>
      </c>
      <c r="AD159" s="66">
        <f t="shared" si="75"/>
        <v>0</v>
      </c>
      <c r="AE159" s="66">
        <f t="shared" si="75"/>
        <v>0</v>
      </c>
      <c r="AF159" s="66">
        <f t="shared" si="75"/>
        <v>0</v>
      </c>
      <c r="AG159" s="66">
        <f t="shared" si="75"/>
        <v>0</v>
      </c>
      <c r="AH159" s="66">
        <f t="shared" si="75"/>
        <v>0</v>
      </c>
      <c r="AI159" s="66">
        <f t="shared" si="75"/>
        <v>0</v>
      </c>
      <c r="AJ159" s="66">
        <f t="shared" si="75"/>
        <v>0</v>
      </c>
      <c r="AK159" s="66">
        <f t="shared" ref="AK159" si="76">ROUND(SUM(AK157:AK158),5)</f>
        <v>0</v>
      </c>
      <c r="AM159" s="221"/>
    </row>
    <row r="160" spans="1:39" hidden="1" x14ac:dyDescent="0.35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59"/>
        <v>0</v>
      </c>
      <c r="Q160" s="69">
        <f t="shared" si="59"/>
        <v>0</v>
      </c>
      <c r="R160" s="54"/>
      <c r="S160" s="49"/>
      <c r="T160" s="49"/>
      <c r="U160" s="49"/>
      <c r="V160" s="49"/>
      <c r="W160" s="49"/>
      <c r="X160" s="49" t="s">
        <v>159</v>
      </c>
      <c r="Y160" s="49"/>
      <c r="Z160" s="66"/>
      <c r="AA160" s="140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M160" s="221"/>
    </row>
    <row r="161" spans="1:44" hidden="1" x14ac:dyDescent="0.35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77">ROUND(H161+J161+L161,5)</f>
        <v>246750</v>
      </c>
      <c r="O161" s="66">
        <f t="shared" si="77"/>
        <v>185670</v>
      </c>
      <c r="P161" s="69">
        <f t="shared" si="59"/>
        <v>82250</v>
      </c>
      <c r="Q161" s="69">
        <f t="shared" si="59"/>
        <v>61890</v>
      </c>
      <c r="R161" s="5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140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M161" s="221"/>
    </row>
    <row r="162" spans="1:44" hidden="1" x14ac:dyDescent="0.35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77"/>
        <v>151865</v>
      </c>
      <c r="O162" s="66">
        <f t="shared" si="77"/>
        <v>108245</v>
      </c>
      <c r="P162" s="69">
        <f t="shared" si="59"/>
        <v>50621.666666666664</v>
      </c>
      <c r="Q162" s="69">
        <f t="shared" si="59"/>
        <v>36081.666666666664</v>
      </c>
      <c r="R162" s="5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140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M162" s="221"/>
    </row>
    <row r="163" spans="1:44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77"/>
        <v>110740</v>
      </c>
      <c r="O163" s="73">
        <f t="shared" si="77"/>
        <v>97550</v>
      </c>
      <c r="P163" s="74">
        <f t="shared" si="59"/>
        <v>36913.333333333336</v>
      </c>
      <c r="Q163" s="74">
        <f t="shared" si="59"/>
        <v>32516.666666666668</v>
      </c>
      <c r="R163" s="5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140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M163" s="221"/>
    </row>
    <row r="164" spans="1:44" hidden="1" x14ac:dyDescent="0.35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78">ROUND(SUM(H160:H163),5)</f>
        <v>154940</v>
      </c>
      <c r="I164" s="63">
        <f t="shared" si="78"/>
        <v>123940</v>
      </c>
      <c r="J164" s="64">
        <f t="shared" si="78"/>
        <v>167910</v>
      </c>
      <c r="K164" s="64">
        <f t="shared" si="78"/>
        <v>108130</v>
      </c>
      <c r="L164" s="65">
        <f t="shared" si="78"/>
        <v>186505</v>
      </c>
      <c r="M164" s="65">
        <f t="shared" si="78"/>
        <v>159395</v>
      </c>
      <c r="N164" s="66">
        <f t="shared" si="77"/>
        <v>509355</v>
      </c>
      <c r="O164" s="66">
        <f t="shared" si="77"/>
        <v>391465</v>
      </c>
      <c r="P164" s="69">
        <f t="shared" si="59"/>
        <v>169785</v>
      </c>
      <c r="Q164" s="69">
        <f t="shared" si="59"/>
        <v>130488.33333333333</v>
      </c>
      <c r="R164" s="5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140"/>
      <c r="AB164" s="66">
        <f t="shared" ref="AB164:AJ164" si="79">ROUND(SUM(AB160:AB163),5)</f>
        <v>0</v>
      </c>
      <c r="AC164" s="66">
        <f t="shared" si="79"/>
        <v>0</v>
      </c>
      <c r="AD164" s="66">
        <f t="shared" si="79"/>
        <v>0</v>
      </c>
      <c r="AE164" s="66">
        <f t="shared" si="79"/>
        <v>0</v>
      </c>
      <c r="AF164" s="66">
        <f t="shared" si="79"/>
        <v>0</v>
      </c>
      <c r="AG164" s="66">
        <f t="shared" si="79"/>
        <v>0</v>
      </c>
      <c r="AH164" s="66">
        <f t="shared" si="79"/>
        <v>0</v>
      </c>
      <c r="AI164" s="66">
        <f t="shared" si="79"/>
        <v>0</v>
      </c>
      <c r="AJ164" s="66">
        <f t="shared" si="79"/>
        <v>0</v>
      </c>
      <c r="AK164" s="66">
        <f t="shared" ref="AK164" si="80">ROUND(SUM(AK160:AK163),5)</f>
        <v>0</v>
      </c>
      <c r="AM164" s="221"/>
    </row>
    <row r="165" spans="1:44" hidden="1" x14ac:dyDescent="0.35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59"/>
        <v>0</v>
      </c>
      <c r="Q165" s="69">
        <f t="shared" si="59"/>
        <v>0</v>
      </c>
      <c r="R165" s="54"/>
      <c r="S165" s="49"/>
      <c r="T165" s="49"/>
      <c r="U165" s="49"/>
      <c r="V165" s="49"/>
      <c r="W165" s="49"/>
      <c r="X165" s="49" t="s">
        <v>164</v>
      </c>
      <c r="Y165" s="49"/>
      <c r="Z165" s="66"/>
      <c r="AA165" s="140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M165" s="221"/>
    </row>
    <row r="166" spans="1:44" hidden="1" x14ac:dyDescent="0.35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81">ROUND(H166+J166+L166,5)</f>
        <v>223285</v>
      </c>
      <c r="O166" s="66">
        <f t="shared" si="81"/>
        <v>112600</v>
      </c>
      <c r="P166" s="69">
        <f t="shared" si="59"/>
        <v>74428.333333333328</v>
      </c>
      <c r="Q166" s="69">
        <f t="shared" si="59"/>
        <v>37533.333333333336</v>
      </c>
      <c r="R166" s="5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140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M166" s="221"/>
    </row>
    <row r="167" spans="1:44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81"/>
        <v>1035</v>
      </c>
      <c r="O167" s="73">
        <f t="shared" si="81"/>
        <v>10779.56</v>
      </c>
      <c r="P167" s="74">
        <f t="shared" si="59"/>
        <v>345</v>
      </c>
      <c r="Q167" s="74">
        <f t="shared" si="59"/>
        <v>3593.1866666666665</v>
      </c>
      <c r="R167" s="5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140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M167" s="221"/>
    </row>
    <row r="168" spans="1:44" hidden="1" x14ac:dyDescent="0.35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82">ROUND(SUM(H165:H167),5)</f>
        <v>66205</v>
      </c>
      <c r="I168" s="63">
        <f t="shared" si="82"/>
        <v>36000</v>
      </c>
      <c r="J168" s="64">
        <f t="shared" si="82"/>
        <v>76590</v>
      </c>
      <c r="K168" s="64">
        <f t="shared" si="82"/>
        <v>32349.56</v>
      </c>
      <c r="L168" s="65">
        <f t="shared" si="82"/>
        <v>81525</v>
      </c>
      <c r="M168" s="65">
        <f t="shared" si="82"/>
        <v>55030</v>
      </c>
      <c r="N168" s="66">
        <f t="shared" si="81"/>
        <v>224320</v>
      </c>
      <c r="O168" s="66">
        <f t="shared" si="81"/>
        <v>123379.56</v>
      </c>
      <c r="P168" s="69">
        <f t="shared" si="59"/>
        <v>74773.333333333328</v>
      </c>
      <c r="Q168" s="69">
        <f t="shared" si="59"/>
        <v>41126.519999999997</v>
      </c>
      <c r="R168" s="5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140"/>
      <c r="AB168" s="66">
        <f t="shared" ref="AB168:AJ168" si="83">ROUND(SUM(AB165:AB167),5)</f>
        <v>0</v>
      </c>
      <c r="AC168" s="66">
        <f t="shared" si="83"/>
        <v>0</v>
      </c>
      <c r="AD168" s="66">
        <f t="shared" si="83"/>
        <v>0</v>
      </c>
      <c r="AE168" s="66">
        <f t="shared" si="83"/>
        <v>0</v>
      </c>
      <c r="AF168" s="66">
        <f t="shared" si="83"/>
        <v>0</v>
      </c>
      <c r="AG168" s="66">
        <f t="shared" si="83"/>
        <v>0</v>
      </c>
      <c r="AH168" s="66">
        <f t="shared" si="83"/>
        <v>0</v>
      </c>
      <c r="AI168" s="66">
        <f t="shared" si="83"/>
        <v>0</v>
      </c>
      <c r="AJ168" s="66">
        <f t="shared" si="83"/>
        <v>0</v>
      </c>
      <c r="AK168" s="66">
        <f t="shared" ref="AK168" si="84">ROUND(SUM(AK165:AK167),5)</f>
        <v>0</v>
      </c>
      <c r="AM168" s="221"/>
    </row>
    <row r="169" spans="1:44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81"/>
        <v>0</v>
      </c>
      <c r="O169" s="73">
        <f t="shared" si="81"/>
        <v>0</v>
      </c>
      <c r="P169" s="74">
        <f t="shared" si="59"/>
        <v>0</v>
      </c>
      <c r="Q169" s="74">
        <f t="shared" si="59"/>
        <v>0</v>
      </c>
      <c r="R169" s="5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14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  <c r="AG169" s="73">
        <v>0</v>
      </c>
      <c r="AH169" s="73">
        <v>0</v>
      </c>
      <c r="AI169" s="73">
        <v>0</v>
      </c>
      <c r="AJ169" s="73">
        <v>0</v>
      </c>
      <c r="AK169" s="73">
        <v>0</v>
      </c>
      <c r="AM169" s="221"/>
    </row>
    <row r="170" spans="1:44" x14ac:dyDescent="0.35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85">ROUND(H117+H124+H130+H135+H141+H144+H151+H156+H159+H164+SUM(H168:H169),5)</f>
        <v>849140</v>
      </c>
      <c r="I170" s="63">
        <f t="shared" si="85"/>
        <v>925000</v>
      </c>
      <c r="J170" s="64">
        <f t="shared" si="85"/>
        <v>875015</v>
      </c>
      <c r="K170" s="64">
        <f t="shared" si="85"/>
        <v>833784.54</v>
      </c>
      <c r="L170" s="65">
        <f t="shared" si="85"/>
        <v>921335</v>
      </c>
      <c r="M170" s="65">
        <f t="shared" si="85"/>
        <v>890121</v>
      </c>
      <c r="N170" s="66">
        <f t="shared" si="81"/>
        <v>2645490</v>
      </c>
      <c r="O170" s="66">
        <f t="shared" si="81"/>
        <v>2648905.54</v>
      </c>
      <c r="P170" s="69">
        <f t="shared" si="59"/>
        <v>881830</v>
      </c>
      <c r="Q170" s="69">
        <f t="shared" si="59"/>
        <v>882968.51333333331</v>
      </c>
      <c r="R170" s="5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140"/>
      <c r="AB170" s="80">
        <f t="shared" ref="AB170:AJ170" si="86">ROUND(AB117+AB124+AB130+AB135+AB141+AB144+AB151+AB156+AB159+AB164+SUM(AB168:AB169),5)</f>
        <v>927688.31</v>
      </c>
      <c r="AC170" s="80">
        <f t="shared" si="86"/>
        <v>927688.31</v>
      </c>
      <c r="AD170" s="80">
        <f t="shared" si="86"/>
        <v>927688.31</v>
      </c>
      <c r="AE170" s="80">
        <f t="shared" si="86"/>
        <v>927688.31</v>
      </c>
      <c r="AF170" s="80">
        <f t="shared" si="86"/>
        <v>950880</v>
      </c>
      <c r="AG170" s="80">
        <f t="shared" si="86"/>
        <v>987511</v>
      </c>
      <c r="AH170" s="80">
        <f t="shared" si="86"/>
        <v>987511</v>
      </c>
      <c r="AI170" s="80">
        <f t="shared" si="86"/>
        <v>987511</v>
      </c>
      <c r="AJ170" s="80">
        <f t="shared" si="86"/>
        <v>987511</v>
      </c>
      <c r="AK170" s="266">
        <f t="shared" ref="AK170" si="87">ROUND(AK117+AK124+AK130+AK135+AK141+AK144+AK151+AK156+AK159+AK164+SUM(AK168:AK169),5)</f>
        <v>987511</v>
      </c>
      <c r="AL170" s="173"/>
      <c r="AM170" s="226" t="s">
        <v>988</v>
      </c>
      <c r="AR170" s="171"/>
    </row>
    <row r="171" spans="1:44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59"/>
        <v>0</v>
      </c>
      <c r="Q171" s="69">
        <f t="shared" si="59"/>
        <v>0</v>
      </c>
      <c r="R171" s="54"/>
      <c r="S171" s="49"/>
      <c r="T171" s="49"/>
      <c r="U171" s="49"/>
      <c r="V171" s="49"/>
      <c r="W171" s="49" t="s">
        <v>170</v>
      </c>
      <c r="X171" s="49"/>
      <c r="Y171" s="49"/>
      <c r="Z171" s="66"/>
      <c r="AA171" s="140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M171" s="226" t="s">
        <v>1032</v>
      </c>
      <c r="AN171" s="62">
        <v>2</v>
      </c>
      <c r="AO171" s="257" t="s">
        <v>1030</v>
      </c>
      <c r="AP171" s="258">
        <v>30000</v>
      </c>
      <c r="AR171" s="171"/>
    </row>
    <row r="172" spans="1:44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88">ROUND(H172+J172+L172,5)</f>
        <v>322169.82</v>
      </c>
      <c r="O172" s="66">
        <f t="shared" si="88"/>
        <v>137000</v>
      </c>
      <c r="P172" s="69">
        <f t="shared" si="59"/>
        <v>107389.94</v>
      </c>
      <c r="Q172" s="69">
        <f t="shared" si="59"/>
        <v>45666.666666666664</v>
      </c>
      <c r="R172" s="5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14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G172" s="66">
        <f>130000+264250+77125</f>
        <v>471375</v>
      </c>
      <c r="AH172" s="66">
        <f>130000+264250+77125+125000</f>
        <v>596375</v>
      </c>
      <c r="AI172" s="66">
        <f>130000+264250+77125+125000-66000</f>
        <v>530375</v>
      </c>
      <c r="AJ172" s="66">
        <f>130000+264250+77125+62500</f>
        <v>533875</v>
      </c>
      <c r="AK172" s="66">
        <v>575975</v>
      </c>
      <c r="AL172" s="182"/>
      <c r="AM172" s="229"/>
      <c r="AN172" s="62">
        <v>1</v>
      </c>
      <c r="AO172" s="257" t="s">
        <v>1024</v>
      </c>
      <c r="AP172" s="258">
        <v>20000</v>
      </c>
      <c r="AR172" s="171"/>
    </row>
    <row r="173" spans="1:44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88"/>
        <v>242478.99</v>
      </c>
      <c r="O173" s="66">
        <f t="shared" si="88"/>
        <v>253000</v>
      </c>
      <c r="P173" s="69">
        <f>N173/3</f>
        <v>80826.33</v>
      </c>
      <c r="Q173" s="69">
        <f t="shared" si="59"/>
        <v>84333.333333333328</v>
      </c>
      <c r="R173" s="5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140"/>
      <c r="AB173" s="66">
        <f t="shared" ref="AB173:AK173" si="89">26750+29750+19500+10625</f>
        <v>86625</v>
      </c>
      <c r="AC173" s="66">
        <f t="shared" si="89"/>
        <v>86625</v>
      </c>
      <c r="AD173" s="66">
        <f t="shared" si="89"/>
        <v>86625</v>
      </c>
      <c r="AE173" s="66">
        <f t="shared" si="89"/>
        <v>86625</v>
      </c>
      <c r="AF173" s="66">
        <f t="shared" si="89"/>
        <v>86625</v>
      </c>
      <c r="AG173" s="66">
        <f t="shared" si="89"/>
        <v>86625</v>
      </c>
      <c r="AH173" s="66">
        <f t="shared" si="89"/>
        <v>86625</v>
      </c>
      <c r="AI173" s="66">
        <f t="shared" si="89"/>
        <v>86625</v>
      </c>
      <c r="AJ173" s="66">
        <f t="shared" si="89"/>
        <v>86625</v>
      </c>
      <c r="AK173" s="66">
        <f t="shared" si="89"/>
        <v>86625</v>
      </c>
      <c r="AL173" s="182"/>
      <c r="AM173" s="228"/>
      <c r="AN173" s="62">
        <v>2</v>
      </c>
      <c r="AO173" s="249">
        <v>229</v>
      </c>
      <c r="AP173" s="248">
        <v>30000</v>
      </c>
      <c r="AQ173" s="46" t="s">
        <v>1031</v>
      </c>
      <c r="AR173" s="171"/>
    </row>
    <row r="174" spans="1:44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88"/>
        <v>7072</v>
      </c>
      <c r="O174" s="66">
        <f t="shared" si="88"/>
        <v>8000</v>
      </c>
      <c r="P174" s="69">
        <f t="shared" si="59"/>
        <v>2357.3333333333335</v>
      </c>
      <c r="Q174" s="69">
        <f t="shared" si="59"/>
        <v>2666.6666666666665</v>
      </c>
      <c r="R174" s="5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14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H174" s="66">
        <v>0</v>
      </c>
      <c r="AI174" s="66">
        <v>0</v>
      </c>
      <c r="AJ174" s="66">
        <v>0</v>
      </c>
      <c r="AK174" s="66">
        <v>0</v>
      </c>
      <c r="AM174" s="228"/>
      <c r="AN174" s="62">
        <v>2</v>
      </c>
      <c r="AO174" s="249">
        <v>307</v>
      </c>
      <c r="AP174" s="248">
        <v>30000</v>
      </c>
      <c r="AQ174" s="46" t="s">
        <v>1031</v>
      </c>
      <c r="AR174" s="171"/>
    </row>
    <row r="175" spans="1:44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88"/>
        <v>0</v>
      </c>
      <c r="O175" s="66">
        <f t="shared" si="88"/>
        <v>0</v>
      </c>
      <c r="P175" s="69">
        <f t="shared" si="59"/>
        <v>0</v>
      </c>
      <c r="Q175" s="69">
        <f t="shared" si="59"/>
        <v>0</v>
      </c>
      <c r="R175" s="5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14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0</v>
      </c>
      <c r="AI175" s="66">
        <v>0</v>
      </c>
      <c r="AJ175" s="66">
        <v>0</v>
      </c>
      <c r="AK175" s="66">
        <v>0</v>
      </c>
      <c r="AL175" s="173"/>
      <c r="AM175" s="228"/>
      <c r="AN175" s="62">
        <v>2</v>
      </c>
      <c r="AO175" s="249">
        <v>308</v>
      </c>
      <c r="AP175" s="248">
        <v>64250</v>
      </c>
      <c r="AR175" s="171"/>
    </row>
    <row r="176" spans="1:44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88"/>
        <v>11385</v>
      </c>
      <c r="O176" s="66">
        <f t="shared" si="88"/>
        <v>39800</v>
      </c>
      <c r="P176" s="69">
        <f t="shared" si="59"/>
        <v>3795</v>
      </c>
      <c r="Q176" s="69">
        <f t="shared" si="59"/>
        <v>13266.666666666666</v>
      </c>
      <c r="R176" s="5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14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G176" s="66">
        <f>ROUND(7425*1.5, 0)</f>
        <v>11138</v>
      </c>
      <c r="AH176" s="66">
        <f>ROUND(7425*1.5, 0)</f>
        <v>11138</v>
      </c>
      <c r="AI176" s="66">
        <f>ROUND(7425*1.5, 0)</f>
        <v>11138</v>
      </c>
      <c r="AJ176" s="66">
        <f>ROUND(7425*1.5, 0)</f>
        <v>11138</v>
      </c>
      <c r="AK176" s="66">
        <f>ROUND(7425*1.5, 0)</f>
        <v>11138</v>
      </c>
      <c r="AL176" s="173"/>
      <c r="AM176" s="221" t="s">
        <v>989</v>
      </c>
      <c r="AN176" s="62">
        <v>1</v>
      </c>
      <c r="AO176" s="249">
        <v>251</v>
      </c>
      <c r="AP176" s="248">
        <v>20000</v>
      </c>
      <c r="AR176" s="171"/>
    </row>
    <row r="177" spans="1:45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88"/>
        <v>0</v>
      </c>
      <c r="O177" s="66">
        <f t="shared" si="88"/>
        <v>15000</v>
      </c>
      <c r="P177" s="69">
        <f t="shared" si="59"/>
        <v>0</v>
      </c>
      <c r="Q177" s="69">
        <f t="shared" si="59"/>
        <v>5000</v>
      </c>
      <c r="R177" s="5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14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0</v>
      </c>
      <c r="AI177" s="66">
        <v>0</v>
      </c>
      <c r="AJ177" s="66">
        <v>0</v>
      </c>
      <c r="AK177" s="66">
        <v>0</v>
      </c>
      <c r="AM177" s="230"/>
      <c r="AN177" s="62">
        <v>2</v>
      </c>
      <c r="AO177" s="247" t="s">
        <v>949</v>
      </c>
      <c r="AP177" s="248">
        <f>ROUND(54653.85, 0)</f>
        <v>54654</v>
      </c>
      <c r="AR177" s="171"/>
    </row>
    <row r="178" spans="1:45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88"/>
        <v>3000</v>
      </c>
      <c r="O178" s="66">
        <f t="shared" si="88"/>
        <v>11000</v>
      </c>
      <c r="P178" s="69">
        <f t="shared" si="59"/>
        <v>1000</v>
      </c>
      <c r="Q178" s="69">
        <f t="shared" si="59"/>
        <v>3666.6666666666665</v>
      </c>
      <c r="R178" s="5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14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H178" s="66">
        <v>0</v>
      </c>
      <c r="AI178" s="66">
        <v>0</v>
      </c>
      <c r="AJ178" s="66">
        <v>0</v>
      </c>
      <c r="AK178" s="66">
        <v>0</v>
      </c>
      <c r="AN178" s="62">
        <v>2</v>
      </c>
      <c r="AO178" s="247" t="s">
        <v>950</v>
      </c>
      <c r="AP178" s="248">
        <f>ROUND(54653.85, 0)</f>
        <v>54654</v>
      </c>
      <c r="AR178" s="171"/>
    </row>
    <row r="179" spans="1:45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88"/>
        <v>56296.39</v>
      </c>
      <c r="O179" s="66">
        <f t="shared" si="88"/>
        <v>28065</v>
      </c>
      <c r="P179" s="69">
        <f t="shared" si="59"/>
        <v>18765.463333333333</v>
      </c>
      <c r="Q179" s="69">
        <f t="shared" si="59"/>
        <v>9355</v>
      </c>
      <c r="R179" s="5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14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G179" s="66">
        <v>16325</v>
      </c>
      <c r="AH179" s="66">
        <v>16325</v>
      </c>
      <c r="AI179" s="66">
        <v>16325</v>
      </c>
      <c r="AJ179" s="66">
        <v>16325</v>
      </c>
      <c r="AK179" s="66">
        <v>16325</v>
      </c>
      <c r="AN179" s="62">
        <v>1</v>
      </c>
      <c r="AO179" s="247" t="s">
        <v>951</v>
      </c>
      <c r="AP179" s="248">
        <f>ROUND(32792.31, 0)</f>
        <v>32792</v>
      </c>
      <c r="AR179" s="171"/>
    </row>
    <row r="180" spans="1:45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88"/>
        <v>9375</v>
      </c>
      <c r="O180" s="66">
        <f t="shared" si="88"/>
        <v>18070</v>
      </c>
      <c r="P180" s="69">
        <f t="shared" si="59"/>
        <v>3125</v>
      </c>
      <c r="Q180" s="69">
        <f t="shared" si="59"/>
        <v>6023.333333333333</v>
      </c>
      <c r="R180" s="5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14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G180" s="66">
        <v>10050</v>
      </c>
      <c r="AH180" s="66">
        <v>10050</v>
      </c>
      <c r="AI180" s="66">
        <v>10050</v>
      </c>
      <c r="AJ180" s="66">
        <v>10050</v>
      </c>
      <c r="AK180" s="66">
        <v>10050</v>
      </c>
      <c r="AN180" s="171"/>
      <c r="AO180" s="216" t="s">
        <v>999</v>
      </c>
      <c r="AP180" s="170">
        <f>SUM(AP171:AP179)</f>
        <v>336350</v>
      </c>
      <c r="AR180" s="171"/>
      <c r="AS180" s="171"/>
    </row>
    <row r="181" spans="1:45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88"/>
        <v>5322.15</v>
      </c>
      <c r="O181" s="66">
        <f t="shared" si="88"/>
        <v>4200</v>
      </c>
      <c r="P181" s="69">
        <f t="shared" si="59"/>
        <v>1774.05</v>
      </c>
      <c r="Q181" s="69">
        <f t="shared" si="59"/>
        <v>1400</v>
      </c>
      <c r="R181" s="5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14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G181" s="66">
        <v>1200</v>
      </c>
      <c r="AH181" s="66">
        <v>1200</v>
      </c>
      <c r="AI181" s="66">
        <v>1200</v>
      </c>
      <c r="AJ181" s="66">
        <v>1200</v>
      </c>
      <c r="AK181" s="66">
        <v>1200</v>
      </c>
      <c r="AM181"/>
      <c r="AN181" s="62"/>
      <c r="AO181" s="205" t="s">
        <v>948</v>
      </c>
      <c r="AP181" s="201">
        <f>AK342</f>
        <v>195625</v>
      </c>
    </row>
    <row r="182" spans="1:45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90">ROUND(SUM(H171:H181),5)</f>
        <v>94478.28</v>
      </c>
      <c r="I182" s="83">
        <f t="shared" si="90"/>
        <v>186755</v>
      </c>
      <c r="J182" s="84">
        <f t="shared" si="90"/>
        <v>252523.42</v>
      </c>
      <c r="K182" s="84">
        <f t="shared" si="90"/>
        <v>146000</v>
      </c>
      <c r="L182" s="85">
        <f t="shared" si="90"/>
        <v>310097.65000000002</v>
      </c>
      <c r="M182" s="85">
        <f t="shared" si="90"/>
        <v>181380</v>
      </c>
      <c r="N182" s="86">
        <f t="shared" si="88"/>
        <v>657099.35</v>
      </c>
      <c r="O182" s="86">
        <f t="shared" si="88"/>
        <v>514135</v>
      </c>
      <c r="P182" s="87">
        <f t="shared" si="59"/>
        <v>219033.11666666667</v>
      </c>
      <c r="Q182" s="87">
        <f t="shared" si="59"/>
        <v>171378.33333333334</v>
      </c>
      <c r="R182" s="5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140"/>
      <c r="AB182" s="88">
        <f t="shared" ref="AB182:AJ182" si="91">ROUND(SUM(AB171:AB181),5)</f>
        <v>385875</v>
      </c>
      <c r="AC182" s="88">
        <f t="shared" si="91"/>
        <v>385875</v>
      </c>
      <c r="AD182" s="88">
        <f t="shared" si="91"/>
        <v>385875</v>
      </c>
      <c r="AE182" s="88">
        <f t="shared" si="91"/>
        <v>385875</v>
      </c>
      <c r="AF182" s="88">
        <f t="shared" si="91"/>
        <v>515875</v>
      </c>
      <c r="AG182" s="88">
        <f t="shared" si="91"/>
        <v>596713</v>
      </c>
      <c r="AH182" s="88">
        <f t="shared" si="91"/>
        <v>721713</v>
      </c>
      <c r="AI182" s="88">
        <f t="shared" si="91"/>
        <v>655713</v>
      </c>
      <c r="AJ182" s="88">
        <f t="shared" si="91"/>
        <v>659213</v>
      </c>
      <c r="AK182" s="266">
        <f t="shared" ref="AK182" si="92">ROUND(SUM(AK171:AK181),5)</f>
        <v>701313</v>
      </c>
      <c r="AM182"/>
      <c r="AN182" s="251">
        <f>AP181</f>
        <v>195625</v>
      </c>
    </row>
    <row r="183" spans="1:45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93">ROUND(H7+H116+H170+H182,5)</f>
        <v>1704028.01</v>
      </c>
      <c r="I183" s="63">
        <f t="shared" si="93"/>
        <v>2024739</v>
      </c>
      <c r="J183" s="64">
        <f t="shared" si="93"/>
        <v>1983347.64</v>
      </c>
      <c r="K183" s="64">
        <f t="shared" si="93"/>
        <v>1884399.92</v>
      </c>
      <c r="L183" s="65">
        <f t="shared" si="93"/>
        <v>2267674.2599999998</v>
      </c>
      <c r="M183" s="65">
        <f t="shared" si="93"/>
        <v>1998330</v>
      </c>
      <c r="N183" s="66">
        <f t="shared" si="88"/>
        <v>5955049.9100000001</v>
      </c>
      <c r="O183" s="66">
        <f t="shared" si="88"/>
        <v>5907468.9199999999</v>
      </c>
      <c r="P183" s="69">
        <f t="shared" si="59"/>
        <v>1985016.6366666667</v>
      </c>
      <c r="Q183" s="69">
        <f t="shared" si="59"/>
        <v>1969156.3066666666</v>
      </c>
      <c r="R183" s="5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140"/>
      <c r="AB183" s="66">
        <f t="shared" ref="AB183:AJ183" si="94">ROUND(AB7+AB116+AB170+AB182,5)</f>
        <v>2274348.11</v>
      </c>
      <c r="AC183" s="66">
        <f t="shared" si="94"/>
        <v>2274348.11</v>
      </c>
      <c r="AD183" s="66">
        <f t="shared" si="94"/>
        <v>2339617.5099999998</v>
      </c>
      <c r="AE183" s="66">
        <f t="shared" si="94"/>
        <v>2339617.5099999998</v>
      </c>
      <c r="AF183" s="66">
        <f t="shared" si="94"/>
        <v>2492809.2000000002</v>
      </c>
      <c r="AG183" s="66">
        <f t="shared" si="94"/>
        <v>2610278</v>
      </c>
      <c r="AH183" s="66">
        <f t="shared" si="94"/>
        <v>2755278</v>
      </c>
      <c r="AI183" s="66">
        <f t="shared" si="94"/>
        <v>2689278</v>
      </c>
      <c r="AJ183" s="66">
        <f t="shared" si="94"/>
        <v>2692778</v>
      </c>
      <c r="AK183" s="66">
        <f t="shared" ref="AK183" si="95">ROUND(AK7+AK116+AK170+AK182,5)</f>
        <v>2734878</v>
      </c>
      <c r="AM183"/>
      <c r="AN183" s="252">
        <f>AP180</f>
        <v>336350</v>
      </c>
      <c r="AO183" s="111" t="s">
        <v>959</v>
      </c>
      <c r="AP183" s="111">
        <f>2800*5</f>
        <v>14000</v>
      </c>
      <c r="AR183" s="112"/>
    </row>
    <row r="184" spans="1:45" ht="16" thickBot="1" x14ac:dyDescent="0.4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59"/>
        <v>0</v>
      </c>
      <c r="Q184" s="69">
        <f t="shared" si="59"/>
        <v>0</v>
      </c>
      <c r="R184" s="54"/>
      <c r="S184" s="49"/>
      <c r="T184" s="49"/>
      <c r="U184" s="49"/>
      <c r="V184" s="49" t="s">
        <v>183</v>
      </c>
      <c r="W184" s="49"/>
      <c r="X184" s="49"/>
      <c r="Y184" s="49"/>
      <c r="Z184" s="66"/>
      <c r="AA184" s="140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M184"/>
      <c r="AN184" s="254">
        <f>SUM(AP183:AP185)</f>
        <v>44000</v>
      </c>
      <c r="AO184" s="111" t="s">
        <v>960</v>
      </c>
      <c r="AP184" s="111">
        <v>10000</v>
      </c>
      <c r="AR184" s="112"/>
    </row>
    <row r="185" spans="1:45" ht="16" thickBot="1" x14ac:dyDescent="0.4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96">ROUND(H185+J185+L185,5)</f>
        <v>465847.8</v>
      </c>
      <c r="O185" s="66">
        <f t="shared" si="96"/>
        <v>521768</v>
      </c>
      <c r="P185" s="69">
        <f t="shared" si="59"/>
        <v>155282.6</v>
      </c>
      <c r="Q185" s="69">
        <f t="shared" si="59"/>
        <v>173922.66666666666</v>
      </c>
      <c r="R185" s="5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140"/>
      <c r="AB185" s="66">
        <f t="shared" ref="AB185:AK185" si="97">ROUND(94796.75, 0)</f>
        <v>94797</v>
      </c>
      <c r="AC185" s="66">
        <f t="shared" si="97"/>
        <v>94797</v>
      </c>
      <c r="AD185" s="66">
        <f t="shared" si="97"/>
        <v>94797</v>
      </c>
      <c r="AE185" s="66">
        <f t="shared" si="97"/>
        <v>94797</v>
      </c>
      <c r="AF185" s="66">
        <f t="shared" si="97"/>
        <v>94797</v>
      </c>
      <c r="AG185" s="66">
        <f t="shared" si="97"/>
        <v>94797</v>
      </c>
      <c r="AH185" s="66">
        <f t="shared" si="97"/>
        <v>94797</v>
      </c>
      <c r="AI185" s="66">
        <f t="shared" si="97"/>
        <v>94797</v>
      </c>
      <c r="AJ185" s="66">
        <f t="shared" si="97"/>
        <v>94797</v>
      </c>
      <c r="AK185" s="66">
        <f t="shared" si="97"/>
        <v>94797</v>
      </c>
      <c r="AM185"/>
      <c r="AN185" s="256">
        <f>SUM(AN182:AN184)</f>
        <v>575975</v>
      </c>
      <c r="AO185" s="111" t="s">
        <v>961</v>
      </c>
      <c r="AP185" s="111">
        <v>20000</v>
      </c>
      <c r="AR185" s="112"/>
    </row>
    <row r="186" spans="1:45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96"/>
        <v>77592.62</v>
      </c>
      <c r="O186" s="66">
        <f t="shared" si="96"/>
        <v>92000</v>
      </c>
      <c r="P186" s="69">
        <f t="shared" si="59"/>
        <v>25864.206666666665</v>
      </c>
      <c r="Q186" s="69">
        <f t="shared" si="59"/>
        <v>30666.666666666668</v>
      </c>
      <c r="R186" s="5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14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G186" s="66">
        <v>15000</v>
      </c>
      <c r="AH186" s="66">
        <v>15000</v>
      </c>
      <c r="AI186" s="66">
        <v>15000</v>
      </c>
      <c r="AJ186" s="66">
        <v>15000</v>
      </c>
      <c r="AK186" s="66">
        <v>15000</v>
      </c>
      <c r="AO186" s="205" t="s">
        <v>963</v>
      </c>
      <c r="AP186" s="205">
        <v>33125</v>
      </c>
      <c r="AQ186" s="112">
        <f>SUM(AP183:AP186)</f>
        <v>77125</v>
      </c>
      <c r="AS186" s="112"/>
    </row>
    <row r="187" spans="1:45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96"/>
        <v>15133.13</v>
      </c>
      <c r="O187" s="66">
        <f t="shared" si="96"/>
        <v>61000</v>
      </c>
      <c r="P187" s="69">
        <f t="shared" si="59"/>
        <v>5044.3766666666661</v>
      </c>
      <c r="Q187" s="69">
        <f t="shared" si="59"/>
        <v>20333.333333333332</v>
      </c>
      <c r="R187" s="5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14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  <c r="AG187" s="66">
        <v>5000</v>
      </c>
      <c r="AH187" s="66">
        <v>5000</v>
      </c>
      <c r="AI187" s="66">
        <v>5000</v>
      </c>
      <c r="AJ187" s="66">
        <v>5000</v>
      </c>
      <c r="AK187" s="66">
        <v>5000</v>
      </c>
      <c r="AP187" s="111"/>
      <c r="AS187" s="171"/>
    </row>
    <row r="188" spans="1:45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98">ROUND(SUM(H184:H187),5)</f>
        <v>213369.38</v>
      </c>
      <c r="I188" s="75">
        <f t="shared" si="98"/>
        <v>213000</v>
      </c>
      <c r="J188" s="76">
        <f t="shared" si="98"/>
        <v>193755.57</v>
      </c>
      <c r="K188" s="76">
        <f t="shared" si="98"/>
        <v>240000</v>
      </c>
      <c r="L188" s="77">
        <f t="shared" si="98"/>
        <v>151448.6</v>
      </c>
      <c r="M188" s="77">
        <f t="shared" si="98"/>
        <v>221768</v>
      </c>
      <c r="N188" s="78">
        <f t="shared" si="96"/>
        <v>558573.55000000005</v>
      </c>
      <c r="O188" s="78">
        <f t="shared" si="96"/>
        <v>674768</v>
      </c>
      <c r="P188" s="79">
        <f t="shared" si="59"/>
        <v>186191.18333333335</v>
      </c>
      <c r="Q188" s="79">
        <f t="shared" si="59"/>
        <v>224922.66666666666</v>
      </c>
      <c r="R188" s="5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140"/>
      <c r="AB188" s="80">
        <f t="shared" ref="AB188:AJ188" si="99">ROUND(SUM(AB184:AB187),5)</f>
        <v>124797</v>
      </c>
      <c r="AC188" s="80">
        <f t="shared" si="99"/>
        <v>124797</v>
      </c>
      <c r="AD188" s="80">
        <f t="shared" si="99"/>
        <v>124797</v>
      </c>
      <c r="AE188" s="80">
        <f t="shared" si="99"/>
        <v>114797</v>
      </c>
      <c r="AF188" s="80">
        <f t="shared" si="99"/>
        <v>114797</v>
      </c>
      <c r="AG188" s="80">
        <f t="shared" si="99"/>
        <v>114797</v>
      </c>
      <c r="AH188" s="80">
        <f t="shared" si="99"/>
        <v>114797</v>
      </c>
      <c r="AI188" s="80">
        <f t="shared" si="99"/>
        <v>114797</v>
      </c>
      <c r="AJ188" s="80">
        <f t="shared" si="99"/>
        <v>114797</v>
      </c>
      <c r="AK188" s="266">
        <f t="shared" ref="AK188" si="100">ROUND(SUM(AK184:AK187),5)</f>
        <v>114797</v>
      </c>
      <c r="AM188" s="147"/>
      <c r="AO188" s="199" t="s">
        <v>840</v>
      </c>
      <c r="AP188" s="199">
        <f>SUM(AP180:AP186)</f>
        <v>609100</v>
      </c>
    </row>
    <row r="189" spans="1:45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59"/>
        <v>0</v>
      </c>
      <c r="Q189" s="69">
        <f t="shared" si="59"/>
        <v>0</v>
      </c>
      <c r="R189" s="54"/>
      <c r="S189" s="49"/>
      <c r="T189" s="49"/>
      <c r="U189" s="49"/>
      <c r="V189" s="49" t="s">
        <v>188</v>
      </c>
      <c r="W189" s="49"/>
      <c r="X189" s="49"/>
      <c r="Y189" s="49"/>
      <c r="Z189" s="66"/>
      <c r="AA189" s="140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O189" s="199" t="s">
        <v>997</v>
      </c>
      <c r="AP189" s="199">
        <f>AP188-AP186-AP181</f>
        <v>380350</v>
      </c>
      <c r="AR189" s="199"/>
    </row>
    <row r="190" spans="1:45" ht="16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59"/>
        <v>96804.536666666667</v>
      </c>
      <c r="Q190" s="74">
        <f t="shared" si="59"/>
        <v>63333.333333333336</v>
      </c>
      <c r="R190" s="5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14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  <c r="AG190" s="73">
        <v>90000</v>
      </c>
      <c r="AH190" s="73">
        <v>90000</v>
      </c>
      <c r="AI190" s="73">
        <v>90000</v>
      </c>
      <c r="AJ190" s="73">
        <v>90000</v>
      </c>
      <c r="AK190" s="73">
        <v>90000</v>
      </c>
      <c r="AM190" s="221" t="s">
        <v>1016</v>
      </c>
      <c r="AO190" s="199" t="s">
        <v>842</v>
      </c>
      <c r="AP190" s="111"/>
      <c r="AQ190" s="202"/>
    </row>
    <row r="191" spans="1:45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101">ROUND(SUM(H189:H190),5)</f>
        <v>61772.91</v>
      </c>
      <c r="I191" s="63">
        <f t="shared" si="101"/>
        <v>30000</v>
      </c>
      <c r="J191" s="64">
        <f t="shared" si="101"/>
        <v>114884.79</v>
      </c>
      <c r="K191" s="64">
        <f t="shared" si="101"/>
        <v>60000</v>
      </c>
      <c r="L191" s="65">
        <f t="shared" si="101"/>
        <v>113755.91</v>
      </c>
      <c r="M191" s="65">
        <f t="shared" si="101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59"/>
        <v>96804.536666666667</v>
      </c>
      <c r="Q191" s="69">
        <f t="shared" si="59"/>
        <v>63333.333333333336</v>
      </c>
      <c r="R191" s="5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140"/>
      <c r="AB191" s="80">
        <f t="shared" ref="AB191:AJ191" si="102">ROUND(SUM(AB189:AB190),5)</f>
        <v>100000</v>
      </c>
      <c r="AC191" s="80">
        <f t="shared" si="102"/>
        <v>100000</v>
      </c>
      <c r="AD191" s="80">
        <f t="shared" si="102"/>
        <v>100000</v>
      </c>
      <c r="AE191" s="80">
        <f t="shared" si="102"/>
        <v>90000</v>
      </c>
      <c r="AF191" s="80">
        <f t="shared" si="102"/>
        <v>90000</v>
      </c>
      <c r="AG191" s="80">
        <f t="shared" si="102"/>
        <v>90000</v>
      </c>
      <c r="AH191" s="80">
        <f t="shared" si="102"/>
        <v>90000</v>
      </c>
      <c r="AI191" s="80">
        <f t="shared" si="102"/>
        <v>90000</v>
      </c>
      <c r="AJ191" s="80">
        <f t="shared" si="102"/>
        <v>90000</v>
      </c>
      <c r="AK191" s="266">
        <f t="shared" ref="AK191" si="103">ROUND(SUM(AK189:AK190),5)</f>
        <v>90000</v>
      </c>
      <c r="AP191" s="111"/>
      <c r="AR191" s="111"/>
    </row>
    <row r="192" spans="1:45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54"/>
      <c r="S192" s="49"/>
      <c r="T192" s="49"/>
      <c r="U192" s="49"/>
      <c r="V192" s="49" t="s">
        <v>191</v>
      </c>
      <c r="W192" s="49"/>
      <c r="X192" s="49"/>
      <c r="Y192" s="49"/>
      <c r="Z192" s="66"/>
      <c r="AA192" s="140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P192" s="111"/>
    </row>
    <row r="193" spans="1:44" x14ac:dyDescent="0.35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104">ROUND(H193+J193+L193,5)</f>
        <v>333403.68</v>
      </c>
      <c r="O193" s="66">
        <f t="shared" si="104"/>
        <v>338929</v>
      </c>
      <c r="P193" s="69">
        <f t="shared" si="59"/>
        <v>111134.56</v>
      </c>
      <c r="Q193" s="69">
        <f t="shared" si="59"/>
        <v>112976.33333333333</v>
      </c>
      <c r="R193" s="5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140"/>
      <c r="AB193" s="66">
        <f t="shared" ref="AB193:AK193" si="105">ROUND(142010.17, 0)</f>
        <v>142010</v>
      </c>
      <c r="AC193" s="66">
        <f t="shared" si="105"/>
        <v>142010</v>
      </c>
      <c r="AD193" s="66">
        <f t="shared" si="105"/>
        <v>142010</v>
      </c>
      <c r="AE193" s="66">
        <f t="shared" si="105"/>
        <v>142010</v>
      </c>
      <c r="AF193" s="66">
        <f t="shared" si="105"/>
        <v>142010</v>
      </c>
      <c r="AG193" s="66">
        <f t="shared" si="105"/>
        <v>142010</v>
      </c>
      <c r="AH193" s="66">
        <f t="shared" si="105"/>
        <v>142010</v>
      </c>
      <c r="AI193" s="66">
        <f t="shared" si="105"/>
        <v>142010</v>
      </c>
      <c r="AJ193" s="66">
        <f t="shared" si="105"/>
        <v>142010</v>
      </c>
      <c r="AK193" s="66">
        <f t="shared" si="105"/>
        <v>142010</v>
      </c>
      <c r="AM193" s="221" t="s">
        <v>1020</v>
      </c>
      <c r="AP193" s="111"/>
    </row>
    <row r="194" spans="1:44" x14ac:dyDescent="0.35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104"/>
        <v>694468.19</v>
      </c>
      <c r="O194" s="66">
        <f t="shared" si="104"/>
        <v>750379</v>
      </c>
      <c r="P194" s="69">
        <f t="shared" si="59"/>
        <v>231489.39666666664</v>
      </c>
      <c r="Q194" s="69">
        <f t="shared" si="59"/>
        <v>250126.33333333334</v>
      </c>
      <c r="R194" s="5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14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  <c r="AG194" s="66">
        <v>299000</v>
      </c>
      <c r="AH194" s="66">
        <v>299000</v>
      </c>
      <c r="AI194" s="66">
        <v>299000</v>
      </c>
      <c r="AJ194" s="66">
        <v>299000</v>
      </c>
      <c r="AK194" s="66">
        <v>299000</v>
      </c>
      <c r="AM194" s="221" t="s">
        <v>1021</v>
      </c>
      <c r="AP194"/>
      <c r="AQ194"/>
    </row>
    <row r="195" spans="1:44" x14ac:dyDescent="0.35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104"/>
        <v>76944.899999999994</v>
      </c>
      <c r="O195" s="66">
        <f t="shared" si="104"/>
        <v>54756</v>
      </c>
      <c r="P195" s="69">
        <f t="shared" si="59"/>
        <v>25648.3</v>
      </c>
      <c r="Q195" s="69">
        <f t="shared" si="59"/>
        <v>18252</v>
      </c>
      <c r="R195" s="5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140"/>
      <c r="AB195" s="66">
        <f t="shared" ref="AB195:AK195" si="106">(88*12)*25</f>
        <v>26400</v>
      </c>
      <c r="AC195" s="66">
        <f t="shared" si="106"/>
        <v>26400</v>
      </c>
      <c r="AD195" s="66">
        <f t="shared" si="106"/>
        <v>26400</v>
      </c>
      <c r="AE195" s="66">
        <f t="shared" si="106"/>
        <v>26400</v>
      </c>
      <c r="AF195" s="66">
        <f t="shared" si="106"/>
        <v>26400</v>
      </c>
      <c r="AG195" s="66">
        <f t="shared" si="106"/>
        <v>26400</v>
      </c>
      <c r="AH195" s="66">
        <f t="shared" si="106"/>
        <v>26400</v>
      </c>
      <c r="AI195" s="66">
        <f t="shared" si="106"/>
        <v>26400</v>
      </c>
      <c r="AJ195" s="66">
        <f t="shared" si="106"/>
        <v>26400</v>
      </c>
      <c r="AK195" s="66">
        <f t="shared" si="106"/>
        <v>26400</v>
      </c>
      <c r="AM195" s="221" t="s">
        <v>972</v>
      </c>
      <c r="AP195"/>
      <c r="AQ195"/>
      <c r="AR195"/>
    </row>
    <row r="196" spans="1:44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104"/>
        <v>582630.68999999994</v>
      </c>
      <c r="O196" s="66">
        <f t="shared" si="104"/>
        <v>470773.25</v>
      </c>
      <c r="P196" s="69">
        <f t="shared" si="59"/>
        <v>194210.22999999998</v>
      </c>
      <c r="Q196" s="69">
        <f t="shared" si="59"/>
        <v>156924.41666666666</v>
      </c>
      <c r="R196" s="5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14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G196" s="66">
        <f>ROUND(199878.15, -2)</f>
        <v>199900</v>
      </c>
      <c r="AH196" s="66">
        <f>ROUND(199878.15, -2)</f>
        <v>199900</v>
      </c>
      <c r="AI196" s="66">
        <f>ROUND(199878.15, -2)</f>
        <v>199900</v>
      </c>
      <c r="AJ196" s="66">
        <f>ROUND(199878.15, -2)</f>
        <v>199900</v>
      </c>
      <c r="AK196" s="66">
        <f>ROUND(199878.15, -2)</f>
        <v>199900</v>
      </c>
      <c r="AM196" s="221" t="s">
        <v>973</v>
      </c>
      <c r="AQ196" s="112"/>
    </row>
    <row r="197" spans="1:44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104"/>
        <v>3315663.86</v>
      </c>
      <c r="O197" s="66">
        <f t="shared" si="104"/>
        <v>3738792</v>
      </c>
      <c r="P197" s="69">
        <f t="shared" si="59"/>
        <v>1105221.2866666666</v>
      </c>
      <c r="Q197" s="69">
        <f t="shared" si="59"/>
        <v>1246264</v>
      </c>
      <c r="R197" s="5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14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  <c r="AG197" s="66">
        <v>1187244</v>
      </c>
      <c r="AH197" s="66">
        <v>1187244</v>
      </c>
      <c r="AI197" s="66">
        <v>1187244</v>
      </c>
      <c r="AJ197" s="66">
        <v>1187244</v>
      </c>
      <c r="AK197" s="66">
        <v>1187244</v>
      </c>
      <c r="AM197" s="180"/>
      <c r="AQ197" s="112"/>
    </row>
    <row r="198" spans="1:44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107">ROUND(SUM(H192:H197),5)</f>
        <v>1617990.72</v>
      </c>
      <c r="I198" s="75">
        <f t="shared" si="107"/>
        <v>1764843.75</v>
      </c>
      <c r="J198" s="76">
        <f t="shared" si="107"/>
        <v>1649149.39</v>
      </c>
      <c r="K198" s="76">
        <f t="shared" si="107"/>
        <v>1716700</v>
      </c>
      <c r="L198" s="77">
        <f t="shared" si="107"/>
        <v>1735971.21</v>
      </c>
      <c r="M198" s="77">
        <f t="shared" si="107"/>
        <v>1872085.5</v>
      </c>
      <c r="N198" s="78">
        <f t="shared" si="104"/>
        <v>5003111.32</v>
      </c>
      <c r="O198" s="78">
        <f t="shared" si="104"/>
        <v>5353629.25</v>
      </c>
      <c r="P198" s="79">
        <f t="shared" si="59"/>
        <v>1667703.7733333334</v>
      </c>
      <c r="Q198" s="79">
        <f t="shared" si="59"/>
        <v>1784543.0833333333</v>
      </c>
      <c r="R198" s="5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140"/>
      <c r="AB198" s="80">
        <f t="shared" ref="AB198:AJ198" si="108">ROUND(SUM(AB192:AB197),5)</f>
        <v>1916936</v>
      </c>
      <c r="AC198" s="80">
        <f t="shared" si="108"/>
        <v>1916936</v>
      </c>
      <c r="AD198" s="80">
        <f t="shared" si="108"/>
        <v>1916936</v>
      </c>
      <c r="AE198" s="80">
        <f t="shared" si="108"/>
        <v>1916936</v>
      </c>
      <c r="AF198" s="80">
        <f t="shared" si="108"/>
        <v>1916936</v>
      </c>
      <c r="AG198" s="80">
        <f t="shared" si="108"/>
        <v>1854554</v>
      </c>
      <c r="AH198" s="80">
        <f t="shared" si="108"/>
        <v>1854554</v>
      </c>
      <c r="AI198" s="80">
        <f t="shared" si="108"/>
        <v>1854554</v>
      </c>
      <c r="AJ198" s="80">
        <f t="shared" si="108"/>
        <v>1854554</v>
      </c>
      <c r="AK198" s="266">
        <f t="shared" ref="AK198" si="109">ROUND(SUM(AK192:AK197),5)</f>
        <v>1854554</v>
      </c>
      <c r="AM198" s="181"/>
    </row>
    <row r="199" spans="1:44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54"/>
      <c r="S199" s="49"/>
      <c r="T199" s="49"/>
      <c r="U199" s="49"/>
      <c r="V199" s="49" t="s">
        <v>198</v>
      </c>
      <c r="W199" s="49"/>
      <c r="X199" s="49"/>
      <c r="Y199" s="49"/>
      <c r="Z199" s="66"/>
      <c r="AA199" s="140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Q199" s="111"/>
    </row>
    <row r="200" spans="1:44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110">N200/3</f>
        <v>5375.666666666667</v>
      </c>
      <c r="Q200" s="74">
        <f t="shared" si="110"/>
        <v>6950.333333333333</v>
      </c>
      <c r="R200" s="5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14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G200" s="73">
        <v>6980</v>
      </c>
      <c r="AH200" s="73">
        <v>6980</v>
      </c>
      <c r="AI200" s="73">
        <v>6980</v>
      </c>
      <c r="AJ200" s="73">
        <v>6980</v>
      </c>
      <c r="AK200" s="73">
        <v>6980</v>
      </c>
      <c r="AM200" s="182"/>
      <c r="AQ200" s="171"/>
    </row>
    <row r="201" spans="1:44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111">ROUND(SUM(H199:H200),5)</f>
        <v>5928</v>
      </c>
      <c r="I201" s="63">
        <f t="shared" si="111"/>
        <v>6321</v>
      </c>
      <c r="J201" s="64">
        <f t="shared" si="111"/>
        <v>4164</v>
      </c>
      <c r="K201" s="64">
        <f t="shared" si="111"/>
        <v>7265</v>
      </c>
      <c r="L201" s="65">
        <f t="shared" si="111"/>
        <v>6035</v>
      </c>
      <c r="M201" s="65">
        <f t="shared" si="111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110"/>
        <v>5375.666666666667</v>
      </c>
      <c r="Q201" s="69">
        <f t="shared" si="110"/>
        <v>6950.333333333333</v>
      </c>
      <c r="R201" s="5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140"/>
      <c r="AB201" s="80">
        <f t="shared" ref="AB201:AJ201" si="112">ROUND(SUM(AB199:AB200),5)</f>
        <v>6980</v>
      </c>
      <c r="AC201" s="80">
        <f t="shared" si="112"/>
        <v>6980</v>
      </c>
      <c r="AD201" s="80">
        <f t="shared" si="112"/>
        <v>6980</v>
      </c>
      <c r="AE201" s="80">
        <f t="shared" si="112"/>
        <v>6980</v>
      </c>
      <c r="AF201" s="80">
        <f t="shared" si="112"/>
        <v>6980</v>
      </c>
      <c r="AG201" s="80">
        <f t="shared" si="112"/>
        <v>6980</v>
      </c>
      <c r="AH201" s="80">
        <f t="shared" si="112"/>
        <v>6980</v>
      </c>
      <c r="AI201" s="80">
        <f t="shared" si="112"/>
        <v>6980</v>
      </c>
      <c r="AJ201" s="80">
        <f t="shared" si="112"/>
        <v>6980</v>
      </c>
      <c r="AK201" s="266">
        <f t="shared" ref="AK201" si="113">ROUND(SUM(AK199:AK200),5)</f>
        <v>6980</v>
      </c>
      <c r="AM201" s="182"/>
      <c r="AQ201" s="111"/>
    </row>
    <row r="202" spans="1:44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54"/>
      <c r="S202" s="49"/>
      <c r="T202" s="49"/>
      <c r="U202" s="49"/>
      <c r="V202" s="49" t="s">
        <v>201</v>
      </c>
      <c r="W202" s="49"/>
      <c r="X202" s="49"/>
      <c r="Y202" s="49"/>
      <c r="Z202" s="66"/>
      <c r="AA202" s="140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Q202" s="111"/>
    </row>
    <row r="203" spans="1:44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110"/>
        <v>4066.6533333333332</v>
      </c>
      <c r="Q203" s="69">
        <f t="shared" si="110"/>
        <v>4066.6666666666665</v>
      </c>
      <c r="R203" s="5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14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  <c r="AG203" s="66">
        <v>2400</v>
      </c>
      <c r="AH203" s="66">
        <v>2400</v>
      </c>
      <c r="AI203" s="66">
        <v>2400</v>
      </c>
      <c r="AJ203" s="66">
        <v>2400</v>
      </c>
      <c r="AK203" s="66">
        <v>2400</v>
      </c>
      <c r="AQ203" s="111"/>
    </row>
    <row r="204" spans="1:44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110"/>
        <v>666.66666666666663</v>
      </c>
      <c r="Q204" s="69">
        <f t="shared" si="110"/>
        <v>0</v>
      </c>
      <c r="R204" s="5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14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H204" s="66">
        <v>0</v>
      </c>
      <c r="AI204" s="66">
        <v>0</v>
      </c>
      <c r="AJ204" s="66">
        <v>0</v>
      </c>
      <c r="AK204" s="66">
        <v>0</v>
      </c>
      <c r="AQ204" s="111"/>
    </row>
    <row r="205" spans="1:44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110"/>
        <v>330</v>
      </c>
      <c r="Q205" s="69">
        <f t="shared" si="110"/>
        <v>310</v>
      </c>
      <c r="R205" s="5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14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  <c r="AG205" s="66">
        <v>210</v>
      </c>
      <c r="AH205" s="66">
        <v>210</v>
      </c>
      <c r="AI205" s="66">
        <v>210</v>
      </c>
      <c r="AJ205" s="66">
        <v>210</v>
      </c>
      <c r="AK205" s="66">
        <v>210</v>
      </c>
      <c r="AQ205" s="111">
        <f ca="1">SUM(AQ199:AQ209)</f>
        <v>0</v>
      </c>
    </row>
    <row r="206" spans="1:44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110"/>
        <v>11731.87</v>
      </c>
      <c r="Q206" s="69">
        <f t="shared" si="110"/>
        <v>22515</v>
      </c>
      <c r="R206" s="5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14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  <c r="AG206" s="66">
        <v>10000</v>
      </c>
      <c r="AH206" s="66">
        <v>10000</v>
      </c>
      <c r="AI206" s="66">
        <v>10000</v>
      </c>
      <c r="AJ206" s="66">
        <v>10000</v>
      </c>
      <c r="AK206" s="66">
        <v>10000</v>
      </c>
      <c r="AQ206" s="111"/>
    </row>
    <row r="207" spans="1:44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114">ROUND(SUM(H202:H206),5)</f>
        <v>22749.62</v>
      </c>
      <c r="I207" s="75">
        <f t="shared" si="114"/>
        <v>7950</v>
      </c>
      <c r="J207" s="76">
        <f t="shared" si="114"/>
        <v>10219.52</v>
      </c>
      <c r="K207" s="76">
        <f t="shared" si="114"/>
        <v>2840</v>
      </c>
      <c r="L207" s="77">
        <f t="shared" si="114"/>
        <v>17416.43</v>
      </c>
      <c r="M207" s="77">
        <f t="shared" si="114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110"/>
        <v>16795.189999999999</v>
      </c>
      <c r="Q207" s="79">
        <f t="shared" si="110"/>
        <v>26891.666666666668</v>
      </c>
      <c r="R207" s="5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140"/>
      <c r="AB207" s="80">
        <f t="shared" ref="AB207:AJ207" si="115">ROUND(SUM(AB202:AB206),5)</f>
        <v>12610</v>
      </c>
      <c r="AC207" s="80">
        <f t="shared" si="115"/>
        <v>12610</v>
      </c>
      <c r="AD207" s="80">
        <f t="shared" si="115"/>
        <v>12610</v>
      </c>
      <c r="AE207" s="80">
        <f t="shared" si="115"/>
        <v>12610</v>
      </c>
      <c r="AF207" s="80">
        <f t="shared" si="115"/>
        <v>12610</v>
      </c>
      <c r="AG207" s="80">
        <f t="shared" si="115"/>
        <v>12610</v>
      </c>
      <c r="AH207" s="80">
        <f t="shared" si="115"/>
        <v>12610</v>
      </c>
      <c r="AI207" s="80">
        <f t="shared" si="115"/>
        <v>12610</v>
      </c>
      <c r="AJ207" s="80">
        <f t="shared" si="115"/>
        <v>12610</v>
      </c>
      <c r="AK207" s="266">
        <f t="shared" ref="AK207" si="116">ROUND(SUM(AK202:AK206),5)</f>
        <v>12610</v>
      </c>
      <c r="AQ207" s="111"/>
    </row>
    <row r="208" spans="1:44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54"/>
      <c r="S208" s="49"/>
      <c r="T208" s="49"/>
      <c r="U208" s="49"/>
      <c r="V208" s="49" t="s">
        <v>207</v>
      </c>
      <c r="W208" s="49"/>
      <c r="X208" s="49"/>
      <c r="Y208" s="49"/>
      <c r="Z208" s="66"/>
      <c r="AA208" s="140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Q208" s="111"/>
    </row>
    <row r="209" spans="1:43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54"/>
      <c r="S209" s="49"/>
      <c r="T209" s="49"/>
      <c r="U209" s="49"/>
      <c r="V209" s="49"/>
      <c r="W209" s="49" t="s">
        <v>208</v>
      </c>
      <c r="X209" s="49"/>
      <c r="Y209" s="49"/>
      <c r="Z209" s="66"/>
      <c r="AA209" s="140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Q209" s="111"/>
    </row>
    <row r="210" spans="1:43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110"/>
        <v>4434.333333333333</v>
      </c>
      <c r="Q210" s="69">
        <f t="shared" si="110"/>
        <v>7000</v>
      </c>
      <c r="R210" s="5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14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G210" s="66">
        <v>1500</v>
      </c>
      <c r="AH210" s="66">
        <v>1500</v>
      </c>
      <c r="AI210" s="66">
        <v>1500</v>
      </c>
      <c r="AJ210" s="66">
        <v>1500</v>
      </c>
      <c r="AK210" s="66">
        <v>1500</v>
      </c>
      <c r="AM210" s="221" t="s">
        <v>901</v>
      </c>
    </row>
    <row r="211" spans="1:43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110"/>
        <v>78916.666666666672</v>
      </c>
      <c r="Q211" s="69">
        <f t="shared" si="110"/>
        <v>77666.666666666672</v>
      </c>
      <c r="R211" s="5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14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G211" s="66">
        <v>77000</v>
      </c>
      <c r="AH211" s="66">
        <v>77000</v>
      </c>
      <c r="AI211" s="66">
        <v>77000</v>
      </c>
      <c r="AJ211" s="66">
        <v>77000</v>
      </c>
      <c r="AK211" s="66">
        <v>77000</v>
      </c>
      <c r="AM211" s="221" t="s">
        <v>854</v>
      </c>
      <c r="AQ211" s="111"/>
    </row>
    <row r="212" spans="1:43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110"/>
        <v>1180</v>
      </c>
      <c r="Q212" s="69">
        <f t="shared" si="110"/>
        <v>0</v>
      </c>
      <c r="R212" s="5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14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H212" s="66">
        <v>0</v>
      </c>
      <c r="AI212" s="66">
        <v>0</v>
      </c>
      <c r="AJ212" s="66">
        <v>0</v>
      </c>
      <c r="AK212" s="66">
        <v>0</v>
      </c>
      <c r="AQ212" s="111"/>
    </row>
    <row r="213" spans="1:43" x14ac:dyDescent="0.35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110"/>
        <v>725696</v>
      </c>
      <c r="Q213" s="69">
        <f t="shared" si="110"/>
        <v>644800</v>
      </c>
      <c r="R213" s="5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14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G213" s="66">
        <v>644500</v>
      </c>
      <c r="AH213" s="66">
        <v>644500</v>
      </c>
      <c r="AI213" s="66">
        <v>644500</v>
      </c>
      <c r="AJ213" s="66">
        <v>644500</v>
      </c>
      <c r="AK213" s="66">
        <v>644500</v>
      </c>
      <c r="AM213" s="221" t="s">
        <v>853</v>
      </c>
    </row>
    <row r="214" spans="1:43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110"/>
        <v>114800</v>
      </c>
      <c r="Q214" s="69">
        <f t="shared" si="110"/>
        <v>154883.33333333334</v>
      </c>
      <c r="R214" s="5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14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G214" s="66">
        <v>153000</v>
      </c>
      <c r="AH214" s="66">
        <v>153000</v>
      </c>
      <c r="AI214" s="66">
        <v>153000</v>
      </c>
      <c r="AJ214" s="66">
        <v>153000</v>
      </c>
      <c r="AK214" s="66">
        <v>153000</v>
      </c>
      <c r="AM214" s="221" t="s">
        <v>855</v>
      </c>
    </row>
    <row r="215" spans="1:43" x14ac:dyDescent="0.35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117">ROUND(SUM(H209:H214),5)</f>
        <v>884166</v>
      </c>
      <c r="I215" s="75">
        <f t="shared" si="117"/>
        <v>788300</v>
      </c>
      <c r="J215" s="76">
        <f t="shared" si="117"/>
        <v>968225</v>
      </c>
      <c r="K215" s="76">
        <f t="shared" si="117"/>
        <v>966375</v>
      </c>
      <c r="L215" s="77">
        <f t="shared" si="117"/>
        <v>922690</v>
      </c>
      <c r="M215" s="77">
        <f t="shared" si="117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110"/>
        <v>925027</v>
      </c>
      <c r="Q215" s="79">
        <f t="shared" si="110"/>
        <v>884350</v>
      </c>
      <c r="R215" s="5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140"/>
      <c r="AB215" s="80">
        <f t="shared" ref="AB215:AJ215" si="118">ROUND(SUM(AB209:AB214),5)</f>
        <v>876000</v>
      </c>
      <c r="AC215" s="80">
        <f t="shared" si="118"/>
        <v>876000</v>
      </c>
      <c r="AD215" s="80">
        <f t="shared" si="118"/>
        <v>876000</v>
      </c>
      <c r="AE215" s="80">
        <f t="shared" si="118"/>
        <v>876000</v>
      </c>
      <c r="AF215" s="80">
        <f t="shared" si="118"/>
        <v>876000</v>
      </c>
      <c r="AG215" s="80">
        <f t="shared" si="118"/>
        <v>876000</v>
      </c>
      <c r="AH215" s="80">
        <f t="shared" si="118"/>
        <v>876000</v>
      </c>
      <c r="AI215" s="80">
        <f t="shared" si="118"/>
        <v>876000</v>
      </c>
      <c r="AJ215" s="80">
        <f t="shared" si="118"/>
        <v>876000</v>
      </c>
      <c r="AK215" s="266">
        <f t="shared" ref="AK215" si="119">ROUND(SUM(AK209:AK214),5)</f>
        <v>876000</v>
      </c>
      <c r="AM215" s="213" t="s">
        <v>952</v>
      </c>
    </row>
    <row r="216" spans="1:43" x14ac:dyDescent="0.35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54"/>
      <c r="S216" s="49"/>
      <c r="T216" s="49"/>
      <c r="U216" s="49"/>
      <c r="V216" s="49"/>
      <c r="W216" s="49" t="s">
        <v>215</v>
      </c>
      <c r="X216" s="49"/>
      <c r="Y216" s="49"/>
      <c r="Z216" s="66"/>
      <c r="AA216" s="140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M216" s="222">
        <f>AM424</f>
        <v>4276</v>
      </c>
    </row>
    <row r="217" spans="1:43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110"/>
        <v>4578.333333333333</v>
      </c>
      <c r="Q217" s="69">
        <f t="shared" si="110"/>
        <v>0</v>
      </c>
      <c r="R217" s="5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14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33750</v>
      </c>
      <c r="AH217" s="66">
        <v>33750</v>
      </c>
      <c r="AI217" s="66">
        <v>33750</v>
      </c>
      <c r="AJ217" s="66">
        <v>33750</v>
      </c>
      <c r="AK217" s="66">
        <v>33750</v>
      </c>
      <c r="AM217" s="221" t="s">
        <v>975</v>
      </c>
    </row>
    <row r="218" spans="1:43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110"/>
        <v>4578.333333333333</v>
      </c>
      <c r="Q218" s="79">
        <f t="shared" si="110"/>
        <v>0</v>
      </c>
      <c r="R218" s="54"/>
      <c r="S218" s="49"/>
      <c r="T218" s="49"/>
      <c r="U218" s="49"/>
      <c r="V218" s="49"/>
      <c r="W218" s="49" t="s">
        <v>217</v>
      </c>
      <c r="X218" s="49"/>
      <c r="Y218" s="49"/>
      <c r="Z218" s="86"/>
      <c r="AA218" s="140"/>
      <c r="AB218" s="86"/>
      <c r="AC218" s="86"/>
      <c r="AD218" s="86"/>
      <c r="AE218" s="86"/>
      <c r="AF218" s="86"/>
      <c r="AG218" s="78">
        <f>ROUND(SUM(AG216:AG217),5)</f>
        <v>33750</v>
      </c>
      <c r="AH218" s="78">
        <f>ROUND(SUM(AH216:AH217),5)</f>
        <v>33750</v>
      </c>
      <c r="AI218" s="78">
        <f>ROUND(SUM(AI216:AI217),5)</f>
        <v>33750</v>
      </c>
      <c r="AJ218" s="78">
        <f>ROUND(SUM(AJ216:AJ217),5)</f>
        <v>33750</v>
      </c>
      <c r="AK218" s="78">
        <f>ROUND(SUM(AK216:AK217),5)</f>
        <v>33750</v>
      </c>
    </row>
    <row r="219" spans="1:43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120">ROUND(H208+H215+H218,5)</f>
        <v>884166</v>
      </c>
      <c r="I219" s="83">
        <f t="shared" si="120"/>
        <v>788300</v>
      </c>
      <c r="J219" s="84">
        <f t="shared" si="120"/>
        <v>981960</v>
      </c>
      <c r="K219" s="84">
        <f t="shared" si="120"/>
        <v>966375</v>
      </c>
      <c r="L219" s="85">
        <f t="shared" si="120"/>
        <v>922690</v>
      </c>
      <c r="M219" s="85">
        <f t="shared" si="120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110"/>
        <v>929605.33333333337</v>
      </c>
      <c r="Q219" s="87">
        <f t="shared" si="110"/>
        <v>884350</v>
      </c>
      <c r="R219" s="5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140"/>
      <c r="AB219" s="88">
        <f t="shared" ref="AB219:AJ219" si="121">ROUND(AB208+AB215+AB218,5)</f>
        <v>876000</v>
      </c>
      <c r="AC219" s="88">
        <f t="shared" si="121"/>
        <v>876000</v>
      </c>
      <c r="AD219" s="88">
        <f t="shared" si="121"/>
        <v>876000</v>
      </c>
      <c r="AE219" s="88">
        <f t="shared" si="121"/>
        <v>876000</v>
      </c>
      <c r="AF219" s="88">
        <f t="shared" si="121"/>
        <v>876000</v>
      </c>
      <c r="AG219" s="88">
        <f t="shared" si="121"/>
        <v>909750</v>
      </c>
      <c r="AH219" s="88">
        <f t="shared" si="121"/>
        <v>909750</v>
      </c>
      <c r="AI219" s="88">
        <f t="shared" si="121"/>
        <v>909750</v>
      </c>
      <c r="AJ219" s="88">
        <f t="shared" si="121"/>
        <v>909750</v>
      </c>
      <c r="AK219" s="266">
        <f t="shared" ref="AK219" si="122">ROUND(AK208+AK215+AK218,5)</f>
        <v>909750</v>
      </c>
    </row>
    <row r="220" spans="1:43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123">ROUND(H6+H183+H188+H191+H198+H201+H207+H219,5)</f>
        <v>4510004.6399999997</v>
      </c>
      <c r="I220" s="63">
        <f t="shared" si="123"/>
        <v>4835153.75</v>
      </c>
      <c r="J220" s="64">
        <f t="shared" si="123"/>
        <v>4937480.91</v>
      </c>
      <c r="K220" s="64">
        <f t="shared" si="123"/>
        <v>4877579.92</v>
      </c>
      <c r="L220" s="65">
        <f t="shared" si="123"/>
        <v>5214991.41</v>
      </c>
      <c r="M220" s="65">
        <f t="shared" si="123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110"/>
        <v>4887492.32</v>
      </c>
      <c r="Q220" s="69">
        <f t="shared" si="110"/>
        <v>4960147.3899999997</v>
      </c>
      <c r="R220" s="5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140"/>
      <c r="AB220" s="66">
        <f t="shared" ref="AB220:AJ220" si="124">ROUND(AB6+AB183+AB188+AB191+AB198+AB201+AB207+AB219,5)</f>
        <v>5311671.1100000003</v>
      </c>
      <c r="AC220" s="66">
        <f t="shared" si="124"/>
        <v>5311671.1100000003</v>
      </c>
      <c r="AD220" s="66">
        <f t="shared" si="124"/>
        <v>5376940.5099999998</v>
      </c>
      <c r="AE220" s="66">
        <f t="shared" si="124"/>
        <v>5356940.51</v>
      </c>
      <c r="AF220" s="66">
        <f t="shared" si="124"/>
        <v>5510132.2000000002</v>
      </c>
      <c r="AG220" s="66">
        <f t="shared" si="124"/>
        <v>5598969</v>
      </c>
      <c r="AH220" s="66">
        <f t="shared" si="124"/>
        <v>5743969</v>
      </c>
      <c r="AI220" s="66">
        <f t="shared" si="124"/>
        <v>5677969</v>
      </c>
      <c r="AJ220" s="66">
        <f t="shared" si="124"/>
        <v>5681469</v>
      </c>
      <c r="AK220" s="66">
        <f t="shared" ref="AK220" si="125">ROUND(AK6+AK183+AK188+AK191+AK198+AK201+AK207+AK219,5)</f>
        <v>5723569</v>
      </c>
      <c r="AM220" s="182"/>
    </row>
    <row r="221" spans="1:43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54"/>
      <c r="S221" s="49"/>
      <c r="T221" s="49"/>
      <c r="U221" s="49" t="s">
        <v>220</v>
      </c>
      <c r="V221" s="49"/>
      <c r="W221" s="49"/>
      <c r="X221" s="49"/>
      <c r="Y221" s="49"/>
      <c r="Z221" s="66"/>
      <c r="AA221" s="140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</row>
    <row r="222" spans="1:43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54"/>
      <c r="S222" s="49"/>
      <c r="T222" s="49"/>
      <c r="U222" s="49"/>
      <c r="V222" s="49" t="s">
        <v>221</v>
      </c>
      <c r="W222" s="49"/>
      <c r="X222" s="49"/>
      <c r="Y222" s="49"/>
      <c r="Z222" s="66"/>
      <c r="AA222" s="140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</row>
    <row r="223" spans="1:43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126">ROUND(H223+J223+L223,5)</f>
        <v>14645.71</v>
      </c>
      <c r="O223" s="66">
        <f t="shared" si="126"/>
        <v>15644.98</v>
      </c>
      <c r="P223" s="69">
        <f t="shared" si="110"/>
        <v>4881.9033333333327</v>
      </c>
      <c r="Q223" s="69">
        <f t="shared" si="110"/>
        <v>5214.9933333333329</v>
      </c>
      <c r="R223" s="5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140"/>
      <c r="AB223" s="66">
        <f t="shared" ref="AB223:AK223" si="127">ROUND(5691.67, 0)</f>
        <v>5692</v>
      </c>
      <c r="AC223" s="66">
        <f t="shared" si="127"/>
        <v>5692</v>
      </c>
      <c r="AD223" s="66">
        <f t="shared" si="127"/>
        <v>5692</v>
      </c>
      <c r="AE223" s="66">
        <f t="shared" si="127"/>
        <v>5692</v>
      </c>
      <c r="AF223" s="66">
        <f t="shared" si="127"/>
        <v>5692</v>
      </c>
      <c r="AG223" s="66">
        <f t="shared" si="127"/>
        <v>5692</v>
      </c>
      <c r="AH223" s="66">
        <f t="shared" si="127"/>
        <v>5692</v>
      </c>
      <c r="AI223" s="66">
        <f t="shared" si="127"/>
        <v>5692</v>
      </c>
      <c r="AJ223" s="66">
        <f t="shared" si="127"/>
        <v>5692</v>
      </c>
      <c r="AK223" s="66">
        <f t="shared" si="127"/>
        <v>5692</v>
      </c>
    </row>
    <row r="224" spans="1:43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126"/>
        <v>3195.19</v>
      </c>
      <c r="O224" s="66">
        <f t="shared" si="126"/>
        <v>7437.44</v>
      </c>
      <c r="P224" s="69">
        <f t="shared" si="110"/>
        <v>1065.0633333333333</v>
      </c>
      <c r="Q224" s="69">
        <f t="shared" si="110"/>
        <v>2479.1466666666665</v>
      </c>
      <c r="R224" s="5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14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  <c r="AG224" s="66">
        <v>3348</v>
      </c>
      <c r="AH224" s="66">
        <v>3348</v>
      </c>
      <c r="AI224" s="66">
        <v>3348</v>
      </c>
      <c r="AJ224" s="66">
        <v>3348</v>
      </c>
      <c r="AK224" s="66">
        <v>3348</v>
      </c>
    </row>
    <row r="225" spans="1:37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128">ROUND(SUM(H222:H224),5)</f>
        <v>5911.22</v>
      </c>
      <c r="I225" s="75">
        <f t="shared" si="128"/>
        <v>5833.45</v>
      </c>
      <c r="J225" s="76">
        <f t="shared" si="128"/>
        <v>5605.52</v>
      </c>
      <c r="K225" s="76">
        <f t="shared" si="128"/>
        <v>5849.17</v>
      </c>
      <c r="L225" s="77">
        <f t="shared" si="128"/>
        <v>6324.16</v>
      </c>
      <c r="M225" s="77">
        <f t="shared" si="128"/>
        <v>11399.8</v>
      </c>
      <c r="N225" s="78">
        <f t="shared" si="126"/>
        <v>17840.900000000001</v>
      </c>
      <c r="O225" s="78">
        <f t="shared" si="126"/>
        <v>23082.42</v>
      </c>
      <c r="P225" s="79">
        <f t="shared" si="110"/>
        <v>5946.9666666666672</v>
      </c>
      <c r="Q225" s="79">
        <f t="shared" si="110"/>
        <v>7694.1399999999994</v>
      </c>
      <c r="R225" s="5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140"/>
      <c r="AB225" s="80">
        <f t="shared" ref="AB225:AJ225" si="129">ROUND(SUM(AB222:AB224),5)</f>
        <v>9040</v>
      </c>
      <c r="AC225" s="80">
        <f t="shared" si="129"/>
        <v>9040</v>
      </c>
      <c r="AD225" s="80">
        <f t="shared" si="129"/>
        <v>9040</v>
      </c>
      <c r="AE225" s="80">
        <f t="shared" si="129"/>
        <v>9040</v>
      </c>
      <c r="AF225" s="80">
        <f t="shared" si="129"/>
        <v>9040</v>
      </c>
      <c r="AG225" s="80">
        <f t="shared" si="129"/>
        <v>9040</v>
      </c>
      <c r="AH225" s="80">
        <f t="shared" si="129"/>
        <v>9040</v>
      </c>
      <c r="AI225" s="80">
        <f t="shared" si="129"/>
        <v>9040</v>
      </c>
      <c r="AJ225" s="80">
        <f t="shared" si="129"/>
        <v>9040</v>
      </c>
      <c r="AK225" s="266">
        <f t="shared" ref="AK225" si="130">ROUND(SUM(AK222:AK224),5)</f>
        <v>9040</v>
      </c>
    </row>
    <row r="226" spans="1:37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54"/>
      <c r="S226" s="49"/>
      <c r="T226" s="49"/>
      <c r="U226" s="49"/>
      <c r="V226" s="49" t="s">
        <v>225</v>
      </c>
      <c r="W226" s="49"/>
      <c r="X226" s="49"/>
      <c r="Y226" s="49"/>
      <c r="Z226" s="66"/>
      <c r="AA226" s="140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</row>
    <row r="227" spans="1:37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54"/>
      <c r="S227" s="49"/>
      <c r="T227" s="49"/>
      <c r="U227" s="49"/>
      <c r="V227" s="49"/>
      <c r="W227" s="49" t="s">
        <v>226</v>
      </c>
      <c r="X227" s="49"/>
      <c r="Y227" s="49"/>
      <c r="Z227" s="66"/>
      <c r="AA227" s="14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 t="shared" ref="AE227:AJ227" si="131">AE9*0.2</f>
        <v>205210.84</v>
      </c>
      <c r="AF227" s="66">
        <f t="shared" si="131"/>
        <v>205210.84</v>
      </c>
      <c r="AG227" s="66">
        <f t="shared" si="131"/>
        <v>205210.84</v>
      </c>
      <c r="AH227" s="66">
        <f t="shared" si="131"/>
        <v>205210.84</v>
      </c>
      <c r="AI227" s="66">
        <f t="shared" si="131"/>
        <v>205210.84</v>
      </c>
      <c r="AJ227" s="66">
        <f t="shared" si="131"/>
        <v>205210.84</v>
      </c>
      <c r="AK227" s="66">
        <f t="shared" ref="AK227" si="132">AK9*0.2</f>
        <v>205210.84</v>
      </c>
    </row>
    <row r="228" spans="1:37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110"/>
        <v>621.57000000000005</v>
      </c>
      <c r="Q228" s="69">
        <f t="shared" si="110"/>
        <v>3201.8466666666668</v>
      </c>
      <c r="R228" s="5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140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</row>
    <row r="229" spans="1:37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110"/>
        <v>0</v>
      </c>
      <c r="Q229" s="69">
        <f t="shared" si="110"/>
        <v>0</v>
      </c>
      <c r="R229" s="54"/>
      <c r="S229" s="49"/>
      <c r="T229" s="49"/>
      <c r="U229" s="49"/>
      <c r="V229" s="49"/>
      <c r="W229" s="49"/>
      <c r="X229" s="49" t="s">
        <v>228</v>
      </c>
      <c r="Y229" s="49"/>
      <c r="Z229" s="66"/>
      <c r="AA229" s="140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</row>
    <row r="230" spans="1:37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133">ROUND(H230+J230+L230,5)</f>
        <v>160678.19</v>
      </c>
      <c r="O230" s="66">
        <f t="shared" si="133"/>
        <v>76847.710000000006</v>
      </c>
      <c r="P230" s="69">
        <f t="shared" si="110"/>
        <v>53559.396666666667</v>
      </c>
      <c r="Q230" s="69">
        <f t="shared" si="110"/>
        <v>25615.903333333335</v>
      </c>
      <c r="R230" s="5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140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</row>
    <row r="231" spans="1:37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133"/>
        <v>4393.6000000000004</v>
      </c>
      <c r="O231" s="66">
        <f t="shared" si="133"/>
        <v>3748.32</v>
      </c>
      <c r="P231" s="69">
        <f t="shared" si="110"/>
        <v>1464.5333333333335</v>
      </c>
      <c r="Q231" s="69">
        <f t="shared" si="110"/>
        <v>1249.44</v>
      </c>
      <c r="R231" s="5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140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</row>
    <row r="232" spans="1:37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133"/>
        <v>3931.71</v>
      </c>
      <c r="O232" s="66">
        <f t="shared" si="133"/>
        <v>1056.04</v>
      </c>
      <c r="P232" s="69">
        <f t="shared" si="110"/>
        <v>1310.57</v>
      </c>
      <c r="Q232" s="69">
        <f t="shared" si="110"/>
        <v>352.01333333333332</v>
      </c>
      <c r="R232" s="5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140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</row>
    <row r="233" spans="1:37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133"/>
        <v>1953.44</v>
      </c>
      <c r="O233" s="73">
        <f t="shared" si="133"/>
        <v>100</v>
      </c>
      <c r="P233" s="74">
        <f t="shared" si="110"/>
        <v>651.14666666666665</v>
      </c>
      <c r="Q233" s="74">
        <f t="shared" si="110"/>
        <v>33.333333333333336</v>
      </c>
      <c r="R233" s="5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140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</row>
    <row r="234" spans="1:37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134">ROUND(SUM(H229:H233),5)</f>
        <v>66004.350000000006</v>
      </c>
      <c r="I234" s="63">
        <f t="shared" si="134"/>
        <v>0</v>
      </c>
      <c r="J234" s="64">
        <f t="shared" si="134"/>
        <v>53975.49</v>
      </c>
      <c r="K234" s="64">
        <f t="shared" si="134"/>
        <v>13281.84</v>
      </c>
      <c r="L234" s="65">
        <f t="shared" si="134"/>
        <v>50977.1</v>
      </c>
      <c r="M234" s="65">
        <f t="shared" si="134"/>
        <v>68470.23</v>
      </c>
      <c r="N234" s="66">
        <f t="shared" si="133"/>
        <v>170956.94</v>
      </c>
      <c r="O234" s="66">
        <f t="shared" si="133"/>
        <v>81752.070000000007</v>
      </c>
      <c r="P234" s="69">
        <f t="shared" si="110"/>
        <v>56985.646666666667</v>
      </c>
      <c r="Q234" s="69">
        <f t="shared" si="110"/>
        <v>27250.690000000002</v>
      </c>
      <c r="R234" s="5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140"/>
      <c r="AB234" s="66">
        <f t="shared" ref="AB234:AJ234" si="135">ROUND(SUM(AB229:AB233),5)</f>
        <v>0</v>
      </c>
      <c r="AC234" s="66">
        <f t="shared" si="135"/>
        <v>0</v>
      </c>
      <c r="AD234" s="66">
        <f t="shared" si="135"/>
        <v>0</v>
      </c>
      <c r="AE234" s="66">
        <f t="shared" si="135"/>
        <v>0</v>
      </c>
      <c r="AF234" s="66">
        <f t="shared" si="135"/>
        <v>0</v>
      </c>
      <c r="AG234" s="66">
        <f t="shared" si="135"/>
        <v>0</v>
      </c>
      <c r="AH234" s="66">
        <f t="shared" si="135"/>
        <v>0</v>
      </c>
      <c r="AI234" s="66">
        <f t="shared" si="135"/>
        <v>0</v>
      </c>
      <c r="AJ234" s="66">
        <f t="shared" si="135"/>
        <v>0</v>
      </c>
      <c r="AK234" s="66">
        <f t="shared" ref="AK234" si="136">ROUND(SUM(AK229:AK233),5)</f>
        <v>0</v>
      </c>
    </row>
    <row r="235" spans="1:37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54"/>
      <c r="S235" s="49"/>
      <c r="T235" s="49"/>
      <c r="U235" s="49"/>
      <c r="V235" s="49"/>
      <c r="W235" s="49"/>
      <c r="X235" s="49" t="s">
        <v>234</v>
      </c>
      <c r="Y235" s="49"/>
      <c r="Z235" s="66"/>
      <c r="AA235" s="140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</row>
    <row r="236" spans="1:37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137">ROUND(H236+J236+L236,5)</f>
        <v>10300.370000000001</v>
      </c>
      <c r="O236" s="66">
        <f t="shared" si="137"/>
        <v>7978.18</v>
      </c>
      <c r="P236" s="69">
        <f t="shared" si="110"/>
        <v>3433.4566666666669</v>
      </c>
      <c r="Q236" s="69">
        <f t="shared" si="110"/>
        <v>2659.3933333333334</v>
      </c>
      <c r="R236" s="5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140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</row>
    <row r="237" spans="1:37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137"/>
        <v>265.04000000000002</v>
      </c>
      <c r="O237" s="66">
        <f t="shared" si="137"/>
        <v>2079.58</v>
      </c>
      <c r="P237" s="69">
        <f t="shared" si="110"/>
        <v>88.346666666666678</v>
      </c>
      <c r="Q237" s="69">
        <f t="shared" si="110"/>
        <v>693.19333333333327</v>
      </c>
      <c r="R237" s="5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140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</row>
    <row r="238" spans="1:37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137"/>
        <v>291.58999999999997</v>
      </c>
      <c r="O238" s="66">
        <f t="shared" si="137"/>
        <v>6330.08</v>
      </c>
      <c r="P238" s="69">
        <f t="shared" si="110"/>
        <v>97.196666666666658</v>
      </c>
      <c r="Q238" s="69">
        <f t="shared" si="110"/>
        <v>2110.0266666666666</v>
      </c>
      <c r="R238" s="5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140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</row>
    <row r="239" spans="1:37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137"/>
        <v>1002.62</v>
      </c>
      <c r="O239" s="66">
        <f t="shared" si="137"/>
        <v>3299.3</v>
      </c>
      <c r="P239" s="69">
        <f t="shared" si="110"/>
        <v>334.20666666666665</v>
      </c>
      <c r="Q239" s="69">
        <f t="shared" si="110"/>
        <v>1099.7666666666667</v>
      </c>
      <c r="R239" s="5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140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</row>
    <row r="240" spans="1:37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137"/>
        <v>384.28</v>
      </c>
      <c r="O240" s="66">
        <f t="shared" si="137"/>
        <v>0</v>
      </c>
      <c r="P240" s="69">
        <f t="shared" si="110"/>
        <v>128.09333333333333</v>
      </c>
      <c r="Q240" s="69">
        <f t="shared" si="110"/>
        <v>0</v>
      </c>
      <c r="R240" s="5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140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</row>
    <row r="241" spans="1:37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137"/>
        <v>1703.01</v>
      </c>
      <c r="O241" s="66">
        <f t="shared" si="137"/>
        <v>6458.46</v>
      </c>
      <c r="P241" s="69">
        <f t="shared" si="110"/>
        <v>567.66999999999996</v>
      </c>
      <c r="Q241" s="69">
        <f t="shared" si="110"/>
        <v>2152.8200000000002</v>
      </c>
      <c r="R241" s="5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140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</row>
    <row r="242" spans="1:37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137"/>
        <v>844.98</v>
      </c>
      <c r="O242" s="66">
        <f t="shared" si="137"/>
        <v>4878.88</v>
      </c>
      <c r="P242" s="69">
        <f t="shared" si="110"/>
        <v>281.66000000000003</v>
      </c>
      <c r="Q242" s="69">
        <f t="shared" si="110"/>
        <v>1626.2933333333333</v>
      </c>
      <c r="R242" s="5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140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</row>
    <row r="243" spans="1:37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137"/>
        <v>952.7</v>
      </c>
      <c r="O243" s="66">
        <f t="shared" si="137"/>
        <v>759.86</v>
      </c>
      <c r="P243" s="69">
        <f t="shared" si="110"/>
        <v>317.56666666666666</v>
      </c>
      <c r="Q243" s="69">
        <f t="shared" si="110"/>
        <v>253.28666666666666</v>
      </c>
      <c r="R243" s="5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140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</row>
    <row r="244" spans="1:37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137"/>
        <v>-279.7</v>
      </c>
      <c r="O244" s="66">
        <v>0</v>
      </c>
      <c r="P244" s="69">
        <f t="shared" si="110"/>
        <v>-93.233333333333334</v>
      </c>
      <c r="Q244" s="69">
        <f t="shared" si="110"/>
        <v>0</v>
      </c>
      <c r="R244" s="5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140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</row>
    <row r="245" spans="1:37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137"/>
        <v>2068.73</v>
      </c>
      <c r="O245" s="66">
        <f>ROUND(I245+K245+M245,5)</f>
        <v>600</v>
      </c>
      <c r="P245" s="69">
        <f t="shared" si="110"/>
        <v>689.57666666666671</v>
      </c>
      <c r="Q245" s="69">
        <f t="shared" si="110"/>
        <v>200</v>
      </c>
      <c r="R245" s="5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140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</row>
    <row r="246" spans="1:37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137"/>
        <v>126.77</v>
      </c>
      <c r="O246" s="66">
        <f>ROUND(I246+K246+M246,5)</f>
        <v>100</v>
      </c>
      <c r="P246" s="69">
        <f t="shared" si="110"/>
        <v>42.256666666666668</v>
      </c>
      <c r="Q246" s="69">
        <f t="shared" si="110"/>
        <v>33.333333333333336</v>
      </c>
      <c r="R246" s="5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140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</row>
    <row r="247" spans="1:37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137"/>
        <v>4683.93</v>
      </c>
      <c r="O247" s="66">
        <f>ROUND(I247+K247+M247,5)</f>
        <v>7118.32</v>
      </c>
      <c r="P247" s="69">
        <f t="shared" si="110"/>
        <v>1561.3100000000002</v>
      </c>
      <c r="Q247" s="69">
        <f t="shared" si="110"/>
        <v>2372.7733333333331</v>
      </c>
      <c r="R247" s="5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140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</row>
    <row r="248" spans="1:37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137"/>
        <v>2913.09</v>
      </c>
      <c r="O248" s="66">
        <f>ROUND(I248+K248+M248,5)</f>
        <v>4719.0200000000004</v>
      </c>
      <c r="P248" s="69">
        <f t="shared" si="110"/>
        <v>971.03000000000009</v>
      </c>
      <c r="Q248" s="69">
        <f t="shared" si="110"/>
        <v>1573.0066666666669</v>
      </c>
      <c r="R248" s="5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140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</row>
    <row r="249" spans="1:37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137"/>
        <v>4608.63</v>
      </c>
      <c r="O249" s="66">
        <f>ROUND(I249+K249+M249,5)</f>
        <v>1619.72</v>
      </c>
      <c r="P249" s="69">
        <f t="shared" si="110"/>
        <v>1536.21</v>
      </c>
      <c r="Q249" s="69">
        <f t="shared" si="110"/>
        <v>539.90666666666664</v>
      </c>
      <c r="R249" s="5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140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</row>
    <row r="250" spans="1:37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137"/>
        <v>78.989999999999995</v>
      </c>
      <c r="O250" s="66">
        <v>0</v>
      </c>
      <c r="P250" s="69">
        <f t="shared" si="110"/>
        <v>26.33</v>
      </c>
      <c r="Q250" s="69">
        <f t="shared" si="110"/>
        <v>0</v>
      </c>
      <c r="R250" s="5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140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</row>
    <row r="251" spans="1:37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137"/>
        <v>0</v>
      </c>
      <c r="O251" s="66">
        <f>ROUND(I251+K251+M251,5)</f>
        <v>1219.72</v>
      </c>
      <c r="P251" s="69">
        <f t="shared" si="110"/>
        <v>0</v>
      </c>
      <c r="Q251" s="69">
        <f t="shared" si="110"/>
        <v>406.57333333333332</v>
      </c>
      <c r="R251" s="5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140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</row>
    <row r="252" spans="1:37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138">ROUND(H252+J252+L252,5)</f>
        <v>469.32</v>
      </c>
      <c r="O252" s="66">
        <f>ROUND(I252+K252+M252,5)</f>
        <v>356.04</v>
      </c>
      <c r="P252" s="69">
        <f t="shared" si="110"/>
        <v>156.44</v>
      </c>
      <c r="Q252" s="69">
        <f t="shared" si="110"/>
        <v>118.68</v>
      </c>
      <c r="R252" s="5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140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</row>
    <row r="253" spans="1:37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138"/>
        <v>0</v>
      </c>
      <c r="O253" s="66">
        <f>ROUND(I253+K253+M253,5)</f>
        <v>1524.16</v>
      </c>
      <c r="P253" s="69">
        <f t="shared" si="110"/>
        <v>0</v>
      </c>
      <c r="Q253" s="69">
        <f t="shared" si="110"/>
        <v>508.05333333333334</v>
      </c>
      <c r="R253" s="5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140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</row>
    <row r="254" spans="1:37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138"/>
        <v>295.95</v>
      </c>
      <c r="O254" s="66">
        <v>0</v>
      </c>
      <c r="P254" s="69">
        <f t="shared" si="110"/>
        <v>98.649999999999991</v>
      </c>
      <c r="Q254" s="69">
        <f t="shared" si="110"/>
        <v>0</v>
      </c>
      <c r="R254" s="5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140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</row>
    <row r="255" spans="1:37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138"/>
        <v>0</v>
      </c>
      <c r="O255" s="66">
        <f>ROUND(I255+K255+M255,5)</f>
        <v>0</v>
      </c>
      <c r="P255" s="69">
        <f t="shared" si="110"/>
        <v>0</v>
      </c>
      <c r="Q255" s="69">
        <f t="shared" si="110"/>
        <v>0</v>
      </c>
      <c r="R255" s="5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140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</row>
    <row r="256" spans="1:37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138"/>
        <v>0</v>
      </c>
      <c r="O256" s="73">
        <f>ROUND(I256+K256+M256,5)</f>
        <v>0</v>
      </c>
      <c r="P256" s="74">
        <f t="shared" si="110"/>
        <v>0</v>
      </c>
      <c r="Q256" s="74">
        <f t="shared" si="110"/>
        <v>0</v>
      </c>
      <c r="R256" s="5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140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</row>
    <row r="257" spans="1:37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139">ROUND(SUM(H235:H256),5)</f>
        <v>9952.77</v>
      </c>
      <c r="I257" s="63">
        <f t="shared" si="139"/>
        <v>0</v>
      </c>
      <c r="J257" s="64">
        <f t="shared" si="139"/>
        <v>12257.65</v>
      </c>
      <c r="K257" s="64">
        <f t="shared" si="139"/>
        <v>43741.32</v>
      </c>
      <c r="L257" s="65">
        <f t="shared" si="139"/>
        <v>8499.8799999999992</v>
      </c>
      <c r="M257" s="65">
        <f t="shared" si="139"/>
        <v>5300</v>
      </c>
      <c r="N257" s="66">
        <f t="shared" si="138"/>
        <v>30710.3</v>
      </c>
      <c r="O257" s="66">
        <f>ROUND(I257+K257+M257,5)</f>
        <v>49041.32</v>
      </c>
      <c r="P257" s="69">
        <f t="shared" si="110"/>
        <v>10236.766666666666</v>
      </c>
      <c r="Q257" s="69">
        <f t="shared" si="110"/>
        <v>16347.106666666667</v>
      </c>
      <c r="R257" s="5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140"/>
      <c r="AB257" s="66">
        <f t="shared" ref="AB257:AJ257" si="140">ROUND(SUM(AB235:AB256),5)</f>
        <v>0</v>
      </c>
      <c r="AC257" s="66">
        <f t="shared" si="140"/>
        <v>0</v>
      </c>
      <c r="AD257" s="66">
        <f t="shared" si="140"/>
        <v>0</v>
      </c>
      <c r="AE257" s="66">
        <f t="shared" si="140"/>
        <v>0</v>
      </c>
      <c r="AF257" s="66">
        <f t="shared" si="140"/>
        <v>0</v>
      </c>
      <c r="AG257" s="66">
        <f t="shared" si="140"/>
        <v>0</v>
      </c>
      <c r="AH257" s="66">
        <f t="shared" si="140"/>
        <v>0</v>
      </c>
      <c r="AI257" s="66">
        <f t="shared" si="140"/>
        <v>0</v>
      </c>
      <c r="AJ257" s="66">
        <f t="shared" si="140"/>
        <v>0</v>
      </c>
      <c r="AK257" s="66">
        <f t="shared" ref="AK257" si="141">ROUND(SUM(AK235:AK256),5)</f>
        <v>0</v>
      </c>
    </row>
    <row r="258" spans="1:37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110"/>
        <v>0</v>
      </c>
      <c r="Q258" s="69">
        <f t="shared" si="110"/>
        <v>0</v>
      </c>
      <c r="R258" s="54"/>
      <c r="S258" s="49"/>
      <c r="T258" s="49"/>
      <c r="U258" s="49"/>
      <c r="V258" s="49"/>
      <c r="W258" s="49"/>
      <c r="X258" s="49" t="s">
        <v>257</v>
      </c>
      <c r="Y258" s="49"/>
      <c r="Z258" s="66"/>
      <c r="AA258" s="140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</row>
    <row r="259" spans="1:37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142">ROUND(H259+J259+L259,5)</f>
        <v>292.07</v>
      </c>
      <c r="O259" s="66">
        <f t="shared" si="142"/>
        <v>3559.16</v>
      </c>
      <c r="P259" s="69">
        <f t="shared" si="110"/>
        <v>97.356666666666669</v>
      </c>
      <c r="Q259" s="69">
        <f t="shared" si="110"/>
        <v>1186.3866666666665</v>
      </c>
      <c r="R259" s="5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140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</row>
    <row r="260" spans="1:37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142"/>
        <v>0</v>
      </c>
      <c r="O260" s="66">
        <f t="shared" si="142"/>
        <v>0</v>
      </c>
      <c r="P260" s="69">
        <f t="shared" ref="P260:Q323" si="143">N260/3</f>
        <v>0</v>
      </c>
      <c r="Q260" s="69">
        <f t="shared" si="143"/>
        <v>0</v>
      </c>
      <c r="R260" s="5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140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</row>
    <row r="261" spans="1:37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142"/>
        <v>414.94</v>
      </c>
      <c r="O261" s="66">
        <f t="shared" si="142"/>
        <v>1624.16</v>
      </c>
      <c r="P261" s="69">
        <f t="shared" si="143"/>
        <v>138.31333333333333</v>
      </c>
      <c r="Q261" s="69">
        <f t="shared" si="143"/>
        <v>541.38666666666666</v>
      </c>
      <c r="R261" s="5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140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</row>
    <row r="262" spans="1:37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142"/>
        <v>0</v>
      </c>
      <c r="O262" s="73">
        <f t="shared" si="142"/>
        <v>0</v>
      </c>
      <c r="P262" s="74">
        <f t="shared" si="143"/>
        <v>0</v>
      </c>
      <c r="Q262" s="74">
        <f t="shared" si="143"/>
        <v>0</v>
      </c>
      <c r="R262" s="5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140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</row>
    <row r="263" spans="1:37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144">ROUND(SUM(H258:H262),5)</f>
        <v>414.94</v>
      </c>
      <c r="I263" s="63">
        <f t="shared" si="144"/>
        <v>0</v>
      </c>
      <c r="J263" s="64">
        <f t="shared" si="144"/>
        <v>73.44</v>
      </c>
      <c r="K263" s="64">
        <f t="shared" si="144"/>
        <v>4783.32</v>
      </c>
      <c r="L263" s="65">
        <f t="shared" si="144"/>
        <v>218.63</v>
      </c>
      <c r="M263" s="65">
        <f t="shared" si="144"/>
        <v>400</v>
      </c>
      <c r="N263" s="66">
        <f t="shared" si="142"/>
        <v>707.01</v>
      </c>
      <c r="O263" s="66">
        <f t="shared" si="142"/>
        <v>5183.32</v>
      </c>
      <c r="P263" s="69">
        <f t="shared" si="143"/>
        <v>235.67</v>
      </c>
      <c r="Q263" s="69">
        <f t="shared" si="143"/>
        <v>1727.7733333333333</v>
      </c>
      <c r="R263" s="5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140"/>
      <c r="AB263" s="66">
        <f t="shared" ref="AB263:AJ263" si="145">ROUND(SUM(AB258:AB262),5)</f>
        <v>0</v>
      </c>
      <c r="AC263" s="66">
        <f t="shared" si="145"/>
        <v>0</v>
      </c>
      <c r="AD263" s="66">
        <f t="shared" si="145"/>
        <v>0</v>
      </c>
      <c r="AE263" s="66">
        <f t="shared" si="145"/>
        <v>0</v>
      </c>
      <c r="AF263" s="66">
        <f t="shared" si="145"/>
        <v>0</v>
      </c>
      <c r="AG263" s="66">
        <f t="shared" si="145"/>
        <v>0</v>
      </c>
      <c r="AH263" s="66">
        <f t="shared" si="145"/>
        <v>0</v>
      </c>
      <c r="AI263" s="66">
        <f t="shared" si="145"/>
        <v>0</v>
      </c>
      <c r="AJ263" s="66">
        <f t="shared" si="145"/>
        <v>0</v>
      </c>
      <c r="AK263" s="66">
        <f t="shared" ref="AK263" si="146">ROUND(SUM(AK258:AK262),5)</f>
        <v>0</v>
      </c>
    </row>
    <row r="264" spans="1:37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54"/>
      <c r="S264" s="49"/>
      <c r="T264" s="49"/>
      <c r="U264" s="49"/>
      <c r="V264" s="49"/>
      <c r="W264" s="49"/>
      <c r="X264" s="49" t="s">
        <v>263</v>
      </c>
      <c r="Y264" s="49"/>
      <c r="Z264" s="66"/>
      <c r="AA264" s="140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</row>
    <row r="265" spans="1:37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147">ROUND(H265+J265+L265,5)</f>
        <v>9233.0499999999993</v>
      </c>
      <c r="O265" s="66">
        <f t="shared" si="147"/>
        <v>5438.74</v>
      </c>
      <c r="P265" s="69">
        <f t="shared" si="143"/>
        <v>3077.6833333333329</v>
      </c>
      <c r="Q265" s="69">
        <f t="shared" si="143"/>
        <v>1812.9133333333332</v>
      </c>
      <c r="R265" s="5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140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</row>
    <row r="266" spans="1:37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147"/>
        <v>173.59</v>
      </c>
      <c r="O266" s="66">
        <f t="shared" si="147"/>
        <v>2539.44</v>
      </c>
      <c r="P266" s="69">
        <f t="shared" si="143"/>
        <v>57.863333333333337</v>
      </c>
      <c r="Q266" s="69">
        <f t="shared" si="143"/>
        <v>846.48</v>
      </c>
      <c r="R266" s="5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140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</row>
    <row r="267" spans="1:37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147"/>
        <v>99.76</v>
      </c>
      <c r="O267" s="66">
        <f t="shared" si="147"/>
        <v>1980.2</v>
      </c>
      <c r="P267" s="69">
        <f t="shared" si="143"/>
        <v>33.253333333333337</v>
      </c>
      <c r="Q267" s="69">
        <f t="shared" si="143"/>
        <v>660.06666666666672</v>
      </c>
      <c r="R267" s="5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140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</row>
    <row r="268" spans="1:37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147"/>
        <v>2756.34</v>
      </c>
      <c r="O268" s="66">
        <f t="shared" si="147"/>
        <v>956.04</v>
      </c>
      <c r="P268" s="69">
        <f t="shared" si="143"/>
        <v>918.78000000000009</v>
      </c>
      <c r="Q268" s="69">
        <f t="shared" si="143"/>
        <v>318.68</v>
      </c>
      <c r="R268" s="5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140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</row>
    <row r="269" spans="1:37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147"/>
        <v>62</v>
      </c>
      <c r="O269" s="66">
        <f t="shared" si="147"/>
        <v>718</v>
      </c>
      <c r="P269" s="69">
        <f t="shared" si="143"/>
        <v>20.666666666666668</v>
      </c>
      <c r="Q269" s="69">
        <f t="shared" si="143"/>
        <v>239.33333333333334</v>
      </c>
      <c r="R269" s="5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140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</row>
    <row r="270" spans="1:37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147"/>
        <v>5017.79</v>
      </c>
      <c r="O270" s="66">
        <f t="shared" si="147"/>
        <v>1535.1</v>
      </c>
      <c r="P270" s="69">
        <f t="shared" si="143"/>
        <v>1672.5966666666666</v>
      </c>
      <c r="Q270" s="69">
        <f t="shared" si="143"/>
        <v>511.7</v>
      </c>
      <c r="R270" s="5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140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</row>
    <row r="271" spans="1:37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147"/>
        <v>0</v>
      </c>
      <c r="O271" s="66">
        <f t="shared" si="147"/>
        <v>1880.2</v>
      </c>
      <c r="P271" s="69">
        <f t="shared" si="143"/>
        <v>0</v>
      </c>
      <c r="Q271" s="69">
        <f t="shared" si="143"/>
        <v>626.73333333333335</v>
      </c>
      <c r="R271" s="5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140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</row>
    <row r="272" spans="1:37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147"/>
        <v>1851.6</v>
      </c>
      <c r="O272" s="66">
        <f t="shared" si="147"/>
        <v>1624.16</v>
      </c>
      <c r="P272" s="69">
        <f t="shared" si="143"/>
        <v>617.19999999999993</v>
      </c>
      <c r="Q272" s="69">
        <f t="shared" si="143"/>
        <v>541.38666666666666</v>
      </c>
      <c r="R272" s="5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140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</row>
    <row r="273" spans="1:37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147"/>
        <v>0</v>
      </c>
      <c r="O273" s="66">
        <f t="shared" si="147"/>
        <v>6709.32</v>
      </c>
      <c r="P273" s="69">
        <f t="shared" si="143"/>
        <v>0</v>
      </c>
      <c r="Q273" s="69">
        <f t="shared" si="143"/>
        <v>2236.44</v>
      </c>
      <c r="R273" s="5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140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</row>
    <row r="274" spans="1:37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147"/>
        <v>0</v>
      </c>
      <c r="O274" s="66">
        <f t="shared" si="147"/>
        <v>1983.36</v>
      </c>
      <c r="P274" s="69">
        <f t="shared" si="143"/>
        <v>0</v>
      </c>
      <c r="Q274" s="69">
        <f t="shared" si="143"/>
        <v>661.12</v>
      </c>
      <c r="R274" s="5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140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</row>
    <row r="275" spans="1:37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147"/>
        <v>0</v>
      </c>
      <c r="O275" s="66">
        <f t="shared" si="147"/>
        <v>4759.01</v>
      </c>
      <c r="P275" s="69">
        <f t="shared" si="143"/>
        <v>0</v>
      </c>
      <c r="Q275" s="69">
        <f t="shared" si="143"/>
        <v>1586.3366666666668</v>
      </c>
      <c r="R275" s="5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140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</row>
    <row r="276" spans="1:37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147"/>
        <v>8987.11</v>
      </c>
      <c r="O276" s="66">
        <f t="shared" si="147"/>
        <v>17088.16</v>
      </c>
      <c r="P276" s="69">
        <f t="shared" si="143"/>
        <v>2995.7033333333334</v>
      </c>
      <c r="Q276" s="69">
        <f t="shared" si="143"/>
        <v>5696.0533333333333</v>
      </c>
      <c r="R276" s="5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140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</row>
    <row r="277" spans="1:37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147"/>
        <v>170.91</v>
      </c>
      <c r="O277" s="66">
        <f t="shared" si="147"/>
        <v>4097.04</v>
      </c>
      <c r="P277" s="69">
        <f t="shared" si="143"/>
        <v>56.97</v>
      </c>
      <c r="Q277" s="69">
        <f t="shared" si="143"/>
        <v>1365.68</v>
      </c>
      <c r="R277" s="5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140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</row>
    <row r="278" spans="1:37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147"/>
        <v>1914.86</v>
      </c>
      <c r="O278" s="66">
        <f t="shared" si="147"/>
        <v>1668.12</v>
      </c>
      <c r="P278" s="69">
        <f t="shared" si="143"/>
        <v>638.28666666666663</v>
      </c>
      <c r="Q278" s="69">
        <f t="shared" si="143"/>
        <v>556.04</v>
      </c>
      <c r="R278" s="5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140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</row>
    <row r="279" spans="1:37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147"/>
        <v>581.79999999999995</v>
      </c>
      <c r="O279" s="73">
        <f t="shared" si="147"/>
        <v>0</v>
      </c>
      <c r="P279" s="74">
        <f t="shared" si="143"/>
        <v>193.93333333333331</v>
      </c>
      <c r="Q279" s="74">
        <f t="shared" si="143"/>
        <v>0</v>
      </c>
      <c r="R279" s="5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140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</row>
    <row r="280" spans="1:37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148">ROUND(SUM(H264:H279),5)</f>
        <v>11247.41</v>
      </c>
      <c r="I280" s="63">
        <f t="shared" si="148"/>
        <v>0</v>
      </c>
      <c r="J280" s="64">
        <f t="shared" si="148"/>
        <v>13538.34</v>
      </c>
      <c r="K280" s="64">
        <f t="shared" si="148"/>
        <v>43816.14</v>
      </c>
      <c r="L280" s="65">
        <f t="shared" si="148"/>
        <v>6063.06</v>
      </c>
      <c r="M280" s="65">
        <f t="shared" si="148"/>
        <v>9160.75</v>
      </c>
      <c r="N280" s="66">
        <f t="shared" si="147"/>
        <v>30848.81</v>
      </c>
      <c r="O280" s="66">
        <f t="shared" si="147"/>
        <v>52976.89</v>
      </c>
      <c r="P280" s="69">
        <f t="shared" si="143"/>
        <v>10282.936666666666</v>
      </c>
      <c r="Q280" s="69">
        <f t="shared" si="143"/>
        <v>17658.963333333333</v>
      </c>
      <c r="R280" s="5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140"/>
      <c r="AB280" s="66">
        <f t="shared" ref="AB280:AJ280" si="149">ROUND(SUM(AB264:AB279),5)</f>
        <v>0</v>
      </c>
      <c r="AC280" s="66">
        <f t="shared" si="149"/>
        <v>0</v>
      </c>
      <c r="AD280" s="66">
        <f t="shared" si="149"/>
        <v>0</v>
      </c>
      <c r="AE280" s="66">
        <f t="shared" si="149"/>
        <v>0</v>
      </c>
      <c r="AF280" s="66">
        <f t="shared" si="149"/>
        <v>0</v>
      </c>
      <c r="AG280" s="66">
        <f t="shared" si="149"/>
        <v>0</v>
      </c>
      <c r="AH280" s="66">
        <f t="shared" si="149"/>
        <v>0</v>
      </c>
      <c r="AI280" s="66">
        <f t="shared" si="149"/>
        <v>0</v>
      </c>
      <c r="AJ280" s="66">
        <f t="shared" si="149"/>
        <v>0</v>
      </c>
      <c r="AK280" s="66">
        <f t="shared" ref="AK280" si="150">ROUND(SUM(AK264:AK279),5)</f>
        <v>0</v>
      </c>
    </row>
    <row r="281" spans="1:37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143"/>
        <v>0</v>
      </c>
      <c r="Q281" s="69">
        <f t="shared" si="143"/>
        <v>0</v>
      </c>
      <c r="R281" s="54"/>
      <c r="S281" s="49"/>
      <c r="T281" s="49"/>
      <c r="U281" s="49"/>
      <c r="V281" s="49"/>
      <c r="W281" s="49"/>
      <c r="X281" s="49" t="s">
        <v>280</v>
      </c>
      <c r="Y281" s="49"/>
      <c r="Z281" s="66"/>
      <c r="AA281" s="140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</row>
    <row r="282" spans="1:37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151">ROUND(H282+J282+L282,5)</f>
        <v>9840.1</v>
      </c>
      <c r="O282" s="66">
        <f t="shared" si="151"/>
        <v>6658.46</v>
      </c>
      <c r="P282" s="69">
        <f t="shared" si="143"/>
        <v>3280.0333333333333</v>
      </c>
      <c r="Q282" s="69">
        <f t="shared" si="143"/>
        <v>2219.4866666666667</v>
      </c>
      <c r="R282" s="5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140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</row>
    <row r="283" spans="1:37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151"/>
        <v>9035.52</v>
      </c>
      <c r="O283" s="66">
        <f t="shared" si="151"/>
        <v>7418.32</v>
      </c>
      <c r="P283" s="69">
        <f t="shared" si="143"/>
        <v>3011.84</v>
      </c>
      <c r="Q283" s="69">
        <f t="shared" si="143"/>
        <v>2472.7733333333331</v>
      </c>
      <c r="R283" s="5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140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</row>
    <row r="284" spans="1:37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151"/>
        <v>0</v>
      </c>
      <c r="O284" s="66">
        <f t="shared" si="151"/>
        <v>656.04</v>
      </c>
      <c r="P284" s="69">
        <f t="shared" si="143"/>
        <v>0</v>
      </c>
      <c r="Q284" s="69">
        <f t="shared" si="143"/>
        <v>218.67999999999998</v>
      </c>
      <c r="R284" s="5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140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</row>
    <row r="285" spans="1:37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151"/>
        <v>2620.06</v>
      </c>
      <c r="O285" s="66">
        <f t="shared" si="151"/>
        <v>7118.32</v>
      </c>
      <c r="P285" s="69">
        <f t="shared" si="143"/>
        <v>873.35333333333335</v>
      </c>
      <c r="Q285" s="69">
        <f t="shared" si="143"/>
        <v>2372.7733333333331</v>
      </c>
      <c r="R285" s="5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140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</row>
    <row r="286" spans="1:37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151"/>
        <v>2099.5700000000002</v>
      </c>
      <c r="O286" s="66">
        <f t="shared" si="151"/>
        <v>1012.08</v>
      </c>
      <c r="P286" s="69">
        <f t="shared" si="143"/>
        <v>699.85666666666668</v>
      </c>
      <c r="Q286" s="69">
        <f t="shared" si="143"/>
        <v>337.36</v>
      </c>
      <c r="R286" s="5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140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</row>
    <row r="287" spans="1:37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151"/>
        <v>1066.75</v>
      </c>
      <c r="O287" s="73">
        <f t="shared" si="151"/>
        <v>6918.32</v>
      </c>
      <c r="P287" s="74">
        <f t="shared" si="143"/>
        <v>355.58333333333331</v>
      </c>
      <c r="Q287" s="74">
        <f t="shared" si="143"/>
        <v>2306.1066666666666</v>
      </c>
      <c r="R287" s="5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140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</row>
    <row r="288" spans="1:37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152">ROUND(SUM(H281:H287),5)</f>
        <v>5366.39</v>
      </c>
      <c r="I288" s="63">
        <f t="shared" si="152"/>
        <v>0</v>
      </c>
      <c r="J288" s="64">
        <f t="shared" si="152"/>
        <v>9447.02</v>
      </c>
      <c r="K288" s="64">
        <f t="shared" si="152"/>
        <v>27381.54</v>
      </c>
      <c r="L288" s="65">
        <f t="shared" si="152"/>
        <v>9848.59</v>
      </c>
      <c r="M288" s="65">
        <f t="shared" si="152"/>
        <v>2400</v>
      </c>
      <c r="N288" s="66">
        <f t="shared" si="151"/>
        <v>24662</v>
      </c>
      <c r="O288" s="66">
        <f t="shared" si="151"/>
        <v>29781.54</v>
      </c>
      <c r="P288" s="69">
        <f t="shared" si="143"/>
        <v>8220.6666666666661</v>
      </c>
      <c r="Q288" s="69">
        <f t="shared" si="143"/>
        <v>9927.18</v>
      </c>
      <c r="R288" s="5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140"/>
      <c r="AB288" s="66">
        <f t="shared" ref="AB288:AJ288" si="153">ROUND(SUM(AB281:AB287),5)</f>
        <v>0</v>
      </c>
      <c r="AC288" s="66">
        <f t="shared" si="153"/>
        <v>0</v>
      </c>
      <c r="AD288" s="66">
        <f t="shared" si="153"/>
        <v>0</v>
      </c>
      <c r="AE288" s="66">
        <f t="shared" si="153"/>
        <v>0</v>
      </c>
      <c r="AF288" s="66">
        <f t="shared" si="153"/>
        <v>0</v>
      </c>
      <c r="AG288" s="66">
        <f t="shared" si="153"/>
        <v>0</v>
      </c>
      <c r="AH288" s="66">
        <f t="shared" si="153"/>
        <v>0</v>
      </c>
      <c r="AI288" s="66">
        <f t="shared" si="153"/>
        <v>0</v>
      </c>
      <c r="AJ288" s="66">
        <f t="shared" si="153"/>
        <v>0</v>
      </c>
      <c r="AK288" s="66">
        <f t="shared" ref="AK288" si="154">ROUND(SUM(AK281:AK287),5)</f>
        <v>0</v>
      </c>
    </row>
    <row r="289" spans="1:37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54"/>
      <c r="S289" s="49"/>
      <c r="T289" s="49"/>
      <c r="U289" s="49"/>
      <c r="V289" s="49"/>
      <c r="W289" s="49"/>
      <c r="X289" s="49" t="s">
        <v>288</v>
      </c>
      <c r="Y289" s="49"/>
      <c r="Z289" s="66"/>
      <c r="AA289" s="140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</row>
    <row r="290" spans="1:37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155">ROUND(H290+J290+L290,5)</f>
        <v>513.95000000000005</v>
      </c>
      <c r="O290" s="66">
        <f t="shared" si="155"/>
        <v>300</v>
      </c>
      <c r="P290" s="69">
        <f t="shared" si="143"/>
        <v>171.31666666666669</v>
      </c>
      <c r="Q290" s="69">
        <f t="shared" si="143"/>
        <v>100</v>
      </c>
      <c r="R290" s="5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140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</row>
    <row r="291" spans="1:37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155"/>
        <v>5543.87</v>
      </c>
      <c r="O291" s="66">
        <f t="shared" si="155"/>
        <v>800</v>
      </c>
      <c r="P291" s="69">
        <f t="shared" si="143"/>
        <v>1847.9566666666667</v>
      </c>
      <c r="Q291" s="69">
        <f t="shared" si="143"/>
        <v>266.66666666666669</v>
      </c>
      <c r="R291" s="5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140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</row>
    <row r="292" spans="1:37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155"/>
        <v>0</v>
      </c>
      <c r="O292" s="66">
        <f t="shared" si="155"/>
        <v>6718.32</v>
      </c>
      <c r="P292" s="69">
        <f t="shared" si="143"/>
        <v>0</v>
      </c>
      <c r="Q292" s="69">
        <f t="shared" si="143"/>
        <v>2239.44</v>
      </c>
      <c r="R292" s="5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140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</row>
    <row r="293" spans="1:37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155"/>
        <v>1829.97</v>
      </c>
      <c r="O293" s="66">
        <f t="shared" si="155"/>
        <v>400</v>
      </c>
      <c r="P293" s="69">
        <f t="shared" si="143"/>
        <v>609.99</v>
      </c>
      <c r="Q293" s="69">
        <f t="shared" si="143"/>
        <v>133.33333333333334</v>
      </c>
      <c r="R293" s="5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140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</row>
    <row r="294" spans="1:37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155"/>
        <v>574.11</v>
      </c>
      <c r="O294" s="66">
        <f t="shared" si="155"/>
        <v>200</v>
      </c>
      <c r="P294" s="69">
        <f t="shared" si="143"/>
        <v>191.37</v>
      </c>
      <c r="Q294" s="69">
        <f t="shared" si="143"/>
        <v>66.666666666666671</v>
      </c>
      <c r="R294" s="5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140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</row>
    <row r="295" spans="1:37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155"/>
        <v>2094.56</v>
      </c>
      <c r="O295" s="66">
        <f t="shared" si="155"/>
        <v>700</v>
      </c>
      <c r="P295" s="69">
        <f t="shared" si="143"/>
        <v>698.18666666666661</v>
      </c>
      <c r="Q295" s="69">
        <f t="shared" si="143"/>
        <v>233.33333333333334</v>
      </c>
      <c r="R295" s="5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140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</row>
    <row r="296" spans="1:37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155"/>
        <v>143.52000000000001</v>
      </c>
      <c r="O296" s="66">
        <f t="shared" si="155"/>
        <v>0</v>
      </c>
      <c r="P296" s="69">
        <f t="shared" si="143"/>
        <v>47.84</v>
      </c>
      <c r="Q296" s="69">
        <f t="shared" si="143"/>
        <v>0</v>
      </c>
      <c r="R296" s="5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140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</row>
    <row r="297" spans="1:37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155"/>
        <v>0</v>
      </c>
      <c r="O297" s="66">
        <f t="shared" si="155"/>
        <v>100</v>
      </c>
      <c r="P297" s="69">
        <f t="shared" si="143"/>
        <v>0</v>
      </c>
      <c r="Q297" s="69">
        <f t="shared" si="143"/>
        <v>33.333333333333336</v>
      </c>
      <c r="R297" s="5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140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</row>
    <row r="298" spans="1:37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155"/>
        <v>1205.7</v>
      </c>
      <c r="O298" s="66">
        <f t="shared" si="155"/>
        <v>0</v>
      </c>
      <c r="P298" s="69">
        <f t="shared" si="143"/>
        <v>401.90000000000003</v>
      </c>
      <c r="Q298" s="69">
        <f t="shared" si="143"/>
        <v>0</v>
      </c>
      <c r="R298" s="5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140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</row>
    <row r="299" spans="1:37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155"/>
        <v>0</v>
      </c>
      <c r="O299" s="66">
        <f t="shared" si="155"/>
        <v>0</v>
      </c>
      <c r="P299" s="69">
        <f t="shared" si="143"/>
        <v>0</v>
      </c>
      <c r="Q299" s="69">
        <f t="shared" si="143"/>
        <v>0</v>
      </c>
      <c r="R299" s="5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140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</row>
    <row r="300" spans="1:37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155"/>
        <v>0</v>
      </c>
      <c r="O300" s="73">
        <f t="shared" si="155"/>
        <v>0</v>
      </c>
      <c r="P300" s="74">
        <f t="shared" si="143"/>
        <v>0</v>
      </c>
      <c r="Q300" s="74">
        <f t="shared" si="143"/>
        <v>0</v>
      </c>
      <c r="R300" s="5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140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</row>
    <row r="301" spans="1:37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156">ROUND(SUM(H289:H300),5)</f>
        <v>3691.61</v>
      </c>
      <c r="I301" s="63">
        <f t="shared" si="156"/>
        <v>0</v>
      </c>
      <c r="J301" s="64">
        <f t="shared" si="156"/>
        <v>4249.07</v>
      </c>
      <c r="K301" s="64">
        <f t="shared" si="156"/>
        <v>6718.32</v>
      </c>
      <c r="L301" s="65">
        <f t="shared" si="156"/>
        <v>3965</v>
      </c>
      <c r="M301" s="65">
        <f t="shared" si="156"/>
        <v>2500</v>
      </c>
      <c r="N301" s="66">
        <f t="shared" si="155"/>
        <v>11905.68</v>
      </c>
      <c r="O301" s="66">
        <f t="shared" si="155"/>
        <v>9218.32</v>
      </c>
      <c r="P301" s="69">
        <f t="shared" si="143"/>
        <v>3968.56</v>
      </c>
      <c r="Q301" s="69">
        <f t="shared" si="143"/>
        <v>3072.7733333333331</v>
      </c>
      <c r="R301" s="5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140"/>
      <c r="AB301" s="66">
        <f t="shared" ref="AB301:AJ301" si="157">ROUND(SUM(AB289:AB300),5)</f>
        <v>0</v>
      </c>
      <c r="AC301" s="66">
        <f t="shared" si="157"/>
        <v>0</v>
      </c>
      <c r="AD301" s="66">
        <f t="shared" si="157"/>
        <v>0</v>
      </c>
      <c r="AE301" s="66">
        <f t="shared" si="157"/>
        <v>0</v>
      </c>
      <c r="AF301" s="66">
        <f t="shared" si="157"/>
        <v>0</v>
      </c>
      <c r="AG301" s="66">
        <f t="shared" si="157"/>
        <v>0</v>
      </c>
      <c r="AH301" s="66">
        <f t="shared" si="157"/>
        <v>0</v>
      </c>
      <c r="AI301" s="66">
        <f t="shared" si="157"/>
        <v>0</v>
      </c>
      <c r="AJ301" s="66">
        <f t="shared" si="157"/>
        <v>0</v>
      </c>
      <c r="AK301" s="66">
        <f t="shared" ref="AK301" si="158">ROUND(SUM(AK289:AK300),5)</f>
        <v>0</v>
      </c>
    </row>
    <row r="302" spans="1:37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54"/>
      <c r="S302" s="49"/>
      <c r="T302" s="49"/>
      <c r="U302" s="49"/>
      <c r="V302" s="49"/>
      <c r="W302" s="49"/>
      <c r="X302" s="49" t="s">
        <v>301</v>
      </c>
      <c r="Y302" s="49"/>
      <c r="Z302" s="66"/>
      <c r="AA302" s="140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</row>
    <row r="303" spans="1:37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159">ROUND(H303+J303+L303,5)</f>
        <v>4407.63</v>
      </c>
      <c r="O303" s="66">
        <f t="shared" si="159"/>
        <v>7218.32</v>
      </c>
      <c r="P303" s="69">
        <f t="shared" si="143"/>
        <v>1469.21</v>
      </c>
      <c r="Q303" s="69">
        <f t="shared" si="143"/>
        <v>2406.1066666666666</v>
      </c>
      <c r="R303" s="5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140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</row>
    <row r="304" spans="1:37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159"/>
        <v>62.18</v>
      </c>
      <c r="O304" s="66">
        <f t="shared" si="159"/>
        <v>659.86</v>
      </c>
      <c r="P304" s="69">
        <f t="shared" si="143"/>
        <v>20.726666666666667</v>
      </c>
      <c r="Q304" s="69">
        <f t="shared" si="143"/>
        <v>219.95333333333335</v>
      </c>
      <c r="R304" s="5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140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</row>
    <row r="305" spans="1:37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159"/>
        <v>1422.94</v>
      </c>
      <c r="O305" s="66">
        <f t="shared" si="159"/>
        <v>5438.74</v>
      </c>
      <c r="P305" s="69">
        <f t="shared" si="143"/>
        <v>474.31333333333333</v>
      </c>
      <c r="Q305" s="69">
        <f t="shared" si="143"/>
        <v>1812.9133333333332</v>
      </c>
      <c r="R305" s="5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140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</row>
    <row r="306" spans="1:37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159"/>
        <v>602.46</v>
      </c>
      <c r="O306" s="73">
        <f t="shared" si="159"/>
        <v>756.04</v>
      </c>
      <c r="P306" s="74">
        <f t="shared" si="143"/>
        <v>200.82000000000002</v>
      </c>
      <c r="Q306" s="74">
        <f t="shared" si="143"/>
        <v>252.01333333333332</v>
      </c>
      <c r="R306" s="5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140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</row>
    <row r="307" spans="1:37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160">ROUND(SUM(H302:H306),5)</f>
        <v>358.49</v>
      </c>
      <c r="I307" s="63">
        <f t="shared" si="160"/>
        <v>0</v>
      </c>
      <c r="J307" s="64">
        <f t="shared" si="160"/>
        <v>1711.98</v>
      </c>
      <c r="K307" s="64">
        <f t="shared" si="160"/>
        <v>12672.96</v>
      </c>
      <c r="L307" s="65">
        <f t="shared" si="160"/>
        <v>4424.74</v>
      </c>
      <c r="M307" s="65">
        <f t="shared" si="160"/>
        <v>1400</v>
      </c>
      <c r="N307" s="66">
        <f t="shared" si="159"/>
        <v>6495.21</v>
      </c>
      <c r="O307" s="66">
        <f t="shared" si="159"/>
        <v>14072.96</v>
      </c>
      <c r="P307" s="69">
        <f t="shared" si="143"/>
        <v>2165.0700000000002</v>
      </c>
      <c r="Q307" s="69">
        <f t="shared" si="143"/>
        <v>4690.9866666666667</v>
      </c>
      <c r="R307" s="5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140"/>
      <c r="AB307" s="66">
        <f t="shared" ref="AB307:AJ307" si="161">ROUND(SUM(AB302:AB306),5)</f>
        <v>0</v>
      </c>
      <c r="AC307" s="66">
        <f t="shared" si="161"/>
        <v>0</v>
      </c>
      <c r="AD307" s="66">
        <f t="shared" si="161"/>
        <v>0</v>
      </c>
      <c r="AE307" s="66">
        <f t="shared" si="161"/>
        <v>0</v>
      </c>
      <c r="AF307" s="66">
        <f t="shared" si="161"/>
        <v>0</v>
      </c>
      <c r="AG307" s="66">
        <f t="shared" si="161"/>
        <v>0</v>
      </c>
      <c r="AH307" s="66">
        <f t="shared" si="161"/>
        <v>0</v>
      </c>
      <c r="AI307" s="66">
        <f t="shared" si="161"/>
        <v>0</v>
      </c>
      <c r="AJ307" s="66">
        <f t="shared" si="161"/>
        <v>0</v>
      </c>
      <c r="AK307" s="66">
        <f t="shared" ref="AK307" si="162">ROUND(SUM(AK302:AK306),5)</f>
        <v>0</v>
      </c>
    </row>
    <row r="308" spans="1:37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54"/>
      <c r="S308" s="49"/>
      <c r="T308" s="49"/>
      <c r="U308" s="49"/>
      <c r="V308" s="49"/>
      <c r="W308" s="49"/>
      <c r="X308" s="49" t="s">
        <v>307</v>
      </c>
      <c r="Y308" s="49"/>
      <c r="Z308" s="66"/>
      <c r="AA308" s="140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</row>
    <row r="309" spans="1:37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163">ROUND(H309+J309+L309,5)</f>
        <v>9703.68</v>
      </c>
      <c r="O309" s="66">
        <f t="shared" si="163"/>
        <v>5278.88</v>
      </c>
      <c r="P309" s="69">
        <f t="shared" si="143"/>
        <v>3234.56</v>
      </c>
      <c r="Q309" s="69">
        <f t="shared" si="143"/>
        <v>1759.6266666666668</v>
      </c>
      <c r="R309" s="5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140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</row>
    <row r="310" spans="1:37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163"/>
        <v>884.39</v>
      </c>
      <c r="O310" s="66">
        <f t="shared" si="163"/>
        <v>2439.44</v>
      </c>
      <c r="P310" s="69">
        <f t="shared" si="143"/>
        <v>294.79666666666668</v>
      </c>
      <c r="Q310" s="69">
        <f t="shared" si="143"/>
        <v>813.14666666666665</v>
      </c>
      <c r="R310" s="5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140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</row>
    <row r="311" spans="1:37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163"/>
        <v>979.97</v>
      </c>
      <c r="O311" s="66">
        <f t="shared" si="163"/>
        <v>6758.46</v>
      </c>
      <c r="P311" s="69">
        <f t="shared" si="143"/>
        <v>326.65666666666669</v>
      </c>
      <c r="Q311" s="69">
        <f t="shared" si="143"/>
        <v>2252.8200000000002</v>
      </c>
      <c r="R311" s="5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140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</row>
    <row r="312" spans="1:37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163"/>
        <v>404.46</v>
      </c>
      <c r="O312" s="66">
        <f t="shared" si="163"/>
        <v>1679.58</v>
      </c>
      <c r="P312" s="69">
        <f t="shared" si="143"/>
        <v>134.82</v>
      </c>
      <c r="Q312" s="69">
        <f t="shared" si="143"/>
        <v>559.86</v>
      </c>
      <c r="R312" s="5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140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</row>
    <row r="313" spans="1:37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163"/>
        <v>4314.07</v>
      </c>
      <c r="O313" s="66">
        <f t="shared" si="163"/>
        <v>2480.1999999999998</v>
      </c>
      <c r="P313" s="69">
        <f t="shared" si="143"/>
        <v>1438.0233333333333</v>
      </c>
      <c r="Q313" s="69">
        <f t="shared" si="143"/>
        <v>826.73333333333323</v>
      </c>
      <c r="R313" s="5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140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</row>
    <row r="314" spans="1:37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163"/>
        <v>487.74</v>
      </c>
      <c r="O314" s="66">
        <f t="shared" si="163"/>
        <v>912.08</v>
      </c>
      <c r="P314" s="69">
        <f t="shared" si="143"/>
        <v>162.58000000000001</v>
      </c>
      <c r="Q314" s="69">
        <f t="shared" si="143"/>
        <v>304.0266666666667</v>
      </c>
      <c r="R314" s="5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140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</row>
    <row r="315" spans="1:37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163"/>
        <v>2326.19</v>
      </c>
      <c r="O315" s="66">
        <f t="shared" si="163"/>
        <v>6398.6</v>
      </c>
      <c r="P315" s="69">
        <f t="shared" si="143"/>
        <v>775.39666666666665</v>
      </c>
      <c r="Q315" s="69">
        <f t="shared" si="143"/>
        <v>2132.8666666666668</v>
      </c>
      <c r="R315" s="5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140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</row>
    <row r="316" spans="1:37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163"/>
        <v>229.23</v>
      </c>
      <c r="O316" s="66">
        <f t="shared" si="163"/>
        <v>2239.44</v>
      </c>
      <c r="P316" s="69">
        <f t="shared" si="143"/>
        <v>76.41</v>
      </c>
      <c r="Q316" s="69">
        <f t="shared" si="143"/>
        <v>746.48</v>
      </c>
      <c r="R316" s="5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140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</row>
    <row r="317" spans="1:37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163"/>
        <v>759.74</v>
      </c>
      <c r="O317" s="66">
        <f t="shared" si="163"/>
        <v>1524.12</v>
      </c>
      <c r="P317" s="69">
        <f t="shared" si="143"/>
        <v>253.24666666666667</v>
      </c>
      <c r="Q317" s="69">
        <f t="shared" si="143"/>
        <v>508.03999999999996</v>
      </c>
      <c r="R317" s="5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140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</row>
    <row r="318" spans="1:37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163"/>
        <v>84.4</v>
      </c>
      <c r="O318" s="73">
        <f t="shared" si="163"/>
        <v>0</v>
      </c>
      <c r="P318" s="74">
        <f t="shared" si="143"/>
        <v>28.133333333333336</v>
      </c>
      <c r="Q318" s="74">
        <f t="shared" si="143"/>
        <v>0</v>
      </c>
      <c r="R318" s="5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140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</row>
    <row r="319" spans="1:37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164">ROUND(SUM(H308:H318),5)</f>
        <v>5951.81</v>
      </c>
      <c r="I319" s="63">
        <f t="shared" si="164"/>
        <v>0</v>
      </c>
      <c r="J319" s="64">
        <f t="shared" si="164"/>
        <v>9394.2800000000007</v>
      </c>
      <c r="K319" s="64">
        <f t="shared" si="164"/>
        <v>26310.799999999999</v>
      </c>
      <c r="L319" s="65">
        <f t="shared" si="164"/>
        <v>4827.78</v>
      </c>
      <c r="M319" s="65">
        <f t="shared" si="164"/>
        <v>3400</v>
      </c>
      <c r="N319" s="66">
        <f t="shared" si="163"/>
        <v>20173.87</v>
      </c>
      <c r="O319" s="66">
        <f t="shared" si="163"/>
        <v>29710.799999999999</v>
      </c>
      <c r="P319" s="69">
        <f t="shared" si="143"/>
        <v>6724.623333333333</v>
      </c>
      <c r="Q319" s="69">
        <f t="shared" si="143"/>
        <v>9903.6</v>
      </c>
      <c r="R319" s="5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140"/>
      <c r="AB319" s="66">
        <f t="shared" ref="AB319:AJ319" si="165">ROUND(SUM(AB308:AB318),5)</f>
        <v>0</v>
      </c>
      <c r="AC319" s="66">
        <f t="shared" si="165"/>
        <v>0</v>
      </c>
      <c r="AD319" s="66">
        <f t="shared" si="165"/>
        <v>0</v>
      </c>
      <c r="AE319" s="66">
        <f t="shared" si="165"/>
        <v>0</v>
      </c>
      <c r="AF319" s="66">
        <f t="shared" si="165"/>
        <v>0</v>
      </c>
      <c r="AG319" s="66">
        <f t="shared" si="165"/>
        <v>0</v>
      </c>
      <c r="AH319" s="66">
        <f t="shared" si="165"/>
        <v>0</v>
      </c>
      <c r="AI319" s="66">
        <f t="shared" si="165"/>
        <v>0</v>
      </c>
      <c r="AJ319" s="66">
        <f t="shared" si="165"/>
        <v>0</v>
      </c>
      <c r="AK319" s="66">
        <f t="shared" ref="AK319" si="166">ROUND(SUM(AK308:AK318),5)</f>
        <v>0</v>
      </c>
    </row>
    <row r="320" spans="1:37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54"/>
      <c r="S320" s="49"/>
      <c r="T320" s="49"/>
      <c r="U320" s="49"/>
      <c r="V320" s="49"/>
      <c r="W320" s="49"/>
      <c r="X320" s="49" t="s">
        <v>319</v>
      </c>
      <c r="Y320" s="49"/>
      <c r="Z320" s="66"/>
      <c r="AA320" s="140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</row>
    <row r="321" spans="1:39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167">ROUND(H321+J321+L321,5)</f>
        <v>17798.97</v>
      </c>
      <c r="O321" s="66">
        <f t="shared" si="167"/>
        <v>26035.49</v>
      </c>
      <c r="P321" s="69">
        <f t="shared" si="143"/>
        <v>5932.9900000000007</v>
      </c>
      <c r="Q321" s="69">
        <f t="shared" si="143"/>
        <v>8678.4966666666678</v>
      </c>
      <c r="R321" s="5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140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</row>
    <row r="322" spans="1:39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167"/>
        <v>3570.09</v>
      </c>
      <c r="O322" s="66">
        <f t="shared" si="167"/>
        <v>10078.280000000001</v>
      </c>
      <c r="P322" s="69">
        <f t="shared" si="143"/>
        <v>1190.03</v>
      </c>
      <c r="Q322" s="69">
        <f t="shared" si="143"/>
        <v>3359.4266666666667</v>
      </c>
      <c r="R322" s="5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140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</row>
    <row r="323" spans="1:39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167"/>
        <v>7211.43</v>
      </c>
      <c r="O323" s="66">
        <f t="shared" si="167"/>
        <v>7893.22</v>
      </c>
      <c r="P323" s="69">
        <f t="shared" si="143"/>
        <v>2403.81</v>
      </c>
      <c r="Q323" s="69">
        <f t="shared" si="143"/>
        <v>2631.0733333333333</v>
      </c>
      <c r="R323" s="5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140"/>
      <c r="AB323" s="66"/>
      <c r="AC323" s="66"/>
      <c r="AD323" s="66"/>
      <c r="AE323" s="66"/>
      <c r="AF323" s="66"/>
      <c r="AG323" s="66"/>
      <c r="AH323" s="66"/>
      <c r="AI323" s="66"/>
      <c r="AJ323" s="66"/>
      <c r="AK323" s="66"/>
    </row>
    <row r="324" spans="1:39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167"/>
        <v>1219.69</v>
      </c>
      <c r="O324" s="66">
        <f t="shared" si="167"/>
        <v>1271.28</v>
      </c>
      <c r="P324" s="69">
        <f t="shared" ref="P324:Q387" si="168">N324/3</f>
        <v>406.56333333333333</v>
      </c>
      <c r="Q324" s="69">
        <f t="shared" si="168"/>
        <v>423.76</v>
      </c>
      <c r="R324" s="5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140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</row>
    <row r="325" spans="1:39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167"/>
        <v>20508.62</v>
      </c>
      <c r="O325" s="66">
        <f t="shared" si="167"/>
        <v>19153.73</v>
      </c>
      <c r="P325" s="69">
        <f t="shared" si="168"/>
        <v>6836.206666666666</v>
      </c>
      <c r="Q325" s="69">
        <f t="shared" si="168"/>
        <v>6384.5766666666668</v>
      </c>
      <c r="R325" s="5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140"/>
      <c r="AB325" s="66"/>
      <c r="AC325" s="66"/>
      <c r="AD325" s="66"/>
      <c r="AE325" s="66"/>
      <c r="AF325" s="66"/>
      <c r="AG325" s="66"/>
      <c r="AH325" s="66"/>
      <c r="AI325" s="66"/>
      <c r="AJ325" s="66"/>
      <c r="AK325" s="66"/>
    </row>
    <row r="326" spans="1:39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167"/>
        <v>2276.86</v>
      </c>
      <c r="O326" s="66">
        <f t="shared" si="167"/>
        <v>0</v>
      </c>
      <c r="P326" s="69">
        <f t="shared" si="168"/>
        <v>758.95333333333338</v>
      </c>
      <c r="Q326" s="69">
        <f t="shared" si="168"/>
        <v>0</v>
      </c>
      <c r="R326" s="5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140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</row>
    <row r="327" spans="1:39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5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140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</row>
    <row r="328" spans="1:39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169">ROUND(SUM(H320:H326),5)</f>
        <v>14703.25</v>
      </c>
      <c r="I328" s="63">
        <f t="shared" si="169"/>
        <v>0</v>
      </c>
      <c r="J328" s="64">
        <f t="shared" si="169"/>
        <v>19844.400000000001</v>
      </c>
      <c r="K328" s="64">
        <f t="shared" si="169"/>
        <v>9669.84</v>
      </c>
      <c r="L328" s="65">
        <f t="shared" si="169"/>
        <v>18038.009999999998</v>
      </c>
      <c r="M328" s="65">
        <f t="shared" si="169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168"/>
        <v>17528.553333333333</v>
      </c>
      <c r="Q328" s="69">
        <f t="shared" si="168"/>
        <v>21477.333333333332</v>
      </c>
      <c r="R328" s="5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140"/>
      <c r="AB328" s="66">
        <f t="shared" ref="AB328:AJ328" si="170">ROUND(SUM(AB320:AB327),5)</f>
        <v>0</v>
      </c>
      <c r="AC328" s="66">
        <f t="shared" si="170"/>
        <v>0</v>
      </c>
      <c r="AD328" s="66">
        <f t="shared" si="170"/>
        <v>0</v>
      </c>
      <c r="AE328" s="66">
        <f t="shared" si="170"/>
        <v>0</v>
      </c>
      <c r="AF328" s="66">
        <f t="shared" si="170"/>
        <v>0</v>
      </c>
      <c r="AG328" s="66">
        <f t="shared" si="170"/>
        <v>0</v>
      </c>
      <c r="AH328" s="66">
        <f t="shared" si="170"/>
        <v>0</v>
      </c>
      <c r="AI328" s="66">
        <f t="shared" si="170"/>
        <v>0</v>
      </c>
      <c r="AJ328" s="66">
        <f t="shared" si="170"/>
        <v>0</v>
      </c>
      <c r="AK328" s="66">
        <f t="shared" ref="AK328" si="171">ROUND(SUM(AK320:AK327),5)</f>
        <v>0</v>
      </c>
    </row>
    <row r="329" spans="1:39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54"/>
      <c r="S329" s="49"/>
      <c r="T329" s="49"/>
      <c r="U329" s="49"/>
      <c r="V329" s="49"/>
      <c r="W329" s="49"/>
      <c r="X329" s="49" t="s">
        <v>327</v>
      </c>
      <c r="Y329" s="49"/>
      <c r="Z329" s="66"/>
      <c r="AA329" s="140"/>
      <c r="AB329" s="66"/>
      <c r="AC329" s="66"/>
      <c r="AD329" s="66"/>
      <c r="AE329" s="66"/>
      <c r="AF329" s="66"/>
      <c r="AG329" s="66"/>
      <c r="AH329" s="66"/>
      <c r="AI329" s="66"/>
      <c r="AJ329" s="66"/>
      <c r="AK329" s="66"/>
    </row>
    <row r="330" spans="1:39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172">ROUND(H330+J330+L330,5)</f>
        <v>291196.26</v>
      </c>
      <c r="O330" s="73">
        <f t="shared" si="172"/>
        <v>74045.47</v>
      </c>
      <c r="P330" s="74">
        <f t="shared" si="168"/>
        <v>97065.42</v>
      </c>
      <c r="Q330" s="74">
        <f t="shared" si="168"/>
        <v>24681.823333333334</v>
      </c>
      <c r="R330" s="5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140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</row>
    <row r="331" spans="1:39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173">ROUND(SUM(H329:H330),5)</f>
        <v>70479.55</v>
      </c>
      <c r="I331" s="63">
        <f t="shared" si="173"/>
        <v>74045.47</v>
      </c>
      <c r="J331" s="64">
        <f t="shared" si="173"/>
        <v>78550</v>
      </c>
      <c r="K331" s="64">
        <f t="shared" si="173"/>
        <v>0</v>
      </c>
      <c r="L331" s="65">
        <f t="shared" si="173"/>
        <v>142166.71</v>
      </c>
      <c r="M331" s="65">
        <f t="shared" si="173"/>
        <v>0</v>
      </c>
      <c r="N331" s="66">
        <f t="shared" si="172"/>
        <v>291196.26</v>
      </c>
      <c r="O331" s="66">
        <f t="shared" si="172"/>
        <v>74045.47</v>
      </c>
      <c r="P331" s="69">
        <f t="shared" si="168"/>
        <v>97065.42</v>
      </c>
      <c r="Q331" s="69">
        <f t="shared" si="168"/>
        <v>24681.823333333334</v>
      </c>
      <c r="R331" s="5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J331" si="174">ROUND(SUM(Z329:Z330),5)</f>
        <v>0</v>
      </c>
      <c r="AA331" s="140"/>
      <c r="AB331" s="66">
        <f t="shared" si="174"/>
        <v>0</v>
      </c>
      <c r="AC331" s="66">
        <f t="shared" si="174"/>
        <v>0</v>
      </c>
      <c r="AD331" s="66">
        <f t="shared" si="174"/>
        <v>0</v>
      </c>
      <c r="AE331" s="66">
        <f t="shared" si="174"/>
        <v>0</v>
      </c>
      <c r="AF331" s="66">
        <f t="shared" si="174"/>
        <v>0</v>
      </c>
      <c r="AG331" s="66">
        <f t="shared" si="174"/>
        <v>0</v>
      </c>
      <c r="AH331" s="66">
        <f t="shared" si="174"/>
        <v>0</v>
      </c>
      <c r="AI331" s="66">
        <f t="shared" si="174"/>
        <v>0</v>
      </c>
      <c r="AJ331" s="66">
        <f t="shared" si="174"/>
        <v>0</v>
      </c>
      <c r="AK331" s="66">
        <f t="shared" ref="AK331" si="175">ROUND(SUM(AK329:AK330),5)</f>
        <v>0</v>
      </c>
    </row>
    <row r="332" spans="1:39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172"/>
        <v>0</v>
      </c>
      <c r="O332" s="73">
        <f t="shared" si="172"/>
        <v>61404.95</v>
      </c>
      <c r="P332" s="74">
        <f t="shared" si="168"/>
        <v>0</v>
      </c>
      <c r="Q332" s="74">
        <f t="shared" si="168"/>
        <v>20468.316666666666</v>
      </c>
      <c r="R332" s="5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14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  <c r="AH332" s="73">
        <v>0</v>
      </c>
      <c r="AI332" s="73">
        <v>0</v>
      </c>
      <c r="AJ332" s="73">
        <v>0</v>
      </c>
      <c r="AK332" s="73">
        <v>0</v>
      </c>
    </row>
    <row r="333" spans="1:39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76">ROUND(SUM(H227:H228)+H234+H257+H263+H280+H288+H301+H307+H319+H328+SUM(H331:H332),5)</f>
        <v>188585.61</v>
      </c>
      <c r="I333" s="63">
        <f t="shared" si="176"/>
        <v>138009</v>
      </c>
      <c r="J333" s="64">
        <f t="shared" si="176"/>
        <v>203924.74</v>
      </c>
      <c r="K333" s="64">
        <f t="shared" si="176"/>
        <v>194923.04</v>
      </c>
      <c r="L333" s="65">
        <f t="shared" si="176"/>
        <v>249596.1</v>
      </c>
      <c r="M333" s="65">
        <f t="shared" si="176"/>
        <v>148293.14000000001</v>
      </c>
      <c r="N333" s="66">
        <f t="shared" si="172"/>
        <v>642106.44999999995</v>
      </c>
      <c r="O333" s="66">
        <f t="shared" si="172"/>
        <v>481225.18</v>
      </c>
      <c r="P333" s="69">
        <f t="shared" si="168"/>
        <v>214035.48333333331</v>
      </c>
      <c r="Q333" s="69">
        <f t="shared" si="168"/>
        <v>160408.39333333334</v>
      </c>
      <c r="R333" s="5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140"/>
      <c r="AB333" s="80">
        <f t="shared" ref="AB333:AF333" si="177">ROUND(SUM(AB227:AB228)+AB234+AB257+AB263+AB280+AB288+AB301+AB307+AB319+AB328+SUM(AB331:AB332),5)</f>
        <v>227894.31142000001</v>
      </c>
      <c r="AC333" s="80">
        <f t="shared" si="177"/>
        <v>227894.31142000001</v>
      </c>
      <c r="AD333" s="80">
        <f t="shared" si="177"/>
        <v>243375.95202</v>
      </c>
      <c r="AE333" s="80">
        <f t="shared" si="177"/>
        <v>205210.84</v>
      </c>
      <c r="AF333" s="80">
        <f t="shared" si="177"/>
        <v>205210.84</v>
      </c>
      <c r="AG333" s="80">
        <f>ROUND(SUM(AG227:AG228)+AG234+AG257+AG263+AG280+AG288+AG301+AG307+AG319+AG328+SUM(AG331:AG332),0)</f>
        <v>205211</v>
      </c>
      <c r="AH333" s="80">
        <f>ROUND(SUM(AH227:AH228)+AH234+AH257+AH263+AH280+AH288+AH301+AH307+AH319+AH328+SUM(AH331:AH332),0)</f>
        <v>205211</v>
      </c>
      <c r="AI333" s="80">
        <f>ROUND(SUM(AI227:AI228)+AI234+AI257+AI263+AI280+AI288+AI301+AI307+AI319+AI328+SUM(AI331:AI332),0)</f>
        <v>205211</v>
      </c>
      <c r="AJ333" s="80">
        <f>ROUND(SUM(AJ227:AJ228)+AJ234+AJ257+AJ263+AJ280+AJ288+AJ301+AJ307+AJ319+AJ328+SUM(AJ331:AJ332),0)</f>
        <v>205211</v>
      </c>
      <c r="AK333" s="266">
        <f>ROUND(SUM(AK227:AK228)+AK234+AK257+AK263+AK280+AK288+AK301+AK307+AK319+AK328+SUM(AK331:AK332),0)</f>
        <v>205211</v>
      </c>
      <c r="AM333" s="221" t="s">
        <v>987</v>
      </c>
    </row>
    <row r="334" spans="1:39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54"/>
      <c r="S334" s="49"/>
      <c r="T334" s="49"/>
      <c r="U334" s="49"/>
      <c r="V334" s="49"/>
      <c r="W334" s="49" t="s">
        <v>332</v>
      </c>
      <c r="X334" s="49"/>
      <c r="Y334" s="49"/>
      <c r="Z334" s="66"/>
      <c r="AA334" s="140"/>
      <c r="AB334" s="66"/>
      <c r="AC334" s="66"/>
      <c r="AD334" s="66"/>
      <c r="AE334" s="66"/>
      <c r="AF334" s="66"/>
      <c r="AG334" s="66"/>
      <c r="AH334" s="66"/>
      <c r="AI334" s="66"/>
      <c r="AJ334" s="66"/>
      <c r="AK334" s="66"/>
      <c r="AL334" s="195"/>
      <c r="AM334" s="185"/>
    </row>
    <row r="335" spans="1:39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54"/>
      <c r="S335" s="49"/>
      <c r="T335" s="49"/>
      <c r="U335" s="49"/>
      <c r="V335" s="49"/>
      <c r="W335" s="49"/>
      <c r="X335" s="49" t="s">
        <v>333</v>
      </c>
      <c r="Y335" s="49"/>
      <c r="Z335" s="66"/>
      <c r="AA335" s="140"/>
      <c r="AB335" s="66"/>
      <c r="AC335" s="66"/>
      <c r="AD335" s="66"/>
      <c r="AE335" s="66"/>
      <c r="AF335" s="66"/>
      <c r="AG335" s="66"/>
      <c r="AH335" s="66"/>
      <c r="AI335" s="66"/>
      <c r="AJ335" s="66"/>
      <c r="AK335" s="66"/>
      <c r="AL335" s="195"/>
      <c r="AM335" s="185"/>
    </row>
    <row r="336" spans="1:39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178">ROUND(H336+J336+L336,5)</f>
        <v>21365</v>
      </c>
      <c r="O336" s="66">
        <v>0</v>
      </c>
      <c r="P336" s="69">
        <f t="shared" si="168"/>
        <v>7121.666666666667</v>
      </c>
      <c r="Q336" s="69">
        <f t="shared" si="168"/>
        <v>0</v>
      </c>
      <c r="R336" s="5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14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  <c r="AH336" s="66">
        <v>0</v>
      </c>
      <c r="AI336" s="66">
        <v>0</v>
      </c>
      <c r="AJ336" s="66">
        <v>0</v>
      </c>
      <c r="AK336" s="66">
        <v>0</v>
      </c>
    </row>
    <row r="337" spans="1:39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78"/>
        <v>97979.59</v>
      </c>
      <c r="O337" s="66">
        <f>ROUND(I337+K337+M337,5)</f>
        <v>40000</v>
      </c>
      <c r="P337" s="69">
        <f t="shared" si="168"/>
        <v>32659.863333333331</v>
      </c>
      <c r="Q337" s="69">
        <f t="shared" si="168"/>
        <v>13333.333333333334</v>
      </c>
      <c r="R337" s="5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14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</v>
      </c>
      <c r="AI337" s="66">
        <v>0</v>
      </c>
      <c r="AJ337" s="66">
        <v>0</v>
      </c>
      <c r="AK337" s="66">
        <v>0</v>
      </c>
      <c r="AM337" s="174"/>
    </row>
    <row r="338" spans="1:39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78"/>
        <v>22480.97</v>
      </c>
      <c r="O338" s="66">
        <v>0</v>
      </c>
      <c r="P338" s="69">
        <f t="shared" si="168"/>
        <v>7493.6566666666668</v>
      </c>
      <c r="Q338" s="69">
        <f t="shared" si="168"/>
        <v>0</v>
      </c>
      <c r="R338" s="5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14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125000</v>
      </c>
      <c r="AI338" s="66">
        <v>125000</v>
      </c>
      <c r="AJ338" s="66">
        <v>62500</v>
      </c>
      <c r="AK338" s="66">
        <v>62500</v>
      </c>
      <c r="AM338" s="221" t="s">
        <v>1007</v>
      </c>
    </row>
    <row r="339" spans="1:39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78"/>
        <v>680</v>
      </c>
      <c r="O339" s="66">
        <f>ROUND(I339+K339+M339,5)</f>
        <v>0</v>
      </c>
      <c r="P339" s="69">
        <f t="shared" si="168"/>
        <v>226.66666666666666</v>
      </c>
      <c r="Q339" s="69">
        <f t="shared" si="168"/>
        <v>0</v>
      </c>
      <c r="R339" s="5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14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  <c r="AG339" s="168">
        <v>50000</v>
      </c>
      <c r="AH339" s="66">
        <v>50000</v>
      </c>
      <c r="AI339" s="66">
        <v>50000</v>
      </c>
      <c r="AJ339" s="66">
        <v>50000</v>
      </c>
      <c r="AK339" s="66">
        <v>50000</v>
      </c>
    </row>
    <row r="340" spans="1:39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5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14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  <c r="AG340" s="168">
        <v>50000</v>
      </c>
      <c r="AH340" s="66">
        <v>50000</v>
      </c>
      <c r="AI340" s="66">
        <v>50000</v>
      </c>
      <c r="AJ340" s="66">
        <v>50000</v>
      </c>
      <c r="AK340" s="66">
        <v>50000</v>
      </c>
    </row>
    <row r="341" spans="1:39" ht="16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78"/>
        <v>6830</v>
      </c>
      <c r="O341" s="73">
        <f>ROUND(I341+K341+M341,5)</f>
        <v>26000</v>
      </c>
      <c r="P341" s="74">
        <f t="shared" si="168"/>
        <v>2276.6666666666665</v>
      </c>
      <c r="Q341" s="74">
        <f t="shared" si="168"/>
        <v>8666.6666666666661</v>
      </c>
      <c r="R341" s="5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140"/>
      <c r="AB341" s="73">
        <v>0</v>
      </c>
      <c r="AC341" s="73">
        <v>0</v>
      </c>
      <c r="AD341" s="73">
        <v>0</v>
      </c>
      <c r="AE341" s="73">
        <v>0</v>
      </c>
      <c r="AF341" s="73">
        <v>0</v>
      </c>
      <c r="AG341" s="66">
        <v>33125</v>
      </c>
      <c r="AH341" s="73">
        <v>33125</v>
      </c>
      <c r="AI341" s="73">
        <v>33125</v>
      </c>
      <c r="AJ341" s="73">
        <v>33125</v>
      </c>
      <c r="AK341" s="73">
        <v>33125</v>
      </c>
      <c r="AM341" s="221" t="s">
        <v>962</v>
      </c>
    </row>
    <row r="342" spans="1:39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79">ROUND(SUM(H335:H341),5)</f>
        <v>19670</v>
      </c>
      <c r="I342" s="63">
        <f t="shared" si="179"/>
        <v>0</v>
      </c>
      <c r="J342" s="64">
        <f t="shared" si="179"/>
        <v>94715.56</v>
      </c>
      <c r="K342" s="64">
        <f t="shared" si="179"/>
        <v>26000</v>
      </c>
      <c r="L342" s="65">
        <f t="shared" si="179"/>
        <v>34950</v>
      </c>
      <c r="M342" s="65">
        <f t="shared" si="179"/>
        <v>40000</v>
      </c>
      <c r="N342" s="66">
        <f t="shared" si="178"/>
        <v>149335.56</v>
      </c>
      <c r="O342" s="66">
        <f>ROUND(I342+K342+M342,5)</f>
        <v>66000</v>
      </c>
      <c r="P342" s="69">
        <f t="shared" si="168"/>
        <v>49778.52</v>
      </c>
      <c r="Q342" s="69">
        <f t="shared" si="168"/>
        <v>22000</v>
      </c>
      <c r="R342" s="5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140"/>
      <c r="AB342" s="80">
        <f t="shared" ref="AB342:AJ342" si="180">ROUND(SUM(AB335:AB341),5)</f>
        <v>100000</v>
      </c>
      <c r="AC342" s="80">
        <f t="shared" si="180"/>
        <v>100000</v>
      </c>
      <c r="AD342" s="80">
        <f t="shared" si="180"/>
        <v>100000</v>
      </c>
      <c r="AE342" s="80">
        <f t="shared" si="180"/>
        <v>100000</v>
      </c>
      <c r="AF342" s="80">
        <f t="shared" si="180"/>
        <v>100000</v>
      </c>
      <c r="AG342" s="80">
        <f t="shared" si="180"/>
        <v>133125</v>
      </c>
      <c r="AH342" s="80">
        <f t="shared" si="180"/>
        <v>258125</v>
      </c>
      <c r="AI342" s="80">
        <f t="shared" si="180"/>
        <v>258125</v>
      </c>
      <c r="AJ342" s="80">
        <f t="shared" si="180"/>
        <v>195625</v>
      </c>
      <c r="AK342" s="266">
        <f t="shared" ref="AK342" si="181">ROUND(SUM(AK335:AK341),5)</f>
        <v>195625</v>
      </c>
    </row>
    <row r="343" spans="1:39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78"/>
        <v>110000</v>
      </c>
      <c r="O343" s="66">
        <f>ROUND(I343+K343+M343,5)</f>
        <v>135000</v>
      </c>
      <c r="P343" s="69">
        <f t="shared" si="168"/>
        <v>36666.666666666664</v>
      </c>
      <c r="Q343" s="69">
        <f t="shared" si="168"/>
        <v>45000</v>
      </c>
      <c r="R343" s="5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14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  <c r="AG343" s="66">
        <v>35000</v>
      </c>
      <c r="AH343" s="66">
        <v>35000</v>
      </c>
      <c r="AI343" s="66">
        <v>35000</v>
      </c>
      <c r="AJ343" s="66">
        <v>35000</v>
      </c>
      <c r="AK343" s="66">
        <v>35000</v>
      </c>
    </row>
    <row r="344" spans="1:39" x14ac:dyDescent="0.35">
      <c r="A344" s="66"/>
      <c r="B344" s="66"/>
      <c r="C344" s="49"/>
      <c r="D344" s="49"/>
      <c r="E344" s="49"/>
      <c r="F344" s="49" t="s">
        <v>990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78"/>
        <v>2807</v>
      </c>
      <c r="O344" s="66">
        <f>ROUND(I344+K344+M344,5)</f>
        <v>71745</v>
      </c>
      <c r="P344" s="69">
        <f t="shared" si="168"/>
        <v>935.66666666666663</v>
      </c>
      <c r="Q344" s="69">
        <f t="shared" si="168"/>
        <v>23915</v>
      </c>
      <c r="R344" s="54"/>
      <c r="S344" s="49"/>
      <c r="T344" s="49"/>
      <c r="U344" s="49"/>
      <c r="V344" s="49"/>
      <c r="W344" s="49"/>
      <c r="X344" s="49" t="s">
        <v>990</v>
      </c>
      <c r="Y344" s="49"/>
      <c r="Z344" s="66">
        <v>0</v>
      </c>
      <c r="AA344" s="140"/>
      <c r="AB344" s="168">
        <v>0</v>
      </c>
      <c r="AC344" s="168">
        <v>0</v>
      </c>
      <c r="AD344" s="168">
        <v>0</v>
      </c>
      <c r="AE344" s="168">
        <v>0</v>
      </c>
      <c r="AF344" s="168">
        <v>10000</v>
      </c>
      <c r="AG344" s="66">
        <v>10000</v>
      </c>
      <c r="AH344" s="66">
        <v>10000</v>
      </c>
      <c r="AI344" s="66">
        <v>10000</v>
      </c>
      <c r="AJ344" s="66">
        <v>10000</v>
      </c>
      <c r="AK344" s="66">
        <v>10000</v>
      </c>
      <c r="AM344" s="225" t="s">
        <v>955</v>
      </c>
    </row>
    <row r="345" spans="1:39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78"/>
        <v>600</v>
      </c>
      <c r="O345" s="66">
        <v>0</v>
      </c>
      <c r="P345" s="69">
        <f t="shared" si="168"/>
        <v>200</v>
      </c>
      <c r="Q345" s="69">
        <f t="shared" si="168"/>
        <v>0</v>
      </c>
      <c r="R345" s="5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14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0</v>
      </c>
      <c r="AI345" s="66">
        <v>0</v>
      </c>
      <c r="AJ345" s="66">
        <v>0</v>
      </c>
      <c r="AK345" s="66">
        <v>0</v>
      </c>
    </row>
    <row r="346" spans="1:39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78"/>
        <v>4601.16</v>
      </c>
      <c r="O346" s="66">
        <f t="shared" si="178"/>
        <v>5000</v>
      </c>
      <c r="P346" s="69">
        <f t="shared" si="168"/>
        <v>1533.72</v>
      </c>
      <c r="Q346" s="69">
        <f t="shared" si="168"/>
        <v>1666.6666666666667</v>
      </c>
      <c r="R346" s="5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14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  <c r="AG346" s="66">
        <v>1500</v>
      </c>
      <c r="AH346" s="66">
        <v>1500</v>
      </c>
      <c r="AI346" s="66">
        <v>1500</v>
      </c>
      <c r="AJ346" s="66">
        <v>1500</v>
      </c>
      <c r="AK346" s="66">
        <v>1500</v>
      </c>
    </row>
    <row r="347" spans="1:39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78"/>
        <v>0</v>
      </c>
      <c r="O347" s="66">
        <f t="shared" si="178"/>
        <v>0</v>
      </c>
      <c r="P347" s="69">
        <f t="shared" si="168"/>
        <v>0</v>
      </c>
      <c r="Q347" s="69">
        <f t="shared" si="168"/>
        <v>0</v>
      </c>
      <c r="R347" s="5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14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  <c r="AH347" s="66">
        <v>0</v>
      </c>
      <c r="AI347" s="66">
        <v>0</v>
      </c>
      <c r="AJ347" s="66">
        <v>0</v>
      </c>
      <c r="AK347" s="66">
        <v>0</v>
      </c>
    </row>
    <row r="348" spans="1:39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78"/>
        <v>55866.65</v>
      </c>
      <c r="O348" s="66">
        <f t="shared" si="178"/>
        <v>39369.230000000003</v>
      </c>
      <c r="P348" s="69">
        <f t="shared" si="168"/>
        <v>18622.216666666667</v>
      </c>
      <c r="Q348" s="69">
        <f t="shared" si="168"/>
        <v>13123.076666666668</v>
      </c>
      <c r="R348" s="5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14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  <c r="AG348" s="66">
        <v>19164</v>
      </c>
      <c r="AH348" s="66">
        <v>19164</v>
      </c>
      <c r="AI348" s="66">
        <v>19164</v>
      </c>
      <c r="AJ348" s="66">
        <v>19164</v>
      </c>
      <c r="AK348" s="66">
        <v>19164</v>
      </c>
    </row>
    <row r="349" spans="1:39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78"/>
        <v>12578.7</v>
      </c>
      <c r="O349" s="66">
        <f t="shared" si="178"/>
        <v>11353.85</v>
      </c>
      <c r="P349" s="69">
        <f t="shared" si="168"/>
        <v>4192.9000000000005</v>
      </c>
      <c r="Q349" s="69">
        <f t="shared" si="168"/>
        <v>3784.6166666666668</v>
      </c>
      <c r="R349" s="5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  <c r="AG349" s="66">
        <v>4000</v>
      </c>
      <c r="AH349" s="66">
        <v>4000</v>
      </c>
      <c r="AI349" s="66">
        <v>4000</v>
      </c>
      <c r="AJ349" s="66">
        <v>4000</v>
      </c>
      <c r="AK349" s="66">
        <v>4000</v>
      </c>
    </row>
    <row r="350" spans="1:39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78"/>
        <v>43549.17</v>
      </c>
      <c r="O350" s="66">
        <f t="shared" si="178"/>
        <v>35000</v>
      </c>
      <c r="P350" s="69">
        <f t="shared" si="168"/>
        <v>14516.39</v>
      </c>
      <c r="Q350" s="69">
        <f t="shared" si="168"/>
        <v>11666.666666666666</v>
      </c>
      <c r="R350" s="5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14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G350" s="66">
        <f>ROUND(12117.4*1.5, 0)</f>
        <v>18176</v>
      </c>
      <c r="AH350" s="66">
        <f>ROUND(12117.4*1.5, 0)</f>
        <v>18176</v>
      </c>
      <c r="AI350" s="66">
        <f>ROUND(12117.4*1.5, 0)</f>
        <v>18176</v>
      </c>
      <c r="AJ350" s="66">
        <f>ROUND(12117.4*1.5, 0)</f>
        <v>18176</v>
      </c>
      <c r="AK350" s="66">
        <f>ROUND(12117.4*1.5, 0)</f>
        <v>18176</v>
      </c>
      <c r="AL350" s="182"/>
    </row>
    <row r="351" spans="1:39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78"/>
        <v>7760.69</v>
      </c>
      <c r="O351" s="66">
        <f t="shared" si="178"/>
        <v>20000</v>
      </c>
      <c r="P351" s="69">
        <f t="shared" si="168"/>
        <v>2586.8966666666665</v>
      </c>
      <c r="Q351" s="69">
        <f t="shared" si="168"/>
        <v>6666.666666666667</v>
      </c>
      <c r="R351" s="5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14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66">
        <v>0</v>
      </c>
      <c r="AI351" s="66">
        <v>0</v>
      </c>
      <c r="AJ351" s="66">
        <v>0</v>
      </c>
      <c r="AK351" s="66">
        <v>0</v>
      </c>
      <c r="AL351" s="190"/>
    </row>
    <row r="352" spans="1:39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78"/>
        <v>44149.02</v>
      </c>
      <c r="O352" s="66">
        <f t="shared" si="178"/>
        <v>34250.04</v>
      </c>
      <c r="P352" s="69">
        <f t="shared" si="168"/>
        <v>14716.339999999998</v>
      </c>
      <c r="Q352" s="69">
        <f t="shared" si="168"/>
        <v>11416.68</v>
      </c>
      <c r="R352" s="5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14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  <c r="AG352" s="66">
        <v>20000</v>
      </c>
      <c r="AH352" s="66">
        <v>20000</v>
      </c>
      <c r="AI352" s="66">
        <v>20000</v>
      </c>
      <c r="AJ352" s="66">
        <v>20000</v>
      </c>
      <c r="AK352" s="66">
        <v>20000</v>
      </c>
    </row>
    <row r="353" spans="1:38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78"/>
        <v>1956.11</v>
      </c>
      <c r="O353" s="66">
        <f t="shared" si="178"/>
        <v>22500</v>
      </c>
      <c r="P353" s="69">
        <f t="shared" si="168"/>
        <v>652.03666666666663</v>
      </c>
      <c r="Q353" s="69">
        <f t="shared" si="168"/>
        <v>7500</v>
      </c>
      <c r="R353" s="5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14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6">
        <v>0</v>
      </c>
      <c r="AI353" s="66">
        <v>0</v>
      </c>
      <c r="AJ353" s="66">
        <v>0</v>
      </c>
      <c r="AK353" s="66">
        <v>0</v>
      </c>
    </row>
    <row r="354" spans="1:38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78"/>
        <v>34446</v>
      </c>
      <c r="O354" s="66">
        <f t="shared" si="178"/>
        <v>20748</v>
      </c>
      <c r="P354" s="69">
        <f t="shared" si="168"/>
        <v>11482</v>
      </c>
      <c r="Q354" s="69">
        <f t="shared" si="168"/>
        <v>6916</v>
      </c>
      <c r="R354" s="5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14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>
        <v>0</v>
      </c>
      <c r="AI354" s="66">
        <v>0</v>
      </c>
      <c r="AJ354" s="66">
        <v>0</v>
      </c>
      <c r="AK354" s="66">
        <v>0</v>
      </c>
    </row>
    <row r="355" spans="1:38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78"/>
        <v>2154.44</v>
      </c>
      <c r="O355" s="66">
        <f t="shared" si="178"/>
        <v>3605</v>
      </c>
      <c r="P355" s="69">
        <f t="shared" si="168"/>
        <v>718.14666666666665</v>
      </c>
      <c r="Q355" s="69">
        <f t="shared" si="168"/>
        <v>1201.6666666666667</v>
      </c>
      <c r="R355" s="5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14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>
        <v>0</v>
      </c>
      <c r="AI355" s="66">
        <v>0</v>
      </c>
      <c r="AJ355" s="66">
        <v>0</v>
      </c>
      <c r="AK355" s="66">
        <v>0</v>
      </c>
    </row>
    <row r="356" spans="1:38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78"/>
        <v>20339.71</v>
      </c>
      <c r="O356" s="66">
        <f t="shared" si="178"/>
        <v>13000</v>
      </c>
      <c r="P356" s="69">
        <f t="shared" si="168"/>
        <v>6779.9033333333327</v>
      </c>
      <c r="Q356" s="69">
        <f t="shared" si="168"/>
        <v>4333.333333333333</v>
      </c>
      <c r="R356" s="5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14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  <c r="AG356" s="66">
        <v>9000</v>
      </c>
      <c r="AH356" s="66">
        <v>9000</v>
      </c>
      <c r="AI356" s="66">
        <v>9000</v>
      </c>
      <c r="AJ356" s="66">
        <v>9000</v>
      </c>
      <c r="AK356" s="66">
        <v>9000</v>
      </c>
    </row>
    <row r="357" spans="1:38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78"/>
        <v>500</v>
      </c>
      <c r="O357" s="66">
        <f t="shared" si="178"/>
        <v>0</v>
      </c>
      <c r="P357" s="69">
        <f t="shared" si="168"/>
        <v>166.66666666666666</v>
      </c>
      <c r="Q357" s="69">
        <f t="shared" si="168"/>
        <v>0</v>
      </c>
      <c r="R357" s="5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14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  <c r="AH357" s="66">
        <v>0</v>
      </c>
      <c r="AI357" s="66">
        <v>0</v>
      </c>
      <c r="AJ357" s="66">
        <v>0</v>
      </c>
      <c r="AK357" s="66">
        <v>0</v>
      </c>
    </row>
    <row r="358" spans="1:38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54"/>
      <c r="S358" s="49"/>
      <c r="T358" s="49"/>
      <c r="U358" s="49"/>
      <c r="V358" s="49"/>
      <c r="W358" s="49"/>
      <c r="X358" s="49" t="s">
        <v>355</v>
      </c>
      <c r="Y358" s="49"/>
      <c r="Z358" s="66"/>
      <c r="AA358" s="140"/>
      <c r="AB358" s="66"/>
      <c r="AC358" s="66"/>
      <c r="AD358" s="66"/>
      <c r="AE358" s="66"/>
      <c r="AF358" s="66"/>
      <c r="AG358" s="66"/>
      <c r="AH358" s="66"/>
      <c r="AI358" s="66"/>
      <c r="AJ358" s="66"/>
      <c r="AK358" s="66"/>
    </row>
    <row r="359" spans="1:38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82">ROUND(H359+J359+L359,5)</f>
        <v>84190</v>
      </c>
      <c r="O359" s="66">
        <f t="shared" si="182"/>
        <v>49784.88</v>
      </c>
      <c r="P359" s="69">
        <f t="shared" si="168"/>
        <v>28063.333333333332</v>
      </c>
      <c r="Q359" s="69">
        <f t="shared" si="168"/>
        <v>16594.96</v>
      </c>
      <c r="R359" s="5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14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  <c r="AG359" s="66">
        <v>0</v>
      </c>
      <c r="AH359" s="66">
        <v>0</v>
      </c>
      <c r="AI359" s="66">
        <v>0</v>
      </c>
      <c r="AJ359" s="66">
        <v>0</v>
      </c>
      <c r="AK359" s="66">
        <v>0</v>
      </c>
    </row>
    <row r="360" spans="1:38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82"/>
        <v>0</v>
      </c>
      <c r="O360" s="73">
        <f t="shared" si="182"/>
        <v>15000</v>
      </c>
      <c r="P360" s="74">
        <f t="shared" si="168"/>
        <v>0</v>
      </c>
      <c r="Q360" s="74">
        <f t="shared" si="168"/>
        <v>5000</v>
      </c>
      <c r="R360" s="5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14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  <c r="AG360" s="73">
        <v>0</v>
      </c>
      <c r="AH360" s="73">
        <v>0</v>
      </c>
      <c r="AI360" s="73">
        <v>0</v>
      </c>
      <c r="AJ360" s="73">
        <v>0</v>
      </c>
      <c r="AK360" s="73">
        <v>0</v>
      </c>
    </row>
    <row r="361" spans="1:38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83">ROUND(SUM(H358:H360),5)</f>
        <v>31425</v>
      </c>
      <c r="I361" s="63">
        <f t="shared" si="183"/>
        <v>15000</v>
      </c>
      <c r="J361" s="64">
        <f t="shared" si="183"/>
        <v>27367.5</v>
      </c>
      <c r="K361" s="64">
        <f t="shared" si="183"/>
        <v>28917.38</v>
      </c>
      <c r="L361" s="65">
        <f t="shared" si="183"/>
        <v>25397.5</v>
      </c>
      <c r="M361" s="65">
        <f t="shared" si="183"/>
        <v>20867.5</v>
      </c>
      <c r="N361" s="66">
        <f t="shared" si="182"/>
        <v>84190</v>
      </c>
      <c r="O361" s="66">
        <f t="shared" si="182"/>
        <v>64784.88</v>
      </c>
      <c r="P361" s="69">
        <f t="shared" si="168"/>
        <v>28063.333333333332</v>
      </c>
      <c r="Q361" s="69">
        <f t="shared" si="168"/>
        <v>21594.959999999999</v>
      </c>
      <c r="R361" s="5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140"/>
      <c r="AB361" s="80">
        <f t="shared" ref="AB361:AJ361" si="184">ROUND(SUM(AB358:AB360),5)</f>
        <v>0</v>
      </c>
      <c r="AC361" s="80">
        <f t="shared" si="184"/>
        <v>0</v>
      </c>
      <c r="AD361" s="80">
        <f t="shared" si="184"/>
        <v>0</v>
      </c>
      <c r="AE361" s="80">
        <f t="shared" si="184"/>
        <v>0</v>
      </c>
      <c r="AF361" s="80">
        <f t="shared" si="184"/>
        <v>0</v>
      </c>
      <c r="AG361" s="80">
        <f t="shared" si="184"/>
        <v>0</v>
      </c>
      <c r="AH361" s="80">
        <f t="shared" si="184"/>
        <v>0</v>
      </c>
      <c r="AI361" s="80">
        <f t="shared" si="184"/>
        <v>0</v>
      </c>
      <c r="AJ361" s="80">
        <f t="shared" si="184"/>
        <v>0</v>
      </c>
      <c r="AK361" s="266">
        <f t="shared" ref="AK361" si="185">ROUND(SUM(AK358:AK360),5)</f>
        <v>0</v>
      </c>
    </row>
    <row r="362" spans="1:38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82"/>
        <v>0</v>
      </c>
      <c r="O362" s="66">
        <f t="shared" si="182"/>
        <v>0</v>
      </c>
      <c r="P362" s="69">
        <f t="shared" si="168"/>
        <v>0</v>
      </c>
      <c r="Q362" s="69">
        <f t="shared" si="168"/>
        <v>0</v>
      </c>
      <c r="R362" s="54"/>
      <c r="S362" s="49"/>
      <c r="T362" s="49"/>
      <c r="U362" s="49"/>
      <c r="V362" s="49"/>
      <c r="W362" s="49"/>
      <c r="X362" s="49" t="s">
        <v>359</v>
      </c>
      <c r="Y362" s="49"/>
      <c r="Z362" s="66"/>
      <c r="AA362" s="140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</row>
    <row r="363" spans="1:38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86">ROUND(H334+SUM(H342:H357)+SUM(H361:H362),5)</f>
        <v>166149.76999999999</v>
      </c>
      <c r="I363" s="83">
        <f t="shared" si="186"/>
        <v>161924.6</v>
      </c>
      <c r="J363" s="84">
        <f t="shared" si="186"/>
        <v>213318.06</v>
      </c>
      <c r="K363" s="84">
        <f t="shared" si="186"/>
        <v>155784.65</v>
      </c>
      <c r="L363" s="85">
        <f t="shared" si="186"/>
        <v>195366.38</v>
      </c>
      <c r="M363" s="85">
        <f t="shared" si="186"/>
        <v>224646.75</v>
      </c>
      <c r="N363" s="86">
        <f t="shared" si="182"/>
        <v>574834.21</v>
      </c>
      <c r="O363" s="86">
        <f t="shared" si="182"/>
        <v>542356</v>
      </c>
      <c r="P363" s="87">
        <f t="shared" si="168"/>
        <v>191611.40333333332</v>
      </c>
      <c r="Q363" s="87">
        <f t="shared" si="168"/>
        <v>180785.33333333334</v>
      </c>
      <c r="R363" s="5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140"/>
      <c r="AB363" s="88">
        <f t="shared" ref="AB363:AG363" si="187">ROUND(AB334+SUM(AB342:AB357)+SUM(AB361:AB362),5)</f>
        <v>199017.1</v>
      </c>
      <c r="AC363" s="88">
        <f t="shared" si="187"/>
        <v>199017.1</v>
      </c>
      <c r="AD363" s="88">
        <f t="shared" si="187"/>
        <v>202281.4</v>
      </c>
      <c r="AE363" s="88">
        <f t="shared" si="187"/>
        <v>200781.4</v>
      </c>
      <c r="AF363" s="88">
        <f t="shared" si="187"/>
        <v>210781.4</v>
      </c>
      <c r="AG363" s="88">
        <f t="shared" si="187"/>
        <v>249965</v>
      </c>
      <c r="AH363" s="88">
        <f t="shared" ref="AH363:AJ363" si="188">ROUND(AH334+SUM(AH342:AH357)+SUM(AH361:AH362),5)</f>
        <v>374965</v>
      </c>
      <c r="AI363" s="88">
        <f t="shared" si="188"/>
        <v>374965</v>
      </c>
      <c r="AJ363" s="88">
        <f t="shared" si="188"/>
        <v>312465</v>
      </c>
      <c r="AK363" s="266">
        <f t="shared" ref="AK363" si="189">ROUND(AK334+SUM(AK342:AK357)+SUM(AK361:AK362),5)</f>
        <v>312465</v>
      </c>
    </row>
    <row r="364" spans="1:38" ht="16" thickBot="1" x14ac:dyDescent="0.4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90">ROUND(H226+H333+H363,5)</f>
        <v>354735.38</v>
      </c>
      <c r="I364" s="63">
        <f t="shared" si="190"/>
        <v>299933.59999999998</v>
      </c>
      <c r="J364" s="64">
        <f t="shared" si="190"/>
        <v>417242.8</v>
      </c>
      <c r="K364" s="64">
        <f t="shared" si="190"/>
        <v>350707.69</v>
      </c>
      <c r="L364" s="65">
        <f t="shared" si="190"/>
        <v>444962.48</v>
      </c>
      <c r="M364" s="65">
        <f t="shared" si="190"/>
        <v>372939.89</v>
      </c>
      <c r="N364" s="66">
        <f t="shared" si="182"/>
        <v>1216940.6599999999</v>
      </c>
      <c r="O364" s="66">
        <f t="shared" si="182"/>
        <v>1023581.18</v>
      </c>
      <c r="P364" s="69">
        <f t="shared" si="168"/>
        <v>405646.88666666666</v>
      </c>
      <c r="Q364" s="69">
        <f t="shared" si="168"/>
        <v>341193.72666666668</v>
      </c>
      <c r="R364" s="5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140"/>
      <c r="AB364" s="66">
        <f t="shared" ref="AB364:AJ364" si="191">ROUND(AB226+AB333+AB363,5)</f>
        <v>426911.41142000002</v>
      </c>
      <c r="AC364" s="66">
        <f t="shared" si="191"/>
        <v>426911.41142000002</v>
      </c>
      <c r="AD364" s="66">
        <f t="shared" si="191"/>
        <v>445657.35201999999</v>
      </c>
      <c r="AE364" s="66">
        <f t="shared" si="191"/>
        <v>405992.24</v>
      </c>
      <c r="AF364" s="66">
        <f t="shared" si="191"/>
        <v>415992.24</v>
      </c>
      <c r="AG364" s="66">
        <f t="shared" si="191"/>
        <v>455176</v>
      </c>
      <c r="AH364" s="88">
        <f t="shared" si="191"/>
        <v>580176</v>
      </c>
      <c r="AI364" s="88">
        <f t="shared" si="191"/>
        <v>580176</v>
      </c>
      <c r="AJ364" s="88">
        <f t="shared" si="191"/>
        <v>517676</v>
      </c>
      <c r="AK364" s="266">
        <f t="shared" ref="AK364" si="192">ROUND(AK226+AK333+AK363,5)</f>
        <v>517676</v>
      </c>
    </row>
    <row r="365" spans="1:38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54"/>
      <c r="S365" s="49"/>
      <c r="T365" s="49"/>
      <c r="U365" s="49"/>
      <c r="V365" s="49" t="s">
        <v>362</v>
      </c>
      <c r="W365" s="49"/>
      <c r="X365" s="49"/>
      <c r="Y365" s="49"/>
      <c r="Z365" s="66"/>
      <c r="AA365" s="140"/>
      <c r="AB365" s="66"/>
      <c r="AC365" s="66"/>
      <c r="AD365" s="66"/>
      <c r="AE365" s="66"/>
      <c r="AF365" s="66"/>
      <c r="AG365" s="66"/>
      <c r="AH365" s="66"/>
      <c r="AI365" s="66"/>
      <c r="AJ365" s="66"/>
      <c r="AK365" s="66"/>
    </row>
    <row r="366" spans="1:38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93">ROUND(H366+J366+L366,5)</f>
        <v>65072</v>
      </c>
      <c r="O366" s="66">
        <f t="shared" si="193"/>
        <v>51375.6</v>
      </c>
      <c r="P366" s="69">
        <f t="shared" si="168"/>
        <v>21690.666666666668</v>
      </c>
      <c r="Q366" s="69">
        <f>O366/3</f>
        <v>17125.2</v>
      </c>
      <c r="R366" s="5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14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  <c r="AG366" s="66">
        <v>33936</v>
      </c>
      <c r="AH366" s="66">
        <v>33936</v>
      </c>
      <c r="AI366" s="66">
        <v>33936</v>
      </c>
      <c r="AJ366" s="66">
        <v>33936</v>
      </c>
      <c r="AK366" s="66">
        <v>33936</v>
      </c>
      <c r="AL366" s="182"/>
    </row>
    <row r="367" spans="1:38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93"/>
        <v>111140.02</v>
      </c>
      <c r="O367" s="66">
        <f t="shared" si="193"/>
        <v>112544.8</v>
      </c>
      <c r="P367" s="69">
        <f t="shared" si="168"/>
        <v>37046.673333333332</v>
      </c>
      <c r="Q367" s="69">
        <f t="shared" si="168"/>
        <v>37514.933333333334</v>
      </c>
      <c r="R367" s="5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140"/>
      <c r="AB367" s="66">
        <f t="shared" ref="AB367:AK367" si="194">ROUND(37896.24, 0)</f>
        <v>37896</v>
      </c>
      <c r="AC367" s="66">
        <f t="shared" si="194"/>
        <v>37896</v>
      </c>
      <c r="AD367" s="66">
        <f t="shared" si="194"/>
        <v>37896</v>
      </c>
      <c r="AE367" s="66">
        <f t="shared" si="194"/>
        <v>37896</v>
      </c>
      <c r="AF367" s="66">
        <f t="shared" si="194"/>
        <v>37896</v>
      </c>
      <c r="AG367" s="66">
        <f t="shared" si="194"/>
        <v>37896</v>
      </c>
      <c r="AH367" s="66">
        <f t="shared" si="194"/>
        <v>37896</v>
      </c>
      <c r="AI367" s="66">
        <f t="shared" si="194"/>
        <v>37896</v>
      </c>
      <c r="AJ367" s="66">
        <f t="shared" si="194"/>
        <v>37896</v>
      </c>
      <c r="AK367" s="66">
        <f t="shared" si="194"/>
        <v>37896</v>
      </c>
      <c r="AL367" s="182"/>
    </row>
    <row r="368" spans="1:38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93"/>
        <v>73064.12</v>
      </c>
      <c r="O368" s="66">
        <f t="shared" si="193"/>
        <v>69064.929999999993</v>
      </c>
      <c r="P368" s="69">
        <f t="shared" si="168"/>
        <v>24354.706666666665</v>
      </c>
      <c r="Q368" s="69">
        <f t="shared" si="168"/>
        <v>23021.64333333333</v>
      </c>
      <c r="R368" s="5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14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  <c r="AG368" s="66">
        <v>27067</v>
      </c>
      <c r="AH368" s="66">
        <v>27067</v>
      </c>
      <c r="AI368" s="66">
        <v>27067</v>
      </c>
      <c r="AJ368" s="66">
        <v>27067</v>
      </c>
      <c r="AK368" s="66">
        <v>27067</v>
      </c>
      <c r="AL368" s="182"/>
    </row>
    <row r="369" spans="1:39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93"/>
        <v>83751.37</v>
      </c>
      <c r="O369" s="66">
        <f t="shared" si="193"/>
        <v>83288.960000000006</v>
      </c>
      <c r="P369" s="69">
        <f t="shared" si="168"/>
        <v>27917.123333333333</v>
      </c>
      <c r="Q369" s="69">
        <f t="shared" si="168"/>
        <v>27762.986666666668</v>
      </c>
      <c r="R369" s="5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14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  <c r="AG369" s="66">
        <v>29904</v>
      </c>
      <c r="AH369" s="66">
        <v>29904</v>
      </c>
      <c r="AI369" s="66">
        <v>29904</v>
      </c>
      <c r="AJ369" s="66">
        <v>29904</v>
      </c>
      <c r="AK369" s="66">
        <v>29904</v>
      </c>
      <c r="AL369" s="182"/>
    </row>
    <row r="370" spans="1:39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93"/>
        <v>28135.19</v>
      </c>
      <c r="O370" s="66">
        <f t="shared" si="193"/>
        <v>34600</v>
      </c>
      <c r="P370" s="69">
        <f t="shared" si="168"/>
        <v>9378.3966666666656</v>
      </c>
      <c r="Q370" s="69">
        <f t="shared" si="168"/>
        <v>11533.333333333334</v>
      </c>
      <c r="R370" s="5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14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  <c r="AG370" s="66">
        <v>10000</v>
      </c>
      <c r="AH370" s="66">
        <v>10000</v>
      </c>
      <c r="AI370" s="66">
        <v>10000</v>
      </c>
      <c r="AJ370" s="66">
        <v>10000</v>
      </c>
      <c r="AK370" s="66">
        <v>10000</v>
      </c>
      <c r="AL370" s="182"/>
    </row>
    <row r="371" spans="1:39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95">ROUND(SUM(H365:H370),5)</f>
        <v>114632.84</v>
      </c>
      <c r="I371" s="75">
        <f t="shared" si="195"/>
        <v>107960.9</v>
      </c>
      <c r="J371" s="76">
        <f t="shared" si="195"/>
        <v>123159.01</v>
      </c>
      <c r="K371" s="76">
        <f t="shared" si="195"/>
        <v>112474.39</v>
      </c>
      <c r="L371" s="77">
        <f t="shared" si="195"/>
        <v>123370.85</v>
      </c>
      <c r="M371" s="77">
        <f t="shared" si="195"/>
        <v>130439</v>
      </c>
      <c r="N371" s="78">
        <f t="shared" si="193"/>
        <v>361162.7</v>
      </c>
      <c r="O371" s="78">
        <f t="shared" si="193"/>
        <v>350874.29</v>
      </c>
      <c r="P371" s="79">
        <f t="shared" si="168"/>
        <v>120387.56666666667</v>
      </c>
      <c r="Q371" s="79">
        <f t="shared" si="168"/>
        <v>116958.09666666666</v>
      </c>
      <c r="R371" s="5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140"/>
      <c r="AB371" s="80">
        <f t="shared" ref="AB371:AJ371" si="196">ROUND(SUM(AB365:AB370),5)</f>
        <v>129087</v>
      </c>
      <c r="AC371" s="80">
        <f t="shared" si="196"/>
        <v>129087</v>
      </c>
      <c r="AD371" s="80">
        <f t="shared" si="196"/>
        <v>129087</v>
      </c>
      <c r="AE371" s="80">
        <f t="shared" si="196"/>
        <v>138803</v>
      </c>
      <c r="AF371" s="80">
        <f t="shared" si="196"/>
        <v>138803</v>
      </c>
      <c r="AG371" s="80">
        <f t="shared" si="196"/>
        <v>138803</v>
      </c>
      <c r="AH371" s="80">
        <f t="shared" si="196"/>
        <v>138803</v>
      </c>
      <c r="AI371" s="80">
        <f t="shared" si="196"/>
        <v>138803</v>
      </c>
      <c r="AJ371" s="80">
        <f t="shared" si="196"/>
        <v>138803</v>
      </c>
      <c r="AK371" s="266">
        <f t="shared" ref="AK371" si="197">ROUND(SUM(AK365:AK370),5)</f>
        <v>138803</v>
      </c>
    </row>
    <row r="372" spans="1:39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168"/>
        <v>0</v>
      </c>
      <c r="Q372" s="69">
        <f t="shared" si="168"/>
        <v>0</v>
      </c>
      <c r="R372" s="54"/>
      <c r="S372" s="49"/>
      <c r="T372" s="49"/>
      <c r="U372" s="49"/>
      <c r="V372" s="49" t="s">
        <v>369</v>
      </c>
      <c r="W372" s="49"/>
      <c r="X372" s="49"/>
      <c r="Y372" s="49"/>
      <c r="Z372" s="66"/>
      <c r="AA372" s="140"/>
      <c r="AB372" s="66"/>
      <c r="AC372" s="66"/>
      <c r="AD372" s="66"/>
      <c r="AE372" s="66"/>
      <c r="AF372" s="66"/>
      <c r="AG372" s="66"/>
      <c r="AH372" s="66"/>
      <c r="AI372" s="66"/>
      <c r="AJ372" s="66"/>
      <c r="AK372" s="66"/>
    </row>
    <row r="373" spans="1:39" x14ac:dyDescent="0.35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98">ROUND(H373+J373+L373,5)</f>
        <v>4736691.54</v>
      </c>
      <c r="O373" s="66">
        <f t="shared" si="198"/>
        <v>4809206.6399999997</v>
      </c>
      <c r="P373" s="69">
        <f t="shared" si="168"/>
        <v>1578897.18</v>
      </c>
      <c r="Q373" s="69">
        <f t="shared" si="168"/>
        <v>1603068.88</v>
      </c>
      <c r="R373" s="5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14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 t="shared" ref="AF373:AK373" si="199">ROUND(1728649.91, 0)</f>
        <v>1728650</v>
      </c>
      <c r="AG373" s="66">
        <f t="shared" si="199"/>
        <v>1728650</v>
      </c>
      <c r="AH373" s="66">
        <f t="shared" si="199"/>
        <v>1728650</v>
      </c>
      <c r="AI373" s="66">
        <f t="shared" si="199"/>
        <v>1728650</v>
      </c>
      <c r="AJ373" s="66">
        <f t="shared" si="199"/>
        <v>1728650</v>
      </c>
      <c r="AK373" s="66">
        <f t="shared" si="199"/>
        <v>1728650</v>
      </c>
      <c r="AM373" s="221" t="s">
        <v>889</v>
      </c>
    </row>
    <row r="374" spans="1:39" x14ac:dyDescent="0.35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98"/>
        <v>186600.3</v>
      </c>
      <c r="O374" s="66">
        <f t="shared" si="198"/>
        <v>192368.27</v>
      </c>
      <c r="P374" s="69">
        <f t="shared" si="168"/>
        <v>62200.1</v>
      </c>
      <c r="Q374" s="69">
        <f t="shared" si="168"/>
        <v>64122.756666666661</v>
      </c>
      <c r="R374" s="5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14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 t="shared" ref="AF374:AK374" si="200">ROUND(69146, 0)</f>
        <v>69146</v>
      </c>
      <c r="AG374" s="66">
        <f t="shared" si="200"/>
        <v>69146</v>
      </c>
      <c r="AH374" s="66">
        <f t="shared" si="200"/>
        <v>69146</v>
      </c>
      <c r="AI374" s="66">
        <f t="shared" si="200"/>
        <v>69146</v>
      </c>
      <c r="AJ374" s="66">
        <f t="shared" si="200"/>
        <v>69146</v>
      </c>
      <c r="AK374" s="66">
        <f t="shared" si="200"/>
        <v>69146</v>
      </c>
      <c r="AM374" s="221" t="s">
        <v>891</v>
      </c>
    </row>
    <row r="375" spans="1:39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98"/>
        <v>1242428.6000000001</v>
      </c>
      <c r="O375" s="66">
        <f t="shared" si="198"/>
        <v>1421274.67</v>
      </c>
      <c r="P375" s="69">
        <f t="shared" si="168"/>
        <v>414142.8666666667</v>
      </c>
      <c r="Q375" s="69">
        <f t="shared" si="168"/>
        <v>473758.22333333333</v>
      </c>
      <c r="R375" s="5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14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 t="shared" ref="AF375:AK375" si="201">ROUND(485404.9, 0)</f>
        <v>485405</v>
      </c>
      <c r="AG375" s="66">
        <f t="shared" si="201"/>
        <v>485405</v>
      </c>
      <c r="AH375" s="66">
        <f t="shared" si="201"/>
        <v>485405</v>
      </c>
      <c r="AI375" s="66">
        <f t="shared" si="201"/>
        <v>485405</v>
      </c>
      <c r="AJ375" s="66">
        <f t="shared" si="201"/>
        <v>485405</v>
      </c>
      <c r="AK375" s="66">
        <f t="shared" si="201"/>
        <v>485405</v>
      </c>
      <c r="AM375" s="221" t="s">
        <v>890</v>
      </c>
    </row>
    <row r="376" spans="1:39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202">ROUND(SUM(H372:H375),5)</f>
        <v>1912297.24</v>
      </c>
      <c r="I376" s="75">
        <f t="shared" si="202"/>
        <v>2105179.7200000002</v>
      </c>
      <c r="J376" s="76">
        <f t="shared" si="202"/>
        <v>2104075.4500000002</v>
      </c>
      <c r="K376" s="76">
        <f t="shared" si="202"/>
        <v>2112580.67</v>
      </c>
      <c r="L376" s="77">
        <f t="shared" si="202"/>
        <v>2149347.75</v>
      </c>
      <c r="M376" s="77">
        <f t="shared" si="202"/>
        <v>2205089.19</v>
      </c>
      <c r="N376" s="78">
        <f t="shared" si="198"/>
        <v>6165720.4400000004</v>
      </c>
      <c r="O376" s="78">
        <f t="shared" si="198"/>
        <v>6422849.5800000001</v>
      </c>
      <c r="P376" s="79">
        <f t="shared" si="168"/>
        <v>2055240.1466666667</v>
      </c>
      <c r="Q376" s="79">
        <f t="shared" si="168"/>
        <v>2140949.86</v>
      </c>
      <c r="R376" s="5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140"/>
      <c r="AB376" s="80">
        <f t="shared" ref="AB376:AJ376" si="203">ROUND(SUM(AB372:AB375),5)</f>
        <v>2291617</v>
      </c>
      <c r="AC376" s="80">
        <f t="shared" si="203"/>
        <v>2252385</v>
      </c>
      <c r="AD376" s="80">
        <f t="shared" si="203"/>
        <v>2252385</v>
      </c>
      <c r="AE376" s="80">
        <f t="shared" si="203"/>
        <v>2252385</v>
      </c>
      <c r="AF376" s="80">
        <f t="shared" si="203"/>
        <v>2283201</v>
      </c>
      <c r="AG376" s="80">
        <f t="shared" si="203"/>
        <v>2283201</v>
      </c>
      <c r="AH376" s="80">
        <f t="shared" si="203"/>
        <v>2283201</v>
      </c>
      <c r="AI376" s="80">
        <f t="shared" si="203"/>
        <v>2283201</v>
      </c>
      <c r="AJ376" s="80">
        <f t="shared" si="203"/>
        <v>2283201</v>
      </c>
      <c r="AK376" s="266">
        <f t="shared" ref="AK376" si="204">ROUND(SUM(AK372:AK375),5)</f>
        <v>2283201</v>
      </c>
      <c r="AM376" s="223">
        <f>AG376/AG220</f>
        <v>0.4077895412530414</v>
      </c>
    </row>
    <row r="377" spans="1:39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54"/>
      <c r="S377" s="49"/>
      <c r="T377" s="49"/>
      <c r="U377" s="49"/>
      <c r="V377" s="49" t="s">
        <v>374</v>
      </c>
      <c r="W377" s="49"/>
      <c r="X377" s="49"/>
      <c r="Y377" s="49"/>
      <c r="Z377" s="66"/>
      <c r="AA377" s="140"/>
      <c r="AB377" s="66"/>
      <c r="AC377" s="66"/>
      <c r="AD377" s="66"/>
      <c r="AE377" s="66"/>
      <c r="AF377" s="66"/>
      <c r="AG377" s="66"/>
      <c r="AH377" s="66"/>
      <c r="AI377" s="66"/>
      <c r="AJ377" s="66"/>
      <c r="AK377" s="66"/>
      <c r="AM377" s="188"/>
    </row>
    <row r="378" spans="1:39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54"/>
      <c r="S378" s="49"/>
      <c r="T378" s="49"/>
      <c r="U378" s="49"/>
      <c r="V378" s="49"/>
      <c r="W378" s="49" t="s">
        <v>375</v>
      </c>
      <c r="X378" s="49"/>
      <c r="Y378" s="49"/>
      <c r="Z378" s="66"/>
      <c r="AA378" s="140"/>
      <c r="AB378" s="66"/>
      <c r="AC378" s="66"/>
      <c r="AD378" s="66"/>
      <c r="AE378" s="66"/>
      <c r="AF378" s="66"/>
      <c r="AG378" s="66"/>
      <c r="AH378" s="66"/>
      <c r="AI378" s="66"/>
      <c r="AJ378" s="66"/>
      <c r="AK378" s="66"/>
    </row>
    <row r="379" spans="1:39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205">ROUND(H379+J379+L379,5)</f>
        <v>4046.28</v>
      </c>
      <c r="O379" s="66">
        <f t="shared" si="205"/>
        <v>3800</v>
      </c>
      <c r="P379" s="69">
        <f t="shared" si="168"/>
        <v>1348.76</v>
      </c>
      <c r="Q379" s="69">
        <f t="shared" si="168"/>
        <v>1266.6666666666667</v>
      </c>
      <c r="R379" s="5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14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G379" s="66">
        <v>1200</v>
      </c>
      <c r="AH379" s="66">
        <v>1200</v>
      </c>
      <c r="AI379" s="66">
        <v>1200</v>
      </c>
      <c r="AJ379" s="66">
        <v>1200</v>
      </c>
      <c r="AK379" s="66">
        <v>1200</v>
      </c>
      <c r="AL379" s="173"/>
      <c r="AM379" s="173"/>
    </row>
    <row r="380" spans="1:39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205"/>
        <v>614951.03</v>
      </c>
      <c r="O380" s="66">
        <f t="shared" si="205"/>
        <v>486000</v>
      </c>
      <c r="P380" s="69">
        <f t="shared" si="168"/>
        <v>204983.67666666667</v>
      </c>
      <c r="Q380" s="69">
        <f t="shared" si="168"/>
        <v>162000</v>
      </c>
      <c r="R380" s="5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14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G380" s="66">
        <v>190000</v>
      </c>
      <c r="AH380" s="66">
        <v>190000</v>
      </c>
      <c r="AI380" s="66">
        <v>190000</v>
      </c>
      <c r="AJ380" s="66">
        <v>190000</v>
      </c>
      <c r="AK380" s="66">
        <v>190000</v>
      </c>
      <c r="AL380" s="173"/>
      <c r="AM380" s="173"/>
    </row>
    <row r="381" spans="1:39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205"/>
        <v>8559.83</v>
      </c>
      <c r="O381" s="66">
        <f t="shared" si="205"/>
        <v>12510</v>
      </c>
      <c r="P381" s="69">
        <f t="shared" si="168"/>
        <v>2853.2766666666666</v>
      </c>
      <c r="Q381" s="69">
        <f t="shared" si="168"/>
        <v>4170</v>
      </c>
      <c r="R381" s="5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14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G381" s="66">
        <v>4760</v>
      </c>
      <c r="AH381" s="66">
        <v>4760</v>
      </c>
      <c r="AI381" s="66">
        <v>4760</v>
      </c>
      <c r="AJ381" s="66">
        <v>4760</v>
      </c>
      <c r="AK381" s="66">
        <v>4760</v>
      </c>
      <c r="AL381" s="173"/>
      <c r="AM381" s="173"/>
    </row>
    <row r="382" spans="1:39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205"/>
        <v>309582.38</v>
      </c>
      <c r="O382" s="66">
        <f t="shared" si="205"/>
        <v>255250</v>
      </c>
      <c r="P382" s="69">
        <f t="shared" si="168"/>
        <v>103194.12666666666</v>
      </c>
      <c r="Q382" s="69">
        <f t="shared" si="168"/>
        <v>85083.333333333328</v>
      </c>
      <c r="R382" s="5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14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G382" s="66">
        <v>78000</v>
      </c>
      <c r="AH382" s="66">
        <v>78000</v>
      </c>
      <c r="AI382" s="66">
        <v>78000</v>
      </c>
      <c r="AJ382" s="66">
        <v>78000</v>
      </c>
      <c r="AK382" s="66">
        <v>78000</v>
      </c>
      <c r="AL382" s="173"/>
      <c r="AM382" s="173"/>
    </row>
    <row r="383" spans="1:39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205"/>
        <v>0</v>
      </c>
      <c r="O383" s="66">
        <v>0</v>
      </c>
      <c r="P383" s="69">
        <f t="shared" si="168"/>
        <v>0</v>
      </c>
      <c r="Q383" s="69">
        <f t="shared" si="168"/>
        <v>0</v>
      </c>
      <c r="R383" s="5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14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66">
        <v>0</v>
      </c>
      <c r="AI383" s="66">
        <v>0</v>
      </c>
      <c r="AJ383" s="66">
        <v>0</v>
      </c>
      <c r="AK383" s="66">
        <v>0</v>
      </c>
      <c r="AL383" s="173"/>
      <c r="AM383" s="173"/>
    </row>
    <row r="384" spans="1:39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205"/>
        <v>563757.04</v>
      </c>
      <c r="O384" s="66">
        <f t="shared" si="205"/>
        <v>385395</v>
      </c>
      <c r="P384" s="69">
        <f t="shared" si="168"/>
        <v>187919.01333333334</v>
      </c>
      <c r="Q384" s="69">
        <f t="shared" si="168"/>
        <v>128465</v>
      </c>
      <c r="R384" s="5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14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G384" s="66">
        <v>177320</v>
      </c>
      <c r="AH384" s="66">
        <v>177320</v>
      </c>
      <c r="AI384" s="66">
        <v>177320</v>
      </c>
      <c r="AJ384" s="66">
        <v>177320</v>
      </c>
      <c r="AK384" s="66">
        <f>161840</f>
        <v>161840</v>
      </c>
      <c r="AM384" s="224" t="s">
        <v>991</v>
      </c>
    </row>
    <row r="385" spans="1:39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205"/>
        <v>1218</v>
      </c>
      <c r="O385" s="66">
        <f t="shared" si="205"/>
        <v>18000</v>
      </c>
      <c r="P385" s="69">
        <f t="shared" si="168"/>
        <v>406</v>
      </c>
      <c r="Q385" s="69">
        <f t="shared" si="168"/>
        <v>6000</v>
      </c>
      <c r="R385" s="5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14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G385" s="66">
        <v>7500</v>
      </c>
      <c r="AH385" s="66">
        <v>7500</v>
      </c>
      <c r="AI385" s="66">
        <v>7500</v>
      </c>
      <c r="AJ385" s="66">
        <v>7500</v>
      </c>
      <c r="AK385" s="66">
        <v>7500</v>
      </c>
      <c r="AL385" s="173"/>
      <c r="AM385" s="173"/>
    </row>
    <row r="386" spans="1:39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5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140"/>
      <c r="AB386" s="82"/>
      <c r="AC386" s="82"/>
      <c r="AD386" s="82"/>
      <c r="AE386" s="82"/>
      <c r="AF386" s="66"/>
      <c r="AG386" s="66"/>
      <c r="AH386" s="66"/>
      <c r="AI386" s="66"/>
      <c r="AJ386" s="66"/>
      <c r="AK386" s="66"/>
      <c r="AL386" s="173"/>
      <c r="AM386" s="173"/>
    </row>
    <row r="387" spans="1:39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205"/>
        <v>3483</v>
      </c>
      <c r="O387" s="66">
        <f t="shared" si="205"/>
        <v>13000</v>
      </c>
      <c r="P387" s="69">
        <f t="shared" si="168"/>
        <v>1161</v>
      </c>
      <c r="Q387" s="69">
        <f t="shared" si="168"/>
        <v>4333.333333333333</v>
      </c>
      <c r="R387" s="5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14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G387" s="66">
        <v>20000</v>
      </c>
      <c r="AH387" s="66">
        <v>20000</v>
      </c>
      <c r="AI387" s="66">
        <v>20000</v>
      </c>
      <c r="AJ387" s="66">
        <v>20000</v>
      </c>
      <c r="AK387" s="66">
        <v>20000</v>
      </c>
      <c r="AL387" s="173"/>
      <c r="AM387" s="173"/>
    </row>
    <row r="388" spans="1:39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205"/>
        <v>2892.1</v>
      </c>
      <c r="O388" s="66">
        <f t="shared" si="205"/>
        <v>18250</v>
      </c>
      <c r="P388" s="69">
        <f t="shared" ref="P388:Q450" si="206">N388/3</f>
        <v>964.0333333333333</v>
      </c>
      <c r="Q388" s="69">
        <f t="shared" si="206"/>
        <v>6083.333333333333</v>
      </c>
      <c r="R388" s="5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14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G388" s="66">
        <v>12000</v>
      </c>
      <c r="AH388" s="66">
        <v>12000</v>
      </c>
      <c r="AI388" s="66">
        <v>12000</v>
      </c>
      <c r="AJ388" s="66">
        <v>12000</v>
      </c>
      <c r="AK388" s="66">
        <v>12000</v>
      </c>
      <c r="AL388" s="173"/>
      <c r="AM388" s="173"/>
    </row>
    <row r="389" spans="1:39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205"/>
        <v>59350</v>
      </c>
      <c r="O389" s="66">
        <f t="shared" si="205"/>
        <v>38500</v>
      </c>
      <c r="P389" s="69">
        <f t="shared" si="206"/>
        <v>19783.333333333332</v>
      </c>
      <c r="Q389" s="69">
        <f t="shared" si="206"/>
        <v>12833.333333333334</v>
      </c>
      <c r="R389" s="5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14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G389" s="66">
        <v>20925</v>
      </c>
      <c r="AH389" s="66">
        <v>20925</v>
      </c>
      <c r="AI389" s="66">
        <v>20925</v>
      </c>
      <c r="AJ389" s="66">
        <v>20925</v>
      </c>
      <c r="AK389" s="66">
        <v>20925</v>
      </c>
      <c r="AL389" s="173"/>
      <c r="AM389" s="147"/>
    </row>
    <row r="390" spans="1:39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205"/>
        <v>123607.99</v>
      </c>
      <c r="O390" s="66">
        <f t="shared" si="205"/>
        <v>94000</v>
      </c>
      <c r="P390" s="69">
        <f t="shared" si="206"/>
        <v>41202.663333333338</v>
      </c>
      <c r="Q390" s="69">
        <f t="shared" si="206"/>
        <v>31333.333333333332</v>
      </c>
      <c r="R390" s="5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14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G390" s="66">
        <v>32000</v>
      </c>
      <c r="AH390" s="66">
        <v>32000</v>
      </c>
      <c r="AI390" s="66">
        <v>32000</v>
      </c>
      <c r="AJ390" s="66">
        <v>32000</v>
      </c>
      <c r="AK390" s="66">
        <v>32000</v>
      </c>
      <c r="AL390" s="173"/>
      <c r="AM390" s="173"/>
    </row>
    <row r="391" spans="1:39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205"/>
        <v>1886.2</v>
      </c>
      <c r="O391" s="66">
        <f t="shared" si="205"/>
        <v>3000</v>
      </c>
      <c r="P391" s="69">
        <f t="shared" si="206"/>
        <v>628.73333333333335</v>
      </c>
      <c r="Q391" s="69">
        <f t="shared" si="206"/>
        <v>1000</v>
      </c>
      <c r="R391" s="5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14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1000</v>
      </c>
      <c r="AH391" s="66">
        <v>1000</v>
      </c>
      <c r="AI391" s="66">
        <v>1000</v>
      </c>
      <c r="AJ391" s="66">
        <v>1000</v>
      </c>
      <c r="AK391" s="66">
        <v>1000</v>
      </c>
      <c r="AL391" s="173"/>
      <c r="AM391" s="173"/>
    </row>
    <row r="392" spans="1:39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205"/>
        <v>103295.59</v>
      </c>
      <c r="O392" s="66">
        <f t="shared" si="205"/>
        <v>55000</v>
      </c>
      <c r="P392" s="69">
        <f t="shared" si="206"/>
        <v>34431.863333333335</v>
      </c>
      <c r="Q392" s="69">
        <f t="shared" si="206"/>
        <v>18333.333333333332</v>
      </c>
      <c r="R392" s="5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14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G392" s="66">
        <v>25000</v>
      </c>
      <c r="AH392" s="66">
        <v>25000</v>
      </c>
      <c r="AI392" s="66">
        <v>25000</v>
      </c>
      <c r="AJ392" s="66">
        <v>25000</v>
      </c>
      <c r="AK392" s="66">
        <v>25000</v>
      </c>
      <c r="AL392" s="173"/>
      <c r="AM392" s="173"/>
    </row>
    <row r="393" spans="1:39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205"/>
        <v>35000</v>
      </c>
      <c r="O393" s="66">
        <f t="shared" si="205"/>
        <v>35000</v>
      </c>
      <c r="P393" s="69">
        <f t="shared" si="206"/>
        <v>11666.666666666666</v>
      </c>
      <c r="Q393" s="69">
        <f t="shared" si="206"/>
        <v>11666.666666666666</v>
      </c>
      <c r="R393" s="5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14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G393" s="66">
        <v>15000</v>
      </c>
      <c r="AH393" s="66">
        <v>15000</v>
      </c>
      <c r="AI393" s="66">
        <v>15000</v>
      </c>
      <c r="AJ393" s="66">
        <v>15000</v>
      </c>
      <c r="AK393" s="66">
        <v>15000</v>
      </c>
      <c r="AL393" s="173"/>
      <c r="AM393" s="173"/>
    </row>
    <row r="394" spans="1:39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205"/>
        <v>37071.82</v>
      </c>
      <c r="O394" s="66">
        <f t="shared" si="205"/>
        <v>21012</v>
      </c>
      <c r="P394" s="69">
        <f t="shared" si="206"/>
        <v>12357.273333333333</v>
      </c>
      <c r="Q394" s="69">
        <f t="shared" si="206"/>
        <v>7004</v>
      </c>
      <c r="R394" s="5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14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G394" s="66">
        <v>7616</v>
      </c>
      <c r="AH394" s="66">
        <v>7616</v>
      </c>
      <c r="AI394" s="66">
        <v>7616</v>
      </c>
      <c r="AJ394" s="66">
        <v>7616</v>
      </c>
      <c r="AK394" s="66">
        <v>7616</v>
      </c>
      <c r="AL394" s="173"/>
      <c r="AM394" s="173"/>
    </row>
    <row r="395" spans="1:39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207">ROUND(H395+J395+L395,5)</f>
        <v>8975</v>
      </c>
      <c r="O395" s="66">
        <f t="shared" si="207"/>
        <v>9000</v>
      </c>
      <c r="P395" s="69">
        <f t="shared" si="206"/>
        <v>2991.6666666666665</v>
      </c>
      <c r="Q395" s="69">
        <f t="shared" si="206"/>
        <v>3000</v>
      </c>
      <c r="R395" s="5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14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G395" s="66">
        <v>3000</v>
      </c>
      <c r="AH395" s="66">
        <v>3000</v>
      </c>
      <c r="AI395" s="66">
        <v>3000</v>
      </c>
      <c r="AJ395" s="66">
        <v>3000</v>
      </c>
      <c r="AK395" s="66">
        <v>3000</v>
      </c>
      <c r="AL395" s="173"/>
      <c r="AM395" s="173"/>
    </row>
    <row r="396" spans="1:39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207"/>
        <v>52589.599999999999</v>
      </c>
      <c r="O396" s="66">
        <f t="shared" si="207"/>
        <v>30000</v>
      </c>
      <c r="P396" s="69">
        <f t="shared" si="206"/>
        <v>17529.866666666665</v>
      </c>
      <c r="Q396" s="69">
        <f t="shared" si="206"/>
        <v>10000</v>
      </c>
      <c r="R396" s="5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14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G396" s="66">
        <v>10000</v>
      </c>
      <c r="AH396" s="66">
        <v>10000</v>
      </c>
      <c r="AI396" s="66">
        <v>10000</v>
      </c>
      <c r="AJ396" s="66">
        <v>10000</v>
      </c>
      <c r="AK396" s="66">
        <v>10000</v>
      </c>
      <c r="AL396" s="173"/>
      <c r="AM396" s="173"/>
    </row>
    <row r="397" spans="1:39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207"/>
        <v>7521.01</v>
      </c>
      <c r="O397" s="66">
        <f t="shared" si="207"/>
        <v>33000</v>
      </c>
      <c r="P397" s="69">
        <f t="shared" si="206"/>
        <v>2507.0033333333336</v>
      </c>
      <c r="Q397" s="69">
        <f t="shared" si="206"/>
        <v>11000</v>
      </c>
      <c r="R397" s="5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14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G397" s="66">
        <v>10000</v>
      </c>
      <c r="AH397" s="66">
        <v>10000</v>
      </c>
      <c r="AI397" s="66">
        <v>10000</v>
      </c>
      <c r="AJ397" s="66">
        <v>10000</v>
      </c>
      <c r="AK397" s="66">
        <v>10000</v>
      </c>
      <c r="AL397" s="173"/>
      <c r="AM397" s="173"/>
    </row>
    <row r="398" spans="1:39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207"/>
        <v>0</v>
      </c>
      <c r="O398" s="66">
        <f t="shared" si="207"/>
        <v>600</v>
      </c>
      <c r="P398" s="69">
        <f t="shared" si="206"/>
        <v>0</v>
      </c>
      <c r="Q398" s="69">
        <f t="shared" si="206"/>
        <v>200</v>
      </c>
      <c r="R398" s="5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14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66">
        <v>0</v>
      </c>
      <c r="AI398" s="66">
        <v>0</v>
      </c>
      <c r="AJ398" s="66">
        <v>0</v>
      </c>
      <c r="AK398" s="66">
        <v>0</v>
      </c>
      <c r="AL398" s="173"/>
      <c r="AM398" s="173"/>
    </row>
    <row r="399" spans="1:39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207"/>
        <v>0</v>
      </c>
      <c r="O399" s="66">
        <f t="shared" si="207"/>
        <v>2000</v>
      </c>
      <c r="P399" s="69">
        <f t="shared" si="206"/>
        <v>0</v>
      </c>
      <c r="Q399" s="69">
        <f t="shared" si="206"/>
        <v>666.66666666666663</v>
      </c>
      <c r="R399" s="5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14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3000</v>
      </c>
      <c r="AH399" s="66">
        <v>3000</v>
      </c>
      <c r="AI399" s="66">
        <v>3000</v>
      </c>
      <c r="AJ399" s="66">
        <v>3000</v>
      </c>
      <c r="AK399" s="66">
        <v>20000</v>
      </c>
      <c r="AL399" s="173"/>
      <c r="AM399" s="173"/>
    </row>
    <row r="400" spans="1:39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207"/>
        <v>17586.919999999998</v>
      </c>
      <c r="O400" s="66">
        <f t="shared" si="207"/>
        <v>14000</v>
      </c>
      <c r="P400" s="69">
        <f t="shared" si="206"/>
        <v>5862.3066666666664</v>
      </c>
      <c r="Q400" s="69">
        <f t="shared" si="206"/>
        <v>4666.666666666667</v>
      </c>
      <c r="R400" s="5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14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G400" s="66">
        <v>5000</v>
      </c>
      <c r="AH400" s="66">
        <v>5000</v>
      </c>
      <c r="AI400" s="66">
        <v>5000</v>
      </c>
      <c r="AJ400" s="66">
        <v>5000</v>
      </c>
      <c r="AK400" s="66">
        <v>5000</v>
      </c>
      <c r="AL400" s="173"/>
      <c r="AM400" s="173"/>
    </row>
    <row r="401" spans="1:39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207"/>
        <v>263874.56</v>
      </c>
      <c r="O401" s="66">
        <f t="shared" si="207"/>
        <v>238680</v>
      </c>
      <c r="P401" s="69">
        <f t="shared" si="206"/>
        <v>87958.186666666661</v>
      </c>
      <c r="Q401" s="69">
        <f t="shared" si="206"/>
        <v>79560</v>
      </c>
      <c r="R401" s="5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14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G401" s="66">
        <v>73120</v>
      </c>
      <c r="AH401" s="66">
        <v>73120</v>
      </c>
      <c r="AI401" s="66">
        <v>73120</v>
      </c>
      <c r="AJ401" s="66">
        <v>73120</v>
      </c>
      <c r="AK401" s="66">
        <v>73120</v>
      </c>
      <c r="AL401" s="173"/>
      <c r="AM401" s="173"/>
    </row>
    <row r="402" spans="1:39" ht="29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207"/>
        <v>40633.14</v>
      </c>
      <c r="O402" s="66">
        <f t="shared" si="207"/>
        <v>30000</v>
      </c>
      <c r="P402" s="69">
        <f t="shared" si="206"/>
        <v>13544.38</v>
      </c>
      <c r="Q402" s="69">
        <f t="shared" si="206"/>
        <v>10000</v>
      </c>
      <c r="R402" s="5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14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G402" s="66">
        <f>ROUND(-82882.1+10000-1000, 0)</f>
        <v>-73882</v>
      </c>
      <c r="AH402" s="66">
        <f>ROUND(-82882.1+10000-1000, 0)</f>
        <v>-73882</v>
      </c>
      <c r="AI402" s="66">
        <f>ROUND(-82882.1+10000-1000, 0)</f>
        <v>-73882</v>
      </c>
      <c r="AJ402" s="66">
        <f>ROUND(-82882.1+10000-1000, 0)</f>
        <v>-73882</v>
      </c>
      <c r="AK402" s="66">
        <f>ROUND(-82882.1+10000-1000, 0)</f>
        <v>-73882</v>
      </c>
      <c r="AL402" s="173"/>
      <c r="AM402" s="224" t="s">
        <v>1023</v>
      </c>
    </row>
    <row r="403" spans="1:39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5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14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G403" s="66">
        <v>7000</v>
      </c>
      <c r="AH403" s="66">
        <v>7000</v>
      </c>
      <c r="AI403" s="66">
        <v>7000</v>
      </c>
      <c r="AJ403" s="66">
        <v>7000</v>
      </c>
      <c r="AK403" s="66">
        <v>7000</v>
      </c>
      <c r="AL403" s="173"/>
      <c r="AM403" s="173"/>
    </row>
    <row r="404" spans="1:39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206"/>
        <v>6954.9000000000005</v>
      </c>
      <c r="Q404" s="74">
        <f t="shared" si="206"/>
        <v>5333.333333333333</v>
      </c>
      <c r="R404" s="5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14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66">
        <v>0</v>
      </c>
      <c r="AI404" s="66">
        <v>0</v>
      </c>
      <c r="AJ404" s="66">
        <v>0</v>
      </c>
      <c r="AK404" s="66">
        <v>0</v>
      </c>
      <c r="AL404" s="173"/>
      <c r="AM404" s="173"/>
    </row>
    <row r="405" spans="1:39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208">ROUND(SUM(H403:H404),5)</f>
        <v>4300</v>
      </c>
      <c r="I405" s="63">
        <f t="shared" si="208"/>
        <v>5000</v>
      </c>
      <c r="J405" s="64">
        <f t="shared" si="208"/>
        <v>13564.7</v>
      </c>
      <c r="K405" s="64">
        <f t="shared" si="208"/>
        <v>5000</v>
      </c>
      <c r="L405" s="65">
        <f t="shared" si="208"/>
        <v>3000</v>
      </c>
      <c r="M405" s="65">
        <f t="shared" si="208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206"/>
        <v>6954.9000000000005</v>
      </c>
      <c r="Q405" s="69">
        <f t="shared" si="206"/>
        <v>5333.333333333333</v>
      </c>
      <c r="R405" s="54"/>
      <c r="S405" s="49"/>
      <c r="T405" s="49"/>
      <c r="U405" s="49"/>
      <c r="V405" s="49"/>
      <c r="W405" s="49"/>
      <c r="X405" s="49"/>
      <c r="Y405" s="49"/>
      <c r="Z405" s="66"/>
      <c r="AA405" s="140"/>
      <c r="AB405" s="66"/>
      <c r="AC405" s="66"/>
      <c r="AD405" s="66"/>
      <c r="AE405" s="66"/>
      <c r="AF405" s="66"/>
      <c r="AG405" s="66"/>
      <c r="AH405" s="66"/>
      <c r="AI405" s="66"/>
      <c r="AJ405" s="66"/>
      <c r="AK405" s="66"/>
      <c r="AL405" s="173"/>
      <c r="AM405" s="173"/>
    </row>
    <row r="406" spans="1:39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209">ROUND(H406+J406+L406,5)</f>
        <v>105788.02</v>
      </c>
      <c r="O406" s="66"/>
      <c r="P406" s="69">
        <f t="shared" si="206"/>
        <v>35262.673333333332</v>
      </c>
      <c r="Q406" s="69">
        <f t="shared" si="206"/>
        <v>0</v>
      </c>
      <c r="R406" s="54"/>
      <c r="S406" s="49"/>
      <c r="T406" s="49"/>
      <c r="U406" s="49"/>
      <c r="V406" s="49"/>
      <c r="W406" s="49"/>
      <c r="X406" s="49"/>
      <c r="Y406" s="49"/>
      <c r="Z406" s="66"/>
      <c r="AA406" s="140"/>
      <c r="AB406" s="66"/>
      <c r="AC406" s="66"/>
      <c r="AD406" s="66"/>
      <c r="AE406" s="66"/>
      <c r="AF406" s="66"/>
      <c r="AG406" s="66"/>
      <c r="AH406" s="66"/>
      <c r="AI406" s="66"/>
      <c r="AJ406" s="66"/>
      <c r="AK406" s="66"/>
      <c r="AL406" s="173"/>
      <c r="AM406" s="173"/>
    </row>
    <row r="407" spans="1:39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209"/>
        <v>27888.79</v>
      </c>
      <c r="O407" s="66">
        <f t="shared" si="209"/>
        <v>14500</v>
      </c>
      <c r="P407" s="69">
        <f t="shared" si="206"/>
        <v>9296.2633333333342</v>
      </c>
      <c r="Q407" s="69">
        <f t="shared" si="206"/>
        <v>4833.333333333333</v>
      </c>
      <c r="R407" s="5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14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G407" s="66">
        <v>6000</v>
      </c>
      <c r="AH407" s="66">
        <v>6000</v>
      </c>
      <c r="AI407" s="66">
        <v>6000</v>
      </c>
      <c r="AJ407" s="66">
        <v>6000</v>
      </c>
      <c r="AK407" s="66">
        <v>6000</v>
      </c>
      <c r="AL407" s="173"/>
      <c r="AM407" s="173"/>
    </row>
    <row r="408" spans="1:39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209"/>
        <v>1953.33</v>
      </c>
      <c r="O408" s="66">
        <f t="shared" si="209"/>
        <v>6000</v>
      </c>
      <c r="P408" s="69">
        <f t="shared" si="206"/>
        <v>651.11</v>
      </c>
      <c r="Q408" s="69">
        <f t="shared" si="206"/>
        <v>2000</v>
      </c>
      <c r="R408" s="5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14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G408" s="66">
        <v>2000</v>
      </c>
      <c r="AH408" s="66">
        <v>2000</v>
      </c>
      <c r="AI408" s="66">
        <v>2000</v>
      </c>
      <c r="AJ408" s="66">
        <v>2000</v>
      </c>
      <c r="AK408" s="66">
        <v>2000</v>
      </c>
      <c r="AL408" s="173"/>
      <c r="AM408" s="173"/>
    </row>
    <row r="409" spans="1:39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209"/>
        <v>30325</v>
      </c>
      <c r="O409" s="66">
        <f t="shared" si="209"/>
        <v>48125</v>
      </c>
      <c r="P409" s="69">
        <f t="shared" si="206"/>
        <v>10108.333333333334</v>
      </c>
      <c r="Q409" s="69">
        <f t="shared" si="206"/>
        <v>16041.666666666666</v>
      </c>
      <c r="R409" s="5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14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G409" s="66">
        <v>10125</v>
      </c>
      <c r="AH409" s="66">
        <v>10125</v>
      </c>
      <c r="AI409" s="66">
        <v>10125</v>
      </c>
      <c r="AJ409" s="66">
        <v>10125</v>
      </c>
      <c r="AK409" s="66">
        <v>10125</v>
      </c>
      <c r="AL409" s="173"/>
      <c r="AM409" s="147"/>
    </row>
    <row r="410" spans="1:39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209"/>
        <v>27786.38</v>
      </c>
      <c r="O410" s="66">
        <f t="shared" si="209"/>
        <v>28000</v>
      </c>
      <c r="P410" s="69">
        <f t="shared" si="206"/>
        <v>9262.126666666667</v>
      </c>
      <c r="Q410" s="69">
        <f t="shared" si="206"/>
        <v>9333.3333333333339</v>
      </c>
      <c r="R410" s="5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14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G410" s="66">
        <v>10000</v>
      </c>
      <c r="AH410" s="66">
        <v>10000</v>
      </c>
      <c r="AI410" s="66">
        <v>10000</v>
      </c>
      <c r="AJ410" s="66">
        <v>10000</v>
      </c>
      <c r="AK410" s="66">
        <v>10000</v>
      </c>
      <c r="AL410" s="173"/>
      <c r="AM410" s="173"/>
    </row>
    <row r="411" spans="1:39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209"/>
        <v>26434.84</v>
      </c>
      <c r="O411" s="66">
        <f t="shared" si="209"/>
        <v>22000</v>
      </c>
      <c r="P411" s="69">
        <f t="shared" si="206"/>
        <v>8811.6133333333328</v>
      </c>
      <c r="Q411" s="69">
        <f t="shared" si="206"/>
        <v>7333.333333333333</v>
      </c>
      <c r="R411" s="5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14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G411" s="66">
        <v>8000</v>
      </c>
      <c r="AH411" s="66">
        <v>8000</v>
      </c>
      <c r="AI411" s="66">
        <v>8000</v>
      </c>
      <c r="AJ411" s="66">
        <v>8000</v>
      </c>
      <c r="AK411" s="66">
        <v>8000</v>
      </c>
      <c r="AL411" s="173"/>
      <c r="AM411" s="173"/>
    </row>
    <row r="412" spans="1:39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209"/>
        <v>345.05</v>
      </c>
      <c r="O412" s="66">
        <f t="shared" si="209"/>
        <v>5000</v>
      </c>
      <c r="P412" s="69">
        <f t="shared" si="206"/>
        <v>115.01666666666667</v>
      </c>
      <c r="Q412" s="69">
        <f t="shared" si="206"/>
        <v>1666.6666666666667</v>
      </c>
      <c r="R412" s="5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14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G412" s="66">
        <v>2000</v>
      </c>
      <c r="AH412" s="66">
        <v>2000</v>
      </c>
      <c r="AI412" s="66">
        <v>2000</v>
      </c>
      <c r="AJ412" s="66">
        <v>2000</v>
      </c>
      <c r="AK412" s="66">
        <v>2000</v>
      </c>
      <c r="AL412" s="173"/>
      <c r="AM412" s="173"/>
    </row>
    <row r="413" spans="1:39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209"/>
        <v>3188.14</v>
      </c>
      <c r="O413" s="66">
        <v>0</v>
      </c>
      <c r="P413" s="69">
        <f t="shared" si="206"/>
        <v>1062.7133333333334</v>
      </c>
      <c r="Q413" s="69">
        <f t="shared" si="206"/>
        <v>0</v>
      </c>
      <c r="R413" s="5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14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66">
        <v>0</v>
      </c>
      <c r="AI413" s="66">
        <v>0</v>
      </c>
      <c r="AJ413" s="66">
        <v>0</v>
      </c>
      <c r="AK413" s="66">
        <v>0</v>
      </c>
      <c r="AL413" s="173"/>
      <c r="AM413" s="173"/>
    </row>
    <row r="414" spans="1:39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209"/>
        <v>15583.87</v>
      </c>
      <c r="O414" s="66">
        <f t="shared" si="209"/>
        <v>20000</v>
      </c>
      <c r="P414" s="69">
        <f t="shared" si="206"/>
        <v>5194.6233333333339</v>
      </c>
      <c r="Q414" s="69">
        <f t="shared" si="206"/>
        <v>6666.666666666667</v>
      </c>
      <c r="R414" s="5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14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G414" s="66">
        <v>5000</v>
      </c>
      <c r="AH414" s="66">
        <v>5000</v>
      </c>
      <c r="AI414" s="66">
        <v>5000</v>
      </c>
      <c r="AJ414" s="66">
        <v>5000</v>
      </c>
      <c r="AK414" s="66">
        <v>5000</v>
      </c>
      <c r="AL414" s="173"/>
      <c r="AM414" s="173"/>
    </row>
    <row r="415" spans="1:39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209"/>
        <v>4107.4799999999996</v>
      </c>
      <c r="O415" s="66">
        <f t="shared" si="209"/>
        <v>8000</v>
      </c>
      <c r="P415" s="69">
        <f t="shared" si="206"/>
        <v>1369.1599999999999</v>
      </c>
      <c r="Q415" s="69">
        <f t="shared" si="206"/>
        <v>2666.6666666666665</v>
      </c>
      <c r="R415" s="5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14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G415" s="66">
        <v>2000</v>
      </c>
      <c r="AH415" s="66">
        <v>2000</v>
      </c>
      <c r="AI415" s="66">
        <v>2000</v>
      </c>
      <c r="AJ415" s="66">
        <v>2000</v>
      </c>
      <c r="AK415" s="66">
        <v>2000</v>
      </c>
      <c r="AL415" s="173"/>
      <c r="AM415" s="173"/>
    </row>
    <row r="416" spans="1:39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209"/>
        <v>10387.33</v>
      </c>
      <c r="O416" s="66">
        <f t="shared" si="209"/>
        <v>11000</v>
      </c>
      <c r="P416" s="69">
        <f t="shared" si="206"/>
        <v>3462.4433333333332</v>
      </c>
      <c r="Q416" s="69">
        <f t="shared" si="206"/>
        <v>3666.6666666666665</v>
      </c>
      <c r="R416" s="5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14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G416" s="66">
        <v>4000</v>
      </c>
      <c r="AH416" s="66">
        <v>4000</v>
      </c>
      <c r="AI416" s="66">
        <v>4000</v>
      </c>
      <c r="AJ416" s="66">
        <v>4000</v>
      </c>
      <c r="AK416" s="66">
        <v>4000</v>
      </c>
      <c r="AL416" s="173"/>
      <c r="AM416" s="173"/>
    </row>
    <row r="417" spans="1:44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209"/>
        <v>123299.08</v>
      </c>
      <c r="O417" s="66">
        <f t="shared" si="209"/>
        <v>180000</v>
      </c>
      <c r="P417" s="69">
        <f t="shared" si="206"/>
        <v>41099.693333333336</v>
      </c>
      <c r="Q417" s="69">
        <f t="shared" si="206"/>
        <v>60000</v>
      </c>
      <c r="R417" s="5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14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G417" s="66">
        <v>60000</v>
      </c>
      <c r="AH417" s="66">
        <v>60000</v>
      </c>
      <c r="AI417" s="66">
        <v>60000</v>
      </c>
      <c r="AJ417" s="66">
        <v>60000</v>
      </c>
      <c r="AK417" s="66">
        <v>60000</v>
      </c>
      <c r="AL417" s="173"/>
      <c r="AM417" s="173"/>
    </row>
    <row r="418" spans="1:44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209"/>
        <v>53539.32</v>
      </c>
      <c r="O418" s="66">
        <f t="shared" si="209"/>
        <v>120000</v>
      </c>
      <c r="P418" s="69">
        <f t="shared" si="206"/>
        <v>17846.439999999999</v>
      </c>
      <c r="Q418" s="69">
        <f t="shared" si="206"/>
        <v>40000</v>
      </c>
      <c r="R418" s="5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14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G418" s="66">
        <v>35000</v>
      </c>
      <c r="AH418" s="66">
        <v>35000</v>
      </c>
      <c r="AI418" s="66">
        <v>35000</v>
      </c>
      <c r="AJ418" s="66">
        <v>35000</v>
      </c>
      <c r="AK418" s="66">
        <v>35000</v>
      </c>
      <c r="AL418" s="173"/>
      <c r="AM418" s="173"/>
    </row>
    <row r="419" spans="1:44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209"/>
        <v>81778</v>
      </c>
      <c r="O419" s="66">
        <f t="shared" si="209"/>
        <v>99652</v>
      </c>
      <c r="P419" s="69">
        <f t="shared" si="206"/>
        <v>27259.333333333332</v>
      </c>
      <c r="Q419" s="69">
        <f t="shared" si="206"/>
        <v>33217.333333333336</v>
      </c>
      <c r="R419" s="5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14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G419" s="66">
        <v>35520</v>
      </c>
      <c r="AH419" s="66">
        <v>35520</v>
      </c>
      <c r="AI419" s="66">
        <v>35520</v>
      </c>
      <c r="AJ419" s="66">
        <v>35520</v>
      </c>
      <c r="AK419" s="66">
        <v>35520</v>
      </c>
      <c r="AL419" s="173"/>
      <c r="AM419" s="173"/>
    </row>
    <row r="420" spans="1:44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209"/>
        <v>148630.20000000001</v>
      </c>
      <c r="O420" s="66">
        <f t="shared" si="209"/>
        <v>100000</v>
      </c>
      <c r="P420" s="69">
        <f t="shared" si="206"/>
        <v>49543.4</v>
      </c>
      <c r="Q420" s="69">
        <f t="shared" si="206"/>
        <v>33333.333333333336</v>
      </c>
      <c r="R420" s="5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14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G420" s="66">
        <v>40000</v>
      </c>
      <c r="AH420" s="66">
        <v>40000</v>
      </c>
      <c r="AI420" s="66">
        <v>40000</v>
      </c>
      <c r="AJ420" s="66">
        <v>40000</v>
      </c>
      <c r="AK420" s="66">
        <v>40000</v>
      </c>
      <c r="AL420" s="173"/>
      <c r="AM420" s="173"/>
    </row>
    <row r="421" spans="1:44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209"/>
        <v>1435.5</v>
      </c>
      <c r="O421" s="66">
        <f t="shared" si="209"/>
        <v>10500</v>
      </c>
      <c r="P421" s="69">
        <f t="shared" si="206"/>
        <v>478.5</v>
      </c>
      <c r="Q421" s="69">
        <f t="shared" si="206"/>
        <v>3500</v>
      </c>
      <c r="R421" s="5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14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0</v>
      </c>
      <c r="AI421" s="66">
        <v>0</v>
      </c>
      <c r="AJ421" s="66">
        <v>0</v>
      </c>
      <c r="AK421" s="66">
        <v>0</v>
      </c>
      <c r="AL421" s="173"/>
      <c r="AM421" s="173"/>
    </row>
    <row r="422" spans="1:44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209"/>
        <v>32871.629999999997</v>
      </c>
      <c r="O422" s="66">
        <f t="shared" si="209"/>
        <v>58400</v>
      </c>
      <c r="P422" s="69">
        <f t="shared" si="206"/>
        <v>10957.21</v>
      </c>
      <c r="Q422" s="69">
        <f t="shared" si="206"/>
        <v>19466.666666666668</v>
      </c>
      <c r="R422" s="5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14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G422" s="66">
        <v>21000</v>
      </c>
      <c r="AH422" s="66">
        <v>21000</v>
      </c>
      <c r="AI422" s="66">
        <v>21000</v>
      </c>
      <c r="AJ422" s="66">
        <v>21000</v>
      </c>
      <c r="AK422" s="66">
        <v>21000</v>
      </c>
      <c r="AL422" s="173"/>
    </row>
    <row r="423" spans="1:44" x14ac:dyDescent="0.35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210">ROUND(SUM(H378:H402)+SUM(H405:H422),5)</f>
        <v>971394.67</v>
      </c>
      <c r="I423" s="75">
        <f t="shared" si="210"/>
        <v>759280</v>
      </c>
      <c r="J423" s="76">
        <f t="shared" si="210"/>
        <v>1081537.1200000001</v>
      </c>
      <c r="K423" s="76">
        <f t="shared" si="210"/>
        <v>896198</v>
      </c>
      <c r="L423" s="77">
        <f t="shared" si="210"/>
        <v>923156.36</v>
      </c>
      <c r="M423" s="77">
        <f t="shared" si="210"/>
        <v>887696</v>
      </c>
      <c r="N423" s="78">
        <f t="shared" si="209"/>
        <v>2976088.15</v>
      </c>
      <c r="O423" s="78">
        <f t="shared" si="209"/>
        <v>2543174</v>
      </c>
      <c r="P423" s="79">
        <f t="shared" si="206"/>
        <v>992029.3833333333</v>
      </c>
      <c r="Q423" s="79">
        <f t="shared" si="206"/>
        <v>847724.66666666663</v>
      </c>
      <c r="R423" s="5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140"/>
      <c r="AB423" s="80">
        <f t="shared" ref="AB423:AJ423" si="211">ROUND(SUM(AB378:AB422),5)</f>
        <v>904046</v>
      </c>
      <c r="AC423" s="80">
        <f t="shared" si="211"/>
        <v>904046</v>
      </c>
      <c r="AD423" s="80">
        <f t="shared" si="211"/>
        <v>904046</v>
      </c>
      <c r="AE423" s="80">
        <f t="shared" si="211"/>
        <v>904046</v>
      </c>
      <c r="AF423" s="80">
        <f t="shared" si="211"/>
        <v>862453.9</v>
      </c>
      <c r="AG423" s="80">
        <f t="shared" si="211"/>
        <v>870204</v>
      </c>
      <c r="AH423" s="80">
        <f t="shared" si="211"/>
        <v>870204</v>
      </c>
      <c r="AI423" s="80">
        <f t="shared" si="211"/>
        <v>870204</v>
      </c>
      <c r="AJ423" s="80">
        <f t="shared" si="211"/>
        <v>870204</v>
      </c>
      <c r="AK423" s="266">
        <f t="shared" ref="AK423" si="212">ROUND(SUM(AK378:AK422),5)</f>
        <v>871724</v>
      </c>
      <c r="AL423" s="173"/>
      <c r="AM423" s="213" t="s">
        <v>952</v>
      </c>
    </row>
    <row r="424" spans="1:44" x14ac:dyDescent="0.35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54"/>
      <c r="S424" s="49"/>
      <c r="T424" s="49"/>
      <c r="U424" s="49"/>
      <c r="V424" s="49"/>
      <c r="W424" s="49" t="s">
        <v>420</v>
      </c>
      <c r="X424" s="49"/>
      <c r="Y424" s="49"/>
      <c r="Z424" s="66"/>
      <c r="AA424" s="140"/>
      <c r="AB424" s="66"/>
      <c r="AC424" s="66"/>
      <c r="AD424" s="66"/>
      <c r="AE424" s="66"/>
      <c r="AF424" s="66"/>
      <c r="AG424" s="66"/>
      <c r="AH424" s="66"/>
      <c r="AI424" s="66"/>
      <c r="AJ424" s="66"/>
      <c r="AK424" s="66"/>
      <c r="AL424" s="173"/>
      <c r="AM424" s="222">
        <f>AK215-AK423</f>
        <v>4276</v>
      </c>
    </row>
    <row r="425" spans="1:44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206"/>
        <v>3054.66</v>
      </c>
      <c r="Q425" s="69">
        <f t="shared" si="206"/>
        <v>0</v>
      </c>
      <c r="R425" s="5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14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18750</v>
      </c>
      <c r="AH425" s="66">
        <v>18750</v>
      </c>
      <c r="AI425" s="66">
        <v>18750</v>
      </c>
      <c r="AJ425" s="66">
        <v>18750</v>
      </c>
      <c r="AK425" s="66">
        <v>18750</v>
      </c>
      <c r="AL425" s="173"/>
      <c r="AM425" s="213" t="s">
        <v>974</v>
      </c>
    </row>
    <row r="426" spans="1:44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206"/>
        <v>1456.0866666666668</v>
      </c>
      <c r="Q426" s="69">
        <f t="shared" si="206"/>
        <v>0</v>
      </c>
      <c r="R426" s="5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14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  <c r="AH426" s="66">
        <v>0</v>
      </c>
      <c r="AI426" s="66">
        <v>0</v>
      </c>
      <c r="AJ426" s="66">
        <v>0</v>
      </c>
      <c r="AK426" s="66">
        <v>0</v>
      </c>
    </row>
    <row r="427" spans="1:44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206"/>
        <v>4510.7466666666669</v>
      </c>
      <c r="Q427" s="87">
        <f t="shared" si="206"/>
        <v>0</v>
      </c>
      <c r="R427" s="5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140"/>
      <c r="AB427" s="88">
        <f t="shared" ref="AB427:AJ427" si="213">ROUND(SUM(AB424:AB426),5)</f>
        <v>0</v>
      </c>
      <c r="AC427" s="88">
        <f t="shared" si="213"/>
        <v>0</v>
      </c>
      <c r="AD427" s="88">
        <f t="shared" si="213"/>
        <v>0</v>
      </c>
      <c r="AE427" s="88">
        <f t="shared" si="213"/>
        <v>0</v>
      </c>
      <c r="AF427" s="88">
        <f t="shared" si="213"/>
        <v>0</v>
      </c>
      <c r="AG427" s="88">
        <f t="shared" si="213"/>
        <v>18750</v>
      </c>
      <c r="AH427" s="88">
        <f t="shared" si="213"/>
        <v>18750</v>
      </c>
      <c r="AI427" s="88">
        <f t="shared" si="213"/>
        <v>18750</v>
      </c>
      <c r="AJ427" s="88">
        <f t="shared" si="213"/>
        <v>18750</v>
      </c>
      <c r="AK427" s="266">
        <f t="shared" ref="AK427" si="214">ROUND(SUM(AK424:AK426),5)</f>
        <v>18750</v>
      </c>
    </row>
    <row r="428" spans="1:44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215">ROUND(H377+H423+H427,5)</f>
        <v>971394.67</v>
      </c>
      <c r="I428" s="63">
        <f t="shared" si="215"/>
        <v>759280</v>
      </c>
      <c r="J428" s="64">
        <f t="shared" si="215"/>
        <v>1094481.01</v>
      </c>
      <c r="K428" s="64">
        <f t="shared" si="215"/>
        <v>896198</v>
      </c>
      <c r="L428" s="65">
        <f t="shared" si="215"/>
        <v>923744.71</v>
      </c>
      <c r="M428" s="65">
        <f t="shared" si="215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206"/>
        <v>996540.13</v>
      </c>
      <c r="Q428" s="69">
        <f t="shared" si="206"/>
        <v>847724.66666666663</v>
      </c>
      <c r="R428" s="5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140"/>
      <c r="AB428" s="66">
        <f t="shared" ref="AB428:AJ428" si="216">ROUND(AB377+AB423+AB427,5)</f>
        <v>904046</v>
      </c>
      <c r="AC428" s="66">
        <f t="shared" si="216"/>
        <v>904046</v>
      </c>
      <c r="AD428" s="66">
        <f t="shared" si="216"/>
        <v>904046</v>
      </c>
      <c r="AE428" s="66">
        <f t="shared" si="216"/>
        <v>904046</v>
      </c>
      <c r="AF428" s="66">
        <f t="shared" si="216"/>
        <v>862453.9</v>
      </c>
      <c r="AG428" s="66">
        <f t="shared" si="216"/>
        <v>888954</v>
      </c>
      <c r="AH428" s="66">
        <f t="shared" si="216"/>
        <v>888954</v>
      </c>
      <c r="AI428" s="66">
        <f t="shared" si="216"/>
        <v>888954</v>
      </c>
      <c r="AJ428" s="66">
        <f t="shared" si="216"/>
        <v>888954</v>
      </c>
      <c r="AK428" s="66">
        <f t="shared" ref="AK428" si="217">ROUND(AK377+AK423+AK427,5)</f>
        <v>890474</v>
      </c>
    </row>
    <row r="429" spans="1:44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206"/>
        <v>0</v>
      </c>
      <c r="Q429" s="69">
        <f t="shared" si="206"/>
        <v>0</v>
      </c>
      <c r="R429" s="54"/>
      <c r="S429" s="49"/>
      <c r="T429" s="49"/>
      <c r="U429" s="49"/>
      <c r="V429" s="49" t="s">
        <v>425</v>
      </c>
      <c r="W429" s="49"/>
      <c r="X429" s="49"/>
      <c r="Y429" s="49"/>
      <c r="Z429" s="66"/>
      <c r="AA429" s="140"/>
      <c r="AB429" s="66"/>
      <c r="AC429" s="66"/>
      <c r="AD429" s="66"/>
      <c r="AE429" s="66"/>
      <c r="AF429" s="66"/>
      <c r="AG429" s="66"/>
      <c r="AH429" s="66"/>
      <c r="AI429" s="66"/>
      <c r="AJ429" s="66"/>
      <c r="AK429" s="66"/>
    </row>
    <row r="430" spans="1:44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206"/>
        <v>0</v>
      </c>
      <c r="Q430" s="69">
        <f t="shared" si="206"/>
        <v>0</v>
      </c>
      <c r="R430" s="54"/>
      <c r="S430" s="49"/>
      <c r="T430" s="49"/>
      <c r="U430" s="49"/>
      <c r="V430" s="49"/>
      <c r="W430" s="49" t="s">
        <v>426</v>
      </c>
      <c r="X430" s="49"/>
      <c r="Y430" s="49"/>
      <c r="Z430" s="66"/>
      <c r="AA430" s="140"/>
      <c r="AB430" s="66"/>
      <c r="AC430" s="66"/>
      <c r="AD430" s="66">
        <v>20000</v>
      </c>
      <c r="AE430" s="66"/>
      <c r="AF430" s="66"/>
      <c r="AG430" s="66"/>
      <c r="AH430" s="66"/>
      <c r="AI430" s="66"/>
      <c r="AJ430" s="66"/>
      <c r="AK430" s="66"/>
      <c r="AM430" s="182"/>
    </row>
    <row r="431" spans="1:44" ht="16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218">ROUND(H431+J431+L431,5)</f>
        <v>22454.45</v>
      </c>
      <c r="O431" s="66">
        <f t="shared" si="218"/>
        <v>22500</v>
      </c>
      <c r="P431" s="69">
        <f t="shared" si="206"/>
        <v>7484.8166666666666</v>
      </c>
      <c r="Q431" s="69">
        <f t="shared" si="206"/>
        <v>7500</v>
      </c>
      <c r="R431" s="5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140"/>
      <c r="AB431" s="66">
        <v>9000</v>
      </c>
      <c r="AC431" s="66">
        <v>8862.5</v>
      </c>
      <c r="AD431" s="66">
        <v>8862.5</v>
      </c>
      <c r="AE431" s="66">
        <v>9000</v>
      </c>
      <c r="AF431" s="66">
        <v>9000</v>
      </c>
      <c r="AG431" s="66">
        <v>9000</v>
      </c>
      <c r="AH431" s="66">
        <v>9000</v>
      </c>
      <c r="AI431" s="66">
        <v>9000</v>
      </c>
      <c r="AJ431" s="66">
        <v>9000</v>
      </c>
      <c r="AK431" s="66">
        <v>7500</v>
      </c>
      <c r="AL431" s="196" t="s">
        <v>954</v>
      </c>
      <c r="AM431" s="190">
        <v>1500</v>
      </c>
      <c r="AN431" s="81"/>
      <c r="AQ431" s="131"/>
      <c r="AR431" s="111" t="s">
        <v>1034</v>
      </c>
    </row>
    <row r="432" spans="1:44" ht="16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218"/>
        <v>13414.87</v>
      </c>
      <c r="O432" s="66">
        <f t="shared" si="218"/>
        <v>22500</v>
      </c>
      <c r="P432" s="69">
        <f t="shared" si="206"/>
        <v>4471.6233333333339</v>
      </c>
      <c r="Q432" s="69">
        <f t="shared" si="206"/>
        <v>7500</v>
      </c>
      <c r="R432" s="5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140"/>
      <c r="AB432" s="66">
        <v>9000</v>
      </c>
      <c r="AC432" s="66">
        <v>6987.5</v>
      </c>
      <c r="AD432" s="66">
        <v>6987.5</v>
      </c>
      <c r="AE432" s="66">
        <v>9000</v>
      </c>
      <c r="AF432" s="66">
        <v>9000</v>
      </c>
      <c r="AG432" s="66">
        <v>9000</v>
      </c>
      <c r="AH432" s="66">
        <v>9000</v>
      </c>
      <c r="AI432" s="66">
        <v>9000</v>
      </c>
      <c r="AJ432" s="66">
        <v>9000</v>
      </c>
      <c r="AK432" s="66">
        <v>7500</v>
      </c>
      <c r="AL432" s="196" t="s">
        <v>954</v>
      </c>
      <c r="AM432" s="190">
        <v>1500</v>
      </c>
      <c r="AN432" s="81"/>
      <c r="AQ432" s="131"/>
      <c r="AR432" s="111" t="s">
        <v>1034</v>
      </c>
    </row>
    <row r="433" spans="1:44" ht="16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218"/>
        <v>14590.26</v>
      </c>
      <c r="O433" s="66">
        <f t="shared" si="218"/>
        <v>22500</v>
      </c>
      <c r="P433" s="69">
        <f t="shared" si="206"/>
        <v>4863.42</v>
      </c>
      <c r="Q433" s="69">
        <f t="shared" si="206"/>
        <v>7500</v>
      </c>
      <c r="R433" s="5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140"/>
      <c r="AB433" s="66">
        <v>9000</v>
      </c>
      <c r="AC433" s="66">
        <v>6675</v>
      </c>
      <c r="AD433" s="66">
        <v>6675</v>
      </c>
      <c r="AE433" s="66">
        <v>9000</v>
      </c>
      <c r="AF433" s="66">
        <v>9000</v>
      </c>
      <c r="AG433" s="66">
        <v>9000</v>
      </c>
      <c r="AH433" s="66">
        <v>9000</v>
      </c>
      <c r="AI433" s="66">
        <v>9000</v>
      </c>
      <c r="AJ433" s="66">
        <v>9000</v>
      </c>
      <c r="AK433" s="66">
        <v>7500</v>
      </c>
      <c r="AL433" s="196" t="s">
        <v>954</v>
      </c>
      <c r="AM433" s="190">
        <v>1500</v>
      </c>
      <c r="AN433" s="81"/>
      <c r="AQ433" s="131"/>
      <c r="AR433" s="111" t="s">
        <v>1034</v>
      </c>
    </row>
    <row r="434" spans="1:44" ht="16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218"/>
        <v>11509.98</v>
      </c>
      <c r="O434" s="66">
        <f t="shared" si="218"/>
        <v>22500</v>
      </c>
      <c r="P434" s="69">
        <f t="shared" si="206"/>
        <v>3836.66</v>
      </c>
      <c r="Q434" s="69">
        <f t="shared" si="206"/>
        <v>7500</v>
      </c>
      <c r="R434" s="5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140"/>
      <c r="AB434" s="66">
        <v>9000</v>
      </c>
      <c r="AC434" s="66">
        <v>6987.5</v>
      </c>
      <c r="AD434" s="66">
        <v>6987.5</v>
      </c>
      <c r="AE434" s="66">
        <v>9000</v>
      </c>
      <c r="AF434" s="66">
        <v>9000</v>
      </c>
      <c r="AG434" s="66">
        <v>9000</v>
      </c>
      <c r="AH434" s="66">
        <v>9000</v>
      </c>
      <c r="AI434" s="66">
        <v>9000</v>
      </c>
      <c r="AJ434" s="66">
        <v>9000</v>
      </c>
      <c r="AK434" s="66">
        <v>7500</v>
      </c>
      <c r="AL434" s="196" t="s">
        <v>954</v>
      </c>
      <c r="AM434" s="190">
        <v>1500</v>
      </c>
      <c r="AN434" s="81"/>
      <c r="AQ434" s="131"/>
      <c r="AR434" s="111" t="s">
        <v>1034</v>
      </c>
    </row>
    <row r="435" spans="1:44" ht="16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218"/>
        <v>19031.37</v>
      </c>
      <c r="O435" s="66">
        <f t="shared" si="218"/>
        <v>22500</v>
      </c>
      <c r="P435" s="69">
        <f t="shared" si="206"/>
        <v>6343.79</v>
      </c>
      <c r="Q435" s="69">
        <f t="shared" si="206"/>
        <v>7500</v>
      </c>
      <c r="R435" s="5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140"/>
      <c r="AB435" s="66">
        <v>9000</v>
      </c>
      <c r="AC435" s="66">
        <v>7300</v>
      </c>
      <c r="AD435" s="66">
        <v>7300</v>
      </c>
      <c r="AE435" s="66">
        <v>9000</v>
      </c>
      <c r="AF435" s="66">
        <v>9000</v>
      </c>
      <c r="AG435" s="66">
        <v>9000</v>
      </c>
      <c r="AH435" s="66">
        <v>9000</v>
      </c>
      <c r="AI435" s="66">
        <v>9000</v>
      </c>
      <c r="AJ435" s="66">
        <v>9000</v>
      </c>
      <c r="AK435" s="66">
        <v>7500</v>
      </c>
      <c r="AL435" s="196" t="s">
        <v>954</v>
      </c>
      <c r="AM435" s="190">
        <v>1500</v>
      </c>
      <c r="AN435" s="81"/>
      <c r="AQ435" s="131"/>
      <c r="AR435" s="111" t="s">
        <v>1034</v>
      </c>
    </row>
    <row r="436" spans="1:44" ht="16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218"/>
        <v>19829.439999999999</v>
      </c>
      <c r="O436" s="66">
        <f t="shared" si="218"/>
        <v>22500</v>
      </c>
      <c r="P436" s="69">
        <f t="shared" si="206"/>
        <v>6609.8133333333326</v>
      </c>
      <c r="Q436" s="69">
        <f t="shared" si="206"/>
        <v>7500</v>
      </c>
      <c r="R436" s="5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140"/>
      <c r="AB436" s="66">
        <v>9000</v>
      </c>
      <c r="AC436" s="66">
        <v>6987.5</v>
      </c>
      <c r="AD436" s="66">
        <v>6987.5</v>
      </c>
      <c r="AE436" s="66">
        <v>9000</v>
      </c>
      <c r="AF436" s="66">
        <v>9000</v>
      </c>
      <c r="AG436" s="66">
        <v>9000</v>
      </c>
      <c r="AH436" s="66">
        <v>9000</v>
      </c>
      <c r="AI436" s="66">
        <v>9000</v>
      </c>
      <c r="AJ436" s="66">
        <v>9000</v>
      </c>
      <c r="AK436" s="66">
        <v>7500</v>
      </c>
      <c r="AL436" s="196" t="s">
        <v>954</v>
      </c>
      <c r="AM436" s="190">
        <v>1500</v>
      </c>
      <c r="AN436" s="81"/>
      <c r="AQ436" s="131"/>
      <c r="AR436" s="111" t="s">
        <v>1034</v>
      </c>
    </row>
    <row r="437" spans="1:44" ht="16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218"/>
        <v>6373.1</v>
      </c>
      <c r="O437" s="66">
        <f t="shared" si="218"/>
        <v>22500</v>
      </c>
      <c r="P437" s="69">
        <f t="shared" si="206"/>
        <v>2124.3666666666668</v>
      </c>
      <c r="Q437" s="69">
        <f t="shared" si="206"/>
        <v>7500</v>
      </c>
      <c r="R437" s="5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140"/>
      <c r="AB437" s="66">
        <v>9000</v>
      </c>
      <c r="AC437" s="66">
        <v>6675</v>
      </c>
      <c r="AD437" s="66">
        <v>6675</v>
      </c>
      <c r="AE437" s="66">
        <v>9000</v>
      </c>
      <c r="AF437" s="66">
        <v>9000</v>
      </c>
      <c r="AG437" s="66">
        <v>9000</v>
      </c>
      <c r="AH437" s="66">
        <v>9000</v>
      </c>
      <c r="AI437" s="66">
        <v>9000</v>
      </c>
      <c r="AJ437" s="66">
        <v>9000</v>
      </c>
      <c r="AK437" s="66">
        <v>7500</v>
      </c>
      <c r="AL437" s="196" t="s">
        <v>954</v>
      </c>
      <c r="AM437" s="190">
        <v>1500</v>
      </c>
      <c r="AN437" s="81"/>
      <c r="AQ437" s="131"/>
      <c r="AR437" s="111" t="s">
        <v>1034</v>
      </c>
    </row>
    <row r="438" spans="1:44" ht="16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218"/>
        <v>18080.3</v>
      </c>
      <c r="O438" s="66">
        <f t="shared" si="218"/>
        <v>22500</v>
      </c>
      <c r="P438" s="69">
        <f t="shared" si="206"/>
        <v>6026.7666666666664</v>
      </c>
      <c r="Q438" s="69">
        <f t="shared" si="206"/>
        <v>7500</v>
      </c>
      <c r="R438" s="5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140"/>
      <c r="AB438" s="66">
        <v>9000</v>
      </c>
      <c r="AC438" s="66">
        <v>5737.5</v>
      </c>
      <c r="AD438" s="66">
        <v>5737.5</v>
      </c>
      <c r="AE438" s="66">
        <v>9000</v>
      </c>
      <c r="AF438" s="66">
        <v>9000</v>
      </c>
      <c r="AG438" s="66">
        <v>9000</v>
      </c>
      <c r="AH438" s="66">
        <v>9000</v>
      </c>
      <c r="AI438" s="66">
        <v>9000</v>
      </c>
      <c r="AJ438" s="66">
        <v>9000</v>
      </c>
      <c r="AK438" s="66">
        <v>7500</v>
      </c>
      <c r="AL438" s="196" t="s">
        <v>954</v>
      </c>
      <c r="AM438" s="190">
        <v>1500</v>
      </c>
      <c r="AN438" s="81"/>
      <c r="AQ438" s="131"/>
      <c r="AR438" s="111" t="s">
        <v>1034</v>
      </c>
    </row>
    <row r="439" spans="1:44" ht="16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218"/>
        <v>7603.5</v>
      </c>
      <c r="O439" s="66">
        <f t="shared" si="218"/>
        <v>22500</v>
      </c>
      <c r="P439" s="69">
        <f t="shared" si="206"/>
        <v>2534.5</v>
      </c>
      <c r="Q439" s="69">
        <f t="shared" si="206"/>
        <v>7500</v>
      </c>
      <c r="R439" s="5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140"/>
      <c r="AB439" s="66">
        <v>9000</v>
      </c>
      <c r="AC439" s="66">
        <v>5737.5</v>
      </c>
      <c r="AD439" s="66">
        <v>5737.5</v>
      </c>
      <c r="AE439" s="66">
        <v>9000</v>
      </c>
      <c r="AF439" s="66">
        <v>9000</v>
      </c>
      <c r="AG439" s="66">
        <v>9000</v>
      </c>
      <c r="AH439" s="66">
        <v>9000</v>
      </c>
      <c r="AI439" s="66">
        <v>9000</v>
      </c>
      <c r="AJ439" s="66">
        <v>9000</v>
      </c>
      <c r="AK439" s="66">
        <v>7500</v>
      </c>
      <c r="AL439" s="196" t="s">
        <v>954</v>
      </c>
      <c r="AM439" s="190">
        <v>1500</v>
      </c>
      <c r="AN439" s="81"/>
      <c r="AQ439" s="131"/>
      <c r="AR439" s="111" t="s">
        <v>1034</v>
      </c>
    </row>
    <row r="440" spans="1:44" ht="16.5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218"/>
        <v>10711.38</v>
      </c>
      <c r="O440" s="73">
        <f t="shared" si="218"/>
        <v>22500</v>
      </c>
      <c r="P440" s="74">
        <f t="shared" si="206"/>
        <v>3570.4599999999996</v>
      </c>
      <c r="Q440" s="74">
        <f t="shared" si="206"/>
        <v>7500</v>
      </c>
      <c r="R440" s="5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140"/>
      <c r="AB440" s="73">
        <v>9000</v>
      </c>
      <c r="AC440" s="66">
        <v>6050</v>
      </c>
      <c r="AD440" s="66">
        <v>6050</v>
      </c>
      <c r="AE440" s="66">
        <v>9000</v>
      </c>
      <c r="AF440" s="66">
        <v>9000</v>
      </c>
      <c r="AG440" s="66">
        <v>9000</v>
      </c>
      <c r="AH440" s="66">
        <v>9000</v>
      </c>
      <c r="AI440" s="66">
        <v>9000</v>
      </c>
      <c r="AJ440" s="66">
        <v>9000</v>
      </c>
      <c r="AK440" s="66">
        <v>7500</v>
      </c>
      <c r="AL440" s="196" t="s">
        <v>954</v>
      </c>
      <c r="AM440" s="190">
        <v>1500</v>
      </c>
      <c r="AN440" s="81"/>
      <c r="AQ440" s="131"/>
      <c r="AR440" s="111" t="s">
        <v>1034</v>
      </c>
    </row>
    <row r="441" spans="1:44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219">ROUND(SUM(H430:H440),5)</f>
        <v>39609.57</v>
      </c>
      <c r="I441" s="63">
        <f t="shared" si="219"/>
        <v>75000</v>
      </c>
      <c r="J441" s="64">
        <f t="shared" si="219"/>
        <v>50436.92</v>
      </c>
      <c r="K441" s="64">
        <f t="shared" si="219"/>
        <v>75000</v>
      </c>
      <c r="L441" s="65">
        <f t="shared" si="219"/>
        <v>53552.160000000003</v>
      </c>
      <c r="M441" s="65">
        <f t="shared" si="219"/>
        <v>75000</v>
      </c>
      <c r="N441" s="66">
        <f t="shared" si="218"/>
        <v>143598.65</v>
      </c>
      <c r="O441" s="66">
        <f t="shared" si="218"/>
        <v>225000</v>
      </c>
      <c r="P441" s="69">
        <f t="shared" si="206"/>
        <v>47866.216666666667</v>
      </c>
      <c r="Q441" s="69">
        <f t="shared" si="206"/>
        <v>75000</v>
      </c>
      <c r="R441" s="5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140"/>
      <c r="AB441" s="80">
        <f t="shared" ref="AB441:AJ441" si="220">ROUND(SUM(AB430:AB440),5)</f>
        <v>90000</v>
      </c>
      <c r="AC441" s="80">
        <f t="shared" si="220"/>
        <v>68000</v>
      </c>
      <c r="AD441" s="80">
        <f t="shared" si="220"/>
        <v>88000</v>
      </c>
      <c r="AE441" s="80">
        <f t="shared" si="220"/>
        <v>90000</v>
      </c>
      <c r="AF441" s="80">
        <f t="shared" si="220"/>
        <v>90000</v>
      </c>
      <c r="AG441" s="80">
        <f t="shared" si="220"/>
        <v>90000</v>
      </c>
      <c r="AH441" s="80">
        <f t="shared" si="220"/>
        <v>90000</v>
      </c>
      <c r="AI441" s="80">
        <f t="shared" si="220"/>
        <v>90000</v>
      </c>
      <c r="AJ441" s="80">
        <f t="shared" si="220"/>
        <v>90000</v>
      </c>
      <c r="AK441" s="266">
        <f t="shared" ref="AK441" si="221">ROUND(SUM(AK430:AK440),5)</f>
        <v>75000</v>
      </c>
      <c r="AL441" s="190"/>
      <c r="AM441" s="190"/>
      <c r="AN441" s="81"/>
      <c r="AR441" s="111"/>
    </row>
    <row r="442" spans="1:44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54"/>
      <c r="S442" s="49"/>
      <c r="T442" s="49"/>
      <c r="U442" s="49"/>
      <c r="V442" s="49"/>
      <c r="W442" s="49" t="s">
        <v>438</v>
      </c>
      <c r="X442" s="49"/>
      <c r="Y442" s="49"/>
      <c r="Z442" s="66"/>
      <c r="AA442" s="140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N442" s="81"/>
    </row>
    <row r="443" spans="1:44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54"/>
      <c r="S443" s="49"/>
      <c r="T443" s="49"/>
      <c r="U443" s="49"/>
      <c r="V443" s="49"/>
      <c r="W443" s="49"/>
      <c r="X443" s="49" t="s">
        <v>439</v>
      </c>
      <c r="Y443" s="49"/>
      <c r="Z443" s="66"/>
      <c r="AA443" s="140"/>
      <c r="AB443" s="66"/>
      <c r="AC443" s="66"/>
      <c r="AD443" s="66"/>
      <c r="AE443" s="66"/>
      <c r="AF443" s="66"/>
      <c r="AG443" s="66"/>
      <c r="AH443" s="66"/>
      <c r="AI443" s="66"/>
      <c r="AJ443" s="66"/>
      <c r="AK443" s="66"/>
      <c r="AN443" s="81"/>
    </row>
    <row r="444" spans="1:44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222">ROUND(H444+J444+L444,5)</f>
        <v>3082.32</v>
      </c>
      <c r="O444" s="66">
        <f t="shared" si="222"/>
        <v>6500</v>
      </c>
      <c r="P444" s="69">
        <f t="shared" si="206"/>
        <v>1027.44</v>
      </c>
      <c r="Q444" s="69">
        <f t="shared" si="206"/>
        <v>2166.6666666666665</v>
      </c>
      <c r="R444" s="5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14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v>5550</v>
      </c>
      <c r="AG444" s="66">
        <v>5550</v>
      </c>
      <c r="AH444" s="66">
        <v>5550</v>
      </c>
      <c r="AI444" s="66">
        <f>Travel!$T$139</f>
        <v>3700</v>
      </c>
      <c r="AJ444" s="66">
        <f>Travel!$T$139</f>
        <v>3700</v>
      </c>
      <c r="AK444" s="66">
        <f>Travel!$T$139</f>
        <v>3700</v>
      </c>
      <c r="AN444"/>
      <c r="AP444"/>
      <c r="AQ444"/>
      <c r="AR444"/>
    </row>
    <row r="445" spans="1:44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222"/>
        <v>4346.18</v>
      </c>
      <c r="O445" s="66">
        <f t="shared" si="222"/>
        <v>6500</v>
      </c>
      <c r="P445" s="69">
        <f t="shared" si="206"/>
        <v>1448.7266666666667</v>
      </c>
      <c r="Q445" s="69">
        <f t="shared" si="206"/>
        <v>2166.6666666666665</v>
      </c>
      <c r="R445" s="5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14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v>5550</v>
      </c>
      <c r="AG445" s="66">
        <v>5550</v>
      </c>
      <c r="AH445" s="66">
        <v>5550</v>
      </c>
      <c r="AI445" s="66">
        <f>Travel!$T$141</f>
        <v>3700</v>
      </c>
      <c r="AJ445" s="66">
        <f>Travel!$T$141</f>
        <v>3700</v>
      </c>
      <c r="AK445" s="66">
        <f>Travel!$T$141</f>
        <v>3700</v>
      </c>
      <c r="AN445"/>
      <c r="AP445"/>
      <c r="AQ445"/>
      <c r="AR445"/>
    </row>
    <row r="446" spans="1:44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222"/>
        <v>1181.1600000000001</v>
      </c>
      <c r="O446" s="66">
        <f t="shared" si="222"/>
        <v>6500</v>
      </c>
      <c r="P446" s="69">
        <f t="shared" si="206"/>
        <v>393.72</v>
      </c>
      <c r="Q446" s="69">
        <f t="shared" si="206"/>
        <v>2166.6666666666665</v>
      </c>
      <c r="R446" s="5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14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v>5550</v>
      </c>
      <c r="AG446" s="66">
        <v>5550</v>
      </c>
      <c r="AH446" s="66">
        <v>5550</v>
      </c>
      <c r="AI446" s="66">
        <f>Travel!$T$145</f>
        <v>3700</v>
      </c>
      <c r="AJ446" s="66">
        <f>Travel!$T$145</f>
        <v>3700</v>
      </c>
      <c r="AK446" s="66">
        <f>Travel!$T$145</f>
        <v>3700</v>
      </c>
      <c r="AM446" s="191"/>
      <c r="AN446"/>
      <c r="AP446"/>
      <c r="AQ446"/>
      <c r="AR446"/>
    </row>
    <row r="447" spans="1:44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222"/>
        <v>1117.28</v>
      </c>
      <c r="O447" s="66">
        <f t="shared" si="222"/>
        <v>3500</v>
      </c>
      <c r="P447" s="69">
        <f t="shared" si="206"/>
        <v>372.42666666666668</v>
      </c>
      <c r="Q447" s="69">
        <f t="shared" si="206"/>
        <v>1166.6666666666667</v>
      </c>
      <c r="R447" s="5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14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v>5550</v>
      </c>
      <c r="AG447" s="66">
        <v>5550</v>
      </c>
      <c r="AH447" s="66">
        <v>5550</v>
      </c>
      <c r="AI447" s="66">
        <f>Travel!$T$149</f>
        <v>3700</v>
      </c>
      <c r="AJ447" s="66">
        <f>Travel!$T$149</f>
        <v>3700</v>
      </c>
      <c r="AK447" s="66">
        <f>Travel!$T$149</f>
        <v>3700</v>
      </c>
      <c r="AM447" s="191"/>
      <c r="AN447"/>
      <c r="AP447"/>
      <c r="AQ447"/>
      <c r="AR447"/>
    </row>
    <row r="448" spans="1:44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222"/>
        <v>5060.6499999999996</v>
      </c>
      <c r="O448" s="66">
        <f t="shared" si="222"/>
        <v>6500</v>
      </c>
      <c r="P448" s="69">
        <f t="shared" si="206"/>
        <v>1686.8833333333332</v>
      </c>
      <c r="Q448" s="69">
        <f t="shared" si="206"/>
        <v>2166.6666666666665</v>
      </c>
      <c r="R448" s="5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14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v>5550</v>
      </c>
      <c r="AG448" s="66">
        <v>5550</v>
      </c>
      <c r="AH448" s="66">
        <v>5550</v>
      </c>
      <c r="AI448" s="66">
        <f>Travel!$T$151</f>
        <v>3700</v>
      </c>
      <c r="AJ448" s="66">
        <f>Travel!$T$151</f>
        <v>3700</v>
      </c>
      <c r="AK448" s="66">
        <f>Travel!$T$151</f>
        <v>3700</v>
      </c>
      <c r="AM448" s="191"/>
      <c r="AN448"/>
      <c r="AP448"/>
      <c r="AQ448"/>
      <c r="AR448"/>
    </row>
    <row r="449" spans="1:44" ht="16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222"/>
        <v>2560.85</v>
      </c>
      <c r="O449" s="66">
        <f t="shared" si="222"/>
        <v>3500</v>
      </c>
      <c r="P449" s="69">
        <f t="shared" si="206"/>
        <v>853.61666666666667</v>
      </c>
      <c r="Q449" s="69">
        <f t="shared" si="206"/>
        <v>1166.6666666666667</v>
      </c>
      <c r="R449" s="5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140"/>
      <c r="AB449" s="66">
        <f>Travel!$T$153</f>
        <v>3700</v>
      </c>
      <c r="AC449" s="66">
        <f>Travel!$T$153</f>
        <v>3700</v>
      </c>
      <c r="AD449" s="66">
        <f>Travel!$T$153</f>
        <v>3700</v>
      </c>
      <c r="AE449" s="66">
        <f>Travel!$T$153</f>
        <v>3700</v>
      </c>
      <c r="AF449" s="66">
        <v>5550</v>
      </c>
      <c r="AG449" s="66">
        <v>5550</v>
      </c>
      <c r="AH449" s="66">
        <v>5550</v>
      </c>
      <c r="AI449" s="66">
        <f>Travel!$T$153</f>
        <v>3700</v>
      </c>
      <c r="AJ449" s="66">
        <f>Travel!$T$153</f>
        <v>3700</v>
      </c>
      <c r="AK449" s="66">
        <f>Travel!$T$153</f>
        <v>3700</v>
      </c>
      <c r="AM449" s="191"/>
      <c r="AN449"/>
      <c r="AP449"/>
      <c r="AQ449"/>
      <c r="AR449"/>
    </row>
    <row r="450" spans="1:44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222"/>
        <v>4712.95</v>
      </c>
      <c r="O450" s="66">
        <f t="shared" si="222"/>
        <v>6500</v>
      </c>
      <c r="P450" s="69">
        <f t="shared" si="206"/>
        <v>1570.9833333333333</v>
      </c>
      <c r="Q450" s="69">
        <f t="shared" si="206"/>
        <v>2166.6666666666665</v>
      </c>
      <c r="R450" s="5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14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v>5550</v>
      </c>
      <c r="AG450" s="66">
        <v>5550</v>
      </c>
      <c r="AH450" s="66">
        <v>5550</v>
      </c>
      <c r="AI450" s="66">
        <f>Travel!$T$155</f>
        <v>3700</v>
      </c>
      <c r="AJ450" s="66">
        <f>Travel!$T$155</f>
        <v>3700</v>
      </c>
      <c r="AK450" s="66">
        <f>Travel!$T$155</f>
        <v>3700</v>
      </c>
      <c r="AM450" s="191"/>
      <c r="AN450"/>
      <c r="AP450"/>
      <c r="AQ450"/>
      <c r="AR450"/>
    </row>
    <row r="451" spans="1:44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222"/>
        <v>10623.42</v>
      </c>
      <c r="O451" s="66">
        <f t="shared" si="222"/>
        <v>6500</v>
      </c>
      <c r="P451" s="69">
        <f t="shared" ref="P451:Q509" si="223">N451/3</f>
        <v>3541.14</v>
      </c>
      <c r="Q451" s="69">
        <f t="shared" si="223"/>
        <v>2166.6666666666665</v>
      </c>
      <c r="R451" s="5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140"/>
      <c r="AB451" s="66">
        <f>Travel!$T$157</f>
        <v>3700</v>
      </c>
      <c r="AC451" s="66">
        <f>Travel!$T$157</f>
        <v>3700</v>
      </c>
      <c r="AD451" s="66">
        <f>Travel!$T$157</f>
        <v>3700</v>
      </c>
      <c r="AE451" s="66">
        <f>Travel!$T$157</f>
        <v>3700</v>
      </c>
      <c r="AF451" s="66">
        <v>5550</v>
      </c>
      <c r="AG451" s="66">
        <v>5550</v>
      </c>
      <c r="AH451" s="66">
        <v>5550</v>
      </c>
      <c r="AI451" s="66">
        <f>Travel!$T$157</f>
        <v>3700</v>
      </c>
      <c r="AJ451" s="66">
        <f>Travel!$T$157</f>
        <v>3700</v>
      </c>
      <c r="AK451" s="66">
        <f>Travel!$T$157</f>
        <v>3700</v>
      </c>
      <c r="AM451" s="218" t="s">
        <v>863</v>
      </c>
      <c r="AN451"/>
      <c r="AP451"/>
      <c r="AQ451"/>
      <c r="AR451"/>
    </row>
    <row r="452" spans="1:44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222"/>
        <v>4606.37</v>
      </c>
      <c r="O452" s="66">
        <f t="shared" si="222"/>
        <v>6500</v>
      </c>
      <c r="P452" s="69">
        <f t="shared" si="223"/>
        <v>1535.4566666666667</v>
      </c>
      <c r="Q452" s="69">
        <f t="shared" si="223"/>
        <v>2166.6666666666665</v>
      </c>
      <c r="R452" s="5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14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v>5550</v>
      </c>
      <c r="AG452" s="66">
        <v>5550</v>
      </c>
      <c r="AH452" s="66">
        <v>5550</v>
      </c>
      <c r="AI452" s="66">
        <f>Travel!$T$159</f>
        <v>3700</v>
      </c>
      <c r="AJ452" s="66">
        <f>Travel!$T$159</f>
        <v>3700</v>
      </c>
      <c r="AK452" s="66">
        <f>Travel!$T$159</f>
        <v>3700</v>
      </c>
      <c r="AM452" s="191"/>
      <c r="AN452"/>
      <c r="AP452"/>
      <c r="AQ452"/>
      <c r="AR452"/>
    </row>
    <row r="453" spans="1:44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222"/>
        <v>0</v>
      </c>
      <c r="O453" s="66">
        <f t="shared" si="222"/>
        <v>79500</v>
      </c>
      <c r="P453" s="69">
        <f t="shared" si="223"/>
        <v>0</v>
      </c>
      <c r="Q453" s="69">
        <f t="shared" si="223"/>
        <v>26500</v>
      </c>
      <c r="R453" s="5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140"/>
      <c r="AB453" s="66">
        <f>Travel!$R$160</f>
        <v>10000</v>
      </c>
      <c r="AC453" s="66">
        <v>10000</v>
      </c>
      <c r="AD453" s="66">
        <v>10000</v>
      </c>
      <c r="AE453" s="66">
        <v>15000</v>
      </c>
      <c r="AF453" s="66">
        <v>17500</v>
      </c>
      <c r="AG453" s="66">
        <v>10000</v>
      </c>
      <c r="AH453" s="66">
        <v>10000</v>
      </c>
      <c r="AI453" s="66">
        <f>Travel!$P$160</f>
        <v>10000</v>
      </c>
      <c r="AJ453" s="66">
        <f>Travel!$P$160</f>
        <v>10000</v>
      </c>
      <c r="AK453" s="66">
        <f>Travel!$P$160</f>
        <v>10000</v>
      </c>
      <c r="AL453" s="173"/>
      <c r="AM453" s="218" t="s">
        <v>1011</v>
      </c>
      <c r="AN453"/>
      <c r="AP453"/>
      <c r="AQ453"/>
      <c r="AR453"/>
    </row>
    <row r="454" spans="1:44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224">ROUND(SUM(H443:H453),5)</f>
        <v>8532.3799999999992</v>
      </c>
      <c r="I454" s="75">
        <f t="shared" si="224"/>
        <v>49500</v>
      </c>
      <c r="J454" s="76">
        <f t="shared" si="224"/>
        <v>10517.83</v>
      </c>
      <c r="K454" s="76">
        <f t="shared" si="224"/>
        <v>31000</v>
      </c>
      <c r="L454" s="77">
        <f t="shared" si="224"/>
        <v>18240.97</v>
      </c>
      <c r="M454" s="77">
        <f t="shared" si="224"/>
        <v>51500</v>
      </c>
      <c r="N454" s="78">
        <f t="shared" si="222"/>
        <v>37291.18</v>
      </c>
      <c r="O454" s="78">
        <f t="shared" si="222"/>
        <v>132000</v>
      </c>
      <c r="P454" s="79">
        <f t="shared" si="223"/>
        <v>12430.393333333333</v>
      </c>
      <c r="Q454" s="79">
        <f t="shared" si="223"/>
        <v>44000</v>
      </c>
      <c r="R454" s="5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140"/>
      <c r="AB454" s="88">
        <f t="shared" ref="AB454:AJ454" si="225">ROUND(SUM(AB443:AB453),5)</f>
        <v>43300</v>
      </c>
      <c r="AC454" s="88">
        <f t="shared" si="225"/>
        <v>43300</v>
      </c>
      <c r="AD454" s="88">
        <f t="shared" si="225"/>
        <v>43300</v>
      </c>
      <c r="AE454" s="88">
        <f t="shared" si="225"/>
        <v>48300</v>
      </c>
      <c r="AF454" s="88">
        <f t="shared" si="225"/>
        <v>67450</v>
      </c>
      <c r="AG454" s="88">
        <f t="shared" si="225"/>
        <v>59950</v>
      </c>
      <c r="AH454" s="88">
        <f t="shared" si="225"/>
        <v>59950</v>
      </c>
      <c r="AI454" s="88">
        <f t="shared" si="225"/>
        <v>43300</v>
      </c>
      <c r="AJ454" s="88">
        <f t="shared" si="225"/>
        <v>43300</v>
      </c>
      <c r="AK454" s="266">
        <f t="shared" ref="AK454" si="226">ROUND(SUM(AK443:AK453),5)</f>
        <v>43300</v>
      </c>
      <c r="AM454" s="191"/>
      <c r="AN454"/>
      <c r="AP454"/>
      <c r="AQ454"/>
      <c r="AR454"/>
    </row>
    <row r="455" spans="1:44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227">ROUND(H442+SUM(H454:H454),5)</f>
        <v>8532.3799999999992</v>
      </c>
      <c r="I455" s="75">
        <f t="shared" si="227"/>
        <v>49500</v>
      </c>
      <c r="J455" s="76">
        <f t="shared" si="227"/>
        <v>10517.83</v>
      </c>
      <c r="K455" s="76">
        <f t="shared" si="227"/>
        <v>31000</v>
      </c>
      <c r="L455" s="77">
        <f t="shared" si="227"/>
        <v>18240.97</v>
      </c>
      <c r="M455" s="77">
        <f t="shared" si="227"/>
        <v>51500</v>
      </c>
      <c r="N455" s="78">
        <f t="shared" si="222"/>
        <v>37291.18</v>
      </c>
      <c r="O455" s="78">
        <f t="shared" si="222"/>
        <v>132000</v>
      </c>
      <c r="P455" s="79">
        <f t="shared" si="223"/>
        <v>12430.393333333333</v>
      </c>
      <c r="Q455" s="79">
        <f t="shared" si="223"/>
        <v>44000</v>
      </c>
      <c r="R455" s="5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140"/>
      <c r="AB455" s="78">
        <f t="shared" ref="AB455:AJ455" si="228">ROUND(AB442+SUM(AB454:AB454),5)</f>
        <v>43300</v>
      </c>
      <c r="AC455" s="78">
        <f t="shared" si="228"/>
        <v>43300</v>
      </c>
      <c r="AD455" s="78">
        <f t="shared" si="228"/>
        <v>43300</v>
      </c>
      <c r="AE455" s="78">
        <f t="shared" si="228"/>
        <v>48300</v>
      </c>
      <c r="AF455" s="78">
        <f t="shared" si="228"/>
        <v>67450</v>
      </c>
      <c r="AG455" s="78">
        <f t="shared" si="228"/>
        <v>59950</v>
      </c>
      <c r="AH455" s="78">
        <f t="shared" si="228"/>
        <v>59950</v>
      </c>
      <c r="AI455" s="78">
        <f t="shared" si="228"/>
        <v>43300</v>
      </c>
      <c r="AJ455" s="78">
        <f t="shared" si="228"/>
        <v>43300</v>
      </c>
      <c r="AK455" s="78">
        <f t="shared" ref="AK455" si="229">ROUND(AK442+SUM(AK454:AK454),5)</f>
        <v>43300</v>
      </c>
      <c r="AM455" s="191"/>
      <c r="AN455"/>
      <c r="AP455"/>
      <c r="AQ455"/>
      <c r="AR455"/>
    </row>
    <row r="456" spans="1:44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54"/>
      <c r="S456" s="49"/>
      <c r="T456" s="49"/>
      <c r="U456" s="49"/>
      <c r="V456" s="49"/>
      <c r="W456" s="49" t="s">
        <v>452</v>
      </c>
      <c r="X456" s="49"/>
      <c r="Y456" s="49"/>
      <c r="Z456" s="66"/>
      <c r="AA456" s="140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M456" s="191"/>
      <c r="AN456"/>
      <c r="AP456"/>
      <c r="AQ456"/>
      <c r="AR456"/>
    </row>
    <row r="457" spans="1:44" ht="32" x14ac:dyDescent="0.35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230">ROUND(H457+J457+L457,5)</f>
        <v>9342.6299999999992</v>
      </c>
      <c r="O457" s="66">
        <f t="shared" si="230"/>
        <v>11500</v>
      </c>
      <c r="P457" s="69">
        <f t="shared" si="223"/>
        <v>3114.2099999999996</v>
      </c>
      <c r="Q457" s="69">
        <f t="shared" si="223"/>
        <v>3833.3333333333335</v>
      </c>
      <c r="R457" s="5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140"/>
      <c r="AB457" s="66">
        <f>Travel!$T$170</f>
        <v>9250</v>
      </c>
      <c r="AC457" s="66">
        <v>5000</v>
      </c>
      <c r="AD457" s="66">
        <v>5000</v>
      </c>
      <c r="AE457" s="66">
        <v>6700</v>
      </c>
      <c r="AF457" s="66">
        <f>Travel!$T$170</f>
        <v>9250</v>
      </c>
      <c r="AG457" s="66">
        <f>Travel!$T$170+1850</f>
        <v>11100</v>
      </c>
      <c r="AH457" s="66">
        <v>11100</v>
      </c>
      <c r="AI457" s="66">
        <f>Travel!$T$170</f>
        <v>9250</v>
      </c>
      <c r="AJ457" s="66">
        <f>Travel!$T$170</f>
        <v>9250</v>
      </c>
      <c r="AK457" s="66">
        <f>Travel!$T$170</f>
        <v>9250</v>
      </c>
      <c r="AM457" s="218" t="s">
        <v>852</v>
      </c>
      <c r="AN457"/>
      <c r="AP457"/>
      <c r="AQ457"/>
      <c r="AR457"/>
    </row>
    <row r="458" spans="1:44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230"/>
        <v>17829.34</v>
      </c>
      <c r="O458" s="66">
        <f t="shared" si="230"/>
        <v>38500</v>
      </c>
      <c r="P458" s="69">
        <f t="shared" si="223"/>
        <v>5943.1133333333337</v>
      </c>
      <c r="Q458" s="69">
        <f t="shared" si="223"/>
        <v>12833.333333333334</v>
      </c>
      <c r="R458" s="5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14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G458" s="66">
        <v>16350</v>
      </c>
      <c r="AH458" s="66">
        <v>16350</v>
      </c>
      <c r="AI458" s="66">
        <f>Travel!$T$172</f>
        <v>14500</v>
      </c>
      <c r="AJ458" s="66">
        <f>Travel!$T$172</f>
        <v>14500</v>
      </c>
      <c r="AK458" s="66">
        <f>Travel!$T$172</f>
        <v>14500</v>
      </c>
      <c r="AM458" s="231" t="s">
        <v>1009</v>
      </c>
      <c r="AN458"/>
      <c r="AP458"/>
      <c r="AQ458"/>
      <c r="AR458"/>
    </row>
    <row r="459" spans="1:44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230"/>
        <v>27125.43</v>
      </c>
      <c r="O459" s="66">
        <f t="shared" si="230"/>
        <v>30000</v>
      </c>
      <c r="P459" s="69">
        <f t="shared" si="223"/>
        <v>9041.81</v>
      </c>
      <c r="Q459" s="69">
        <f t="shared" si="223"/>
        <v>10000</v>
      </c>
      <c r="R459" s="5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14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f>Travel!$T$180</f>
        <v>12000</v>
      </c>
      <c r="AG459" s="66">
        <f>Travel!$T$180</f>
        <v>12000</v>
      </c>
      <c r="AH459" s="66">
        <v>12000</v>
      </c>
      <c r="AI459" s="66">
        <f>Travel!$T$180</f>
        <v>12000</v>
      </c>
      <c r="AJ459" s="66">
        <f>Travel!$T$180</f>
        <v>12000</v>
      </c>
      <c r="AK459" s="66">
        <f>Travel!$T$180</f>
        <v>12000</v>
      </c>
      <c r="AM459" s="192"/>
      <c r="AN459"/>
      <c r="AP459"/>
      <c r="AQ459"/>
      <c r="AR459"/>
    </row>
    <row r="460" spans="1:44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230"/>
        <v>82292.61</v>
      </c>
      <c r="O460" s="66">
        <f t="shared" si="230"/>
        <v>96550</v>
      </c>
      <c r="P460" s="69">
        <f t="shared" si="223"/>
        <v>27430.87</v>
      </c>
      <c r="Q460" s="69">
        <f t="shared" si="223"/>
        <v>32183.333333333332</v>
      </c>
      <c r="R460" s="5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14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f>Travel!$T$200</f>
        <v>46550</v>
      </c>
      <c r="AG460" s="66">
        <f>Travel!$T$200</f>
        <v>46550</v>
      </c>
      <c r="AH460" s="66">
        <v>46550</v>
      </c>
      <c r="AI460" s="66">
        <f>Travel!$T$200</f>
        <v>46550</v>
      </c>
      <c r="AJ460" s="66">
        <f>Travel!$T$200</f>
        <v>46550</v>
      </c>
      <c r="AK460" s="66">
        <f>Travel!$T$200</f>
        <v>46550</v>
      </c>
      <c r="AM460" s="191"/>
      <c r="AN460"/>
      <c r="AP460"/>
      <c r="AQ460"/>
      <c r="AR460"/>
    </row>
    <row r="461" spans="1:44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230"/>
        <v>77589.72</v>
      </c>
      <c r="O461" s="66">
        <f t="shared" si="230"/>
        <v>107235</v>
      </c>
      <c r="P461" s="69">
        <f t="shared" si="223"/>
        <v>25863.24</v>
      </c>
      <c r="Q461" s="69">
        <f t="shared" si="223"/>
        <v>35745</v>
      </c>
      <c r="R461" s="5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14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f>Travel!$T$224</f>
        <v>30000</v>
      </c>
      <c r="AG461" s="66">
        <f>Travel!$T$224</f>
        <v>30000</v>
      </c>
      <c r="AH461" s="66">
        <v>30000</v>
      </c>
      <c r="AI461" s="66">
        <f>Travel!$T$224</f>
        <v>30000</v>
      </c>
      <c r="AJ461" s="66">
        <f>Travel!$T$224</f>
        <v>30000</v>
      </c>
      <c r="AK461" s="66">
        <f>Travel!$T$224</f>
        <v>30000</v>
      </c>
      <c r="AM461" s="191"/>
      <c r="AN461"/>
      <c r="AP461"/>
      <c r="AQ461"/>
      <c r="AR461"/>
    </row>
    <row r="462" spans="1:44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230"/>
        <v>8410.5499999999993</v>
      </c>
      <c r="O462" s="66">
        <f t="shared" si="230"/>
        <v>9500</v>
      </c>
      <c r="P462" s="69">
        <f t="shared" si="223"/>
        <v>2803.5166666666664</v>
      </c>
      <c r="Q462" s="69">
        <f t="shared" si="223"/>
        <v>3166.6666666666665</v>
      </c>
      <c r="R462" s="5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14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G462" s="66">
        <f>Travel!$T$226+1850</f>
        <v>5550</v>
      </c>
      <c r="AH462" s="66">
        <v>5550</v>
      </c>
      <c r="AI462" s="66">
        <f>Travel!$T$226</f>
        <v>3700</v>
      </c>
      <c r="AJ462" s="66">
        <f>Travel!$T$226</f>
        <v>3700</v>
      </c>
      <c r="AK462" s="66">
        <f>Travel!$T$226</f>
        <v>3700</v>
      </c>
      <c r="AM462" s="191"/>
      <c r="AN462"/>
      <c r="AP462"/>
      <c r="AQ462"/>
      <c r="AR462"/>
    </row>
    <row r="463" spans="1:44" ht="16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230"/>
        <v>1939.64</v>
      </c>
      <c r="O463" s="66">
        <f t="shared" si="230"/>
        <v>16500</v>
      </c>
      <c r="P463" s="69">
        <f t="shared" si="223"/>
        <v>646.54666666666674</v>
      </c>
      <c r="Q463" s="69">
        <f t="shared" si="223"/>
        <v>5500</v>
      </c>
      <c r="R463" s="5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140"/>
      <c r="AB463" s="66">
        <v>9000</v>
      </c>
      <c r="AC463" s="66">
        <v>5000</v>
      </c>
      <c r="AD463" s="66">
        <v>5000</v>
      </c>
      <c r="AE463" s="66">
        <v>5000</v>
      </c>
      <c r="AF463" s="66">
        <v>5000</v>
      </c>
      <c r="AG463" s="66">
        <v>10850</v>
      </c>
      <c r="AH463" s="66">
        <v>10850</v>
      </c>
      <c r="AI463" s="66">
        <f>Travel!$T$164</f>
        <v>7150</v>
      </c>
      <c r="AJ463" s="66">
        <f>Travel!$T$164</f>
        <v>7150</v>
      </c>
      <c r="AK463" s="66">
        <f>Travel!$T$164</f>
        <v>7150</v>
      </c>
      <c r="AM463" s="191"/>
      <c r="AN463"/>
      <c r="AP463"/>
      <c r="AQ463"/>
      <c r="AR463"/>
    </row>
    <row r="464" spans="1:44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231">ROUND(SUM(H456:H463),5)</f>
        <v>68157.66</v>
      </c>
      <c r="I464" s="75">
        <f t="shared" si="231"/>
        <v>97000</v>
      </c>
      <c r="J464" s="76">
        <f t="shared" si="231"/>
        <v>75651.53</v>
      </c>
      <c r="K464" s="76">
        <f t="shared" si="231"/>
        <v>88000</v>
      </c>
      <c r="L464" s="77">
        <f t="shared" si="231"/>
        <v>80720.73</v>
      </c>
      <c r="M464" s="77">
        <f t="shared" si="231"/>
        <v>124785</v>
      </c>
      <c r="N464" s="78">
        <f t="shared" si="230"/>
        <v>224529.92000000001</v>
      </c>
      <c r="O464" s="78">
        <f t="shared" si="230"/>
        <v>309785</v>
      </c>
      <c r="P464" s="79">
        <f t="shared" si="223"/>
        <v>74843.306666666671</v>
      </c>
      <c r="Q464" s="79">
        <f t="shared" si="223"/>
        <v>103261.66666666667</v>
      </c>
      <c r="R464" s="5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140"/>
      <c r="AB464" s="91">
        <f t="shared" ref="AB464:AG464" si="232">ROUND(SUM(AB456:AB463),5)</f>
        <v>125000</v>
      </c>
      <c r="AC464" s="91">
        <f t="shared" si="232"/>
        <v>105700</v>
      </c>
      <c r="AD464" s="91">
        <f t="shared" si="232"/>
        <v>105700</v>
      </c>
      <c r="AE464" s="91">
        <f t="shared" si="232"/>
        <v>114900</v>
      </c>
      <c r="AF464" s="91">
        <f t="shared" si="232"/>
        <v>121000</v>
      </c>
      <c r="AG464" s="91">
        <f t="shared" si="232"/>
        <v>132400</v>
      </c>
      <c r="AH464" s="91">
        <v>132400</v>
      </c>
      <c r="AI464" s="91">
        <f t="shared" ref="AI464:AJ464" si="233">ROUND(SUM(AI456:AI463),5)</f>
        <v>123150</v>
      </c>
      <c r="AJ464" s="91">
        <f t="shared" si="233"/>
        <v>123150</v>
      </c>
      <c r="AK464" s="266">
        <f t="shared" ref="AK464" si="234">ROUND(SUM(AK456:AK463),5)</f>
        <v>123150</v>
      </c>
      <c r="AM464" s="191"/>
      <c r="AN464"/>
      <c r="AP464"/>
      <c r="AQ464"/>
      <c r="AR464"/>
    </row>
    <row r="465" spans="1:44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223"/>
        <v>0</v>
      </c>
      <c r="Q465" s="69">
        <f t="shared" si="223"/>
        <v>0</v>
      </c>
      <c r="R465" s="54"/>
      <c r="S465" s="49"/>
      <c r="T465" s="49"/>
      <c r="U465" s="49"/>
      <c r="V465" s="49"/>
      <c r="W465" s="49" t="s">
        <v>461</v>
      </c>
      <c r="X465" s="49"/>
      <c r="Y465" s="49"/>
      <c r="Z465" s="66"/>
      <c r="AA465" s="140"/>
      <c r="AB465" s="66"/>
      <c r="AC465" s="66"/>
      <c r="AD465" s="66"/>
      <c r="AE465" s="66"/>
      <c r="AF465" s="66"/>
      <c r="AG465" s="66"/>
      <c r="AH465" s="66"/>
      <c r="AI465" s="66"/>
      <c r="AJ465" s="66"/>
      <c r="AK465" s="66"/>
      <c r="AM465" s="191"/>
      <c r="AN465"/>
      <c r="AP465"/>
      <c r="AQ465"/>
      <c r="AR465"/>
    </row>
    <row r="466" spans="1:44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235">ROUND(H466+J466+L466,5)</f>
        <v>0</v>
      </c>
      <c r="O466" s="66">
        <f t="shared" si="235"/>
        <v>4350</v>
      </c>
      <c r="P466" s="69">
        <f t="shared" si="223"/>
        <v>0</v>
      </c>
      <c r="Q466" s="69">
        <f t="shared" si="223"/>
        <v>1450</v>
      </c>
      <c r="R466" s="5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140"/>
      <c r="AB466" s="66">
        <f>Travel!$T$228</f>
        <v>1300</v>
      </c>
      <c r="AC466" s="66">
        <f>Travel!$T$228</f>
        <v>1300</v>
      </c>
      <c r="AD466" s="66">
        <f>Travel!$T$228</f>
        <v>1300</v>
      </c>
      <c r="AE466" s="66">
        <f>Travel!$T$228</f>
        <v>1300</v>
      </c>
      <c r="AF466" s="66">
        <f>Travel!$T$228</f>
        <v>1300</v>
      </c>
      <c r="AG466" s="66">
        <f>Travel!$T$228</f>
        <v>1300</v>
      </c>
      <c r="AH466" s="66">
        <f>Travel!$T$228</f>
        <v>1300</v>
      </c>
      <c r="AI466" s="66">
        <f>Travel!$T$228</f>
        <v>1300</v>
      </c>
      <c r="AJ466" s="66">
        <f>Travel!$T$228</f>
        <v>1300</v>
      </c>
      <c r="AK466" s="66">
        <f>Travel!$T$228</f>
        <v>1300</v>
      </c>
      <c r="AM466" s="191"/>
      <c r="AN466"/>
      <c r="AP466"/>
      <c r="AQ466"/>
      <c r="AR466"/>
    </row>
    <row r="467" spans="1:44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235"/>
        <v>6468.36</v>
      </c>
      <c r="O467" s="66">
        <f t="shared" si="235"/>
        <v>27000</v>
      </c>
      <c r="P467" s="69">
        <f t="shared" si="223"/>
        <v>2156.12</v>
      </c>
      <c r="Q467" s="69">
        <f t="shared" si="223"/>
        <v>9000</v>
      </c>
      <c r="R467" s="5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140"/>
      <c r="AB467" s="66">
        <f>Travel!$T$233</f>
        <v>18000</v>
      </c>
      <c r="AC467" s="66">
        <v>5000</v>
      </c>
      <c r="AD467" s="66">
        <v>5000</v>
      </c>
      <c r="AE467" s="66">
        <v>5000</v>
      </c>
      <c r="AF467" s="66">
        <f>Travel!$T$233</f>
        <v>18000</v>
      </c>
      <c r="AG467" s="66">
        <f>Travel!$T$233</f>
        <v>18000</v>
      </c>
      <c r="AH467" s="66">
        <f>Travel!$T$233</f>
        <v>18000</v>
      </c>
      <c r="AI467" s="66">
        <f>Travel!$T$233</f>
        <v>18000</v>
      </c>
      <c r="AJ467" s="66">
        <f>Travel!$T$233-6000</f>
        <v>12000</v>
      </c>
      <c r="AK467" s="66">
        <f>Travel!$T$233-6000</f>
        <v>12000</v>
      </c>
      <c r="AM467" s="219" t="s">
        <v>964</v>
      </c>
      <c r="AN467"/>
      <c r="AP467"/>
      <c r="AQ467"/>
      <c r="AR467"/>
    </row>
    <row r="468" spans="1:44" ht="16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235"/>
        <v>1454.32</v>
      </c>
      <c r="O468" s="73">
        <f t="shared" si="235"/>
        <v>7100</v>
      </c>
      <c r="P468" s="74">
        <f t="shared" si="223"/>
        <v>484.77333333333331</v>
      </c>
      <c r="Q468" s="74">
        <f t="shared" si="223"/>
        <v>2366.6666666666665</v>
      </c>
      <c r="R468" s="5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140"/>
      <c r="AB468" s="66">
        <f>Travel!$T$237</f>
        <v>0</v>
      </c>
      <c r="AC468" s="66">
        <f>Travel!$T$237</f>
        <v>0</v>
      </c>
      <c r="AD468" s="66">
        <f>Travel!$T$237</f>
        <v>0</v>
      </c>
      <c r="AE468" s="66">
        <v>2600</v>
      </c>
      <c r="AF468" s="66">
        <v>2600</v>
      </c>
      <c r="AG468" s="66">
        <f>Travel!$T$237</f>
        <v>0</v>
      </c>
      <c r="AH468" s="66">
        <f>Travel!$T$237</f>
        <v>0</v>
      </c>
      <c r="AI468" s="66">
        <f>Travel!$T$237</f>
        <v>0</v>
      </c>
      <c r="AJ468" s="66">
        <f>Travel!$T$237</f>
        <v>0</v>
      </c>
      <c r="AK468" s="66">
        <f>Travel!$T$237</f>
        <v>0</v>
      </c>
      <c r="AM468"/>
      <c r="AN468"/>
      <c r="AP468"/>
      <c r="AQ468"/>
      <c r="AR468"/>
    </row>
    <row r="469" spans="1:44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236">ROUND(SUM(H465:H468),5)</f>
        <v>2517.89</v>
      </c>
      <c r="I469" s="63">
        <f t="shared" si="236"/>
        <v>15000</v>
      </c>
      <c r="J469" s="64">
        <f t="shared" si="236"/>
        <v>3142.66</v>
      </c>
      <c r="K469" s="64">
        <f t="shared" si="236"/>
        <v>12550</v>
      </c>
      <c r="L469" s="65">
        <f t="shared" si="236"/>
        <v>2262.13</v>
      </c>
      <c r="M469" s="65">
        <f t="shared" si="236"/>
        <v>10900</v>
      </c>
      <c r="N469" s="66">
        <f t="shared" si="235"/>
        <v>7922.68</v>
      </c>
      <c r="O469" s="66">
        <f t="shared" si="235"/>
        <v>38450</v>
      </c>
      <c r="P469" s="69">
        <f t="shared" si="223"/>
        <v>2640.8933333333334</v>
      </c>
      <c r="Q469" s="69">
        <f t="shared" si="223"/>
        <v>12816.666666666666</v>
      </c>
      <c r="R469" s="5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140"/>
      <c r="AB469" s="91">
        <f t="shared" ref="AB469:AJ469" si="237">ROUND(SUM(AB465:AB468),5)</f>
        <v>19300</v>
      </c>
      <c r="AC469" s="91">
        <f t="shared" si="237"/>
        <v>6300</v>
      </c>
      <c r="AD469" s="91">
        <f t="shared" si="237"/>
        <v>6300</v>
      </c>
      <c r="AE469" s="91">
        <f t="shared" si="237"/>
        <v>8900</v>
      </c>
      <c r="AF469" s="91">
        <f t="shared" si="237"/>
        <v>21900</v>
      </c>
      <c r="AG469" s="91">
        <f t="shared" si="237"/>
        <v>19300</v>
      </c>
      <c r="AH469" s="91">
        <f t="shared" si="237"/>
        <v>19300</v>
      </c>
      <c r="AI469" s="91">
        <f t="shared" si="237"/>
        <v>19300</v>
      </c>
      <c r="AJ469" s="91">
        <f t="shared" si="237"/>
        <v>13300</v>
      </c>
      <c r="AK469" s="266">
        <f t="shared" ref="AK469" si="238">ROUND(SUM(AK465:AK468),5)</f>
        <v>13300</v>
      </c>
      <c r="AM469" s="191"/>
      <c r="AN469"/>
      <c r="AP469"/>
      <c r="AQ469"/>
      <c r="AR469"/>
    </row>
    <row r="470" spans="1:44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54"/>
      <c r="S470" s="49"/>
      <c r="T470" s="49"/>
      <c r="U470" s="49"/>
      <c r="V470" s="49"/>
      <c r="W470" s="49" t="s">
        <v>466</v>
      </c>
      <c r="X470" s="49"/>
      <c r="Y470" s="49"/>
      <c r="Z470" s="66"/>
      <c r="AA470" s="140"/>
      <c r="AB470" s="66"/>
      <c r="AC470" s="66"/>
      <c r="AD470" s="66"/>
      <c r="AE470" s="66"/>
      <c r="AF470" s="66"/>
      <c r="AG470" s="66"/>
      <c r="AH470" s="66"/>
      <c r="AI470" s="66"/>
      <c r="AJ470" s="66"/>
      <c r="AK470" s="66"/>
      <c r="AM470" s="191"/>
      <c r="AN470"/>
      <c r="AP470"/>
      <c r="AQ470"/>
      <c r="AR470"/>
    </row>
    <row r="471" spans="1:44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239">ROUND(H471+J471+L471,5)</f>
        <v>40121.949999999997</v>
      </c>
      <c r="O471" s="66">
        <f t="shared" si="239"/>
        <v>50000</v>
      </c>
      <c r="P471" s="69">
        <f t="shared" si="223"/>
        <v>13373.983333333332</v>
      </c>
      <c r="Q471" s="69">
        <f t="shared" si="223"/>
        <v>16666.666666666668</v>
      </c>
      <c r="R471" s="5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140"/>
      <c r="AB471" s="66">
        <f>Travel!$T$248</f>
        <v>18000</v>
      </c>
      <c r="AC471" s="66">
        <v>20000</v>
      </c>
      <c r="AD471" s="66">
        <v>20000</v>
      </c>
      <c r="AE471" s="66">
        <v>20000</v>
      </c>
      <c r="AF471" s="66">
        <f>Travel!$T$248</f>
        <v>18000</v>
      </c>
      <c r="AG471" s="66">
        <f>Travel!$T$248</f>
        <v>18000</v>
      </c>
      <c r="AH471" s="66">
        <f>Travel!$T$248</f>
        <v>18000</v>
      </c>
      <c r="AI471" s="66">
        <f>Travel!$T$248</f>
        <v>18000</v>
      </c>
      <c r="AJ471" s="66">
        <f>Travel!$T$248</f>
        <v>18000</v>
      </c>
      <c r="AK471" s="66">
        <f>Travel!$T$248</f>
        <v>18000</v>
      </c>
      <c r="AM471" s="191"/>
      <c r="AN471"/>
      <c r="AP471"/>
      <c r="AQ471"/>
      <c r="AR471"/>
    </row>
    <row r="472" spans="1:44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239"/>
        <v>298044.73</v>
      </c>
      <c r="O472" s="66">
        <f t="shared" si="239"/>
        <v>298300</v>
      </c>
      <c r="P472" s="69">
        <f t="shared" si="223"/>
        <v>99348.243333333332</v>
      </c>
      <c r="Q472" s="69">
        <f t="shared" si="223"/>
        <v>99433.333333333328</v>
      </c>
      <c r="R472" s="5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140"/>
      <c r="AB472" s="66">
        <f>Travel!$T$262</f>
        <v>92000</v>
      </c>
      <c r="AC472" s="66">
        <v>85000</v>
      </c>
      <c r="AD472" s="66">
        <v>85000</v>
      </c>
      <c r="AE472" s="66">
        <v>85000</v>
      </c>
      <c r="AF472" s="66">
        <f>Travel!$T$262</f>
        <v>92000</v>
      </c>
      <c r="AG472" s="66">
        <f>Travel!$T$262</f>
        <v>92000</v>
      </c>
      <c r="AH472" s="66">
        <f>Travel!$T$262</f>
        <v>92000</v>
      </c>
      <c r="AI472" s="66">
        <f>Travel!$T$262</f>
        <v>92000</v>
      </c>
      <c r="AJ472" s="66">
        <f>Travel!$T$262</f>
        <v>92000</v>
      </c>
      <c r="AK472" s="66">
        <f>Travel!$T$262</f>
        <v>92000</v>
      </c>
      <c r="AM472" s="191"/>
      <c r="AN472"/>
      <c r="AP472"/>
      <c r="AQ472"/>
      <c r="AR472"/>
    </row>
    <row r="473" spans="1:44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239"/>
        <v>91427.03</v>
      </c>
      <c r="O473" s="66">
        <f t="shared" si="239"/>
        <v>71500</v>
      </c>
      <c r="P473" s="69">
        <f t="shared" si="223"/>
        <v>30475.676666666666</v>
      </c>
      <c r="Q473" s="69">
        <f t="shared" si="223"/>
        <v>23833.333333333332</v>
      </c>
      <c r="R473" s="5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140"/>
      <c r="AB473" s="66">
        <f>Travel!$T$289</f>
        <v>29500</v>
      </c>
      <c r="AC473" s="66">
        <v>27000</v>
      </c>
      <c r="AD473" s="66">
        <v>27000</v>
      </c>
      <c r="AE473" s="66">
        <v>30000</v>
      </c>
      <c r="AF473" s="66">
        <f>Travel!$T$289</f>
        <v>29500</v>
      </c>
      <c r="AG473" s="66">
        <f>Travel!$T$289</f>
        <v>29500</v>
      </c>
      <c r="AH473" s="66">
        <f>Travel!$T$289</f>
        <v>29500</v>
      </c>
      <c r="AI473" s="66">
        <f>Travel!$T$289</f>
        <v>29500</v>
      </c>
      <c r="AJ473" s="66">
        <f>Travel!$T$289</f>
        <v>29500</v>
      </c>
      <c r="AK473" s="66">
        <f>Travel!$T$289</f>
        <v>29500</v>
      </c>
      <c r="AM473" s="191"/>
      <c r="AN473"/>
      <c r="AP473"/>
      <c r="AQ473"/>
      <c r="AR473"/>
    </row>
    <row r="474" spans="1:44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239"/>
        <v>3636.89</v>
      </c>
      <c r="O474" s="66">
        <f t="shared" si="239"/>
        <v>16000</v>
      </c>
      <c r="P474" s="69">
        <f t="shared" si="223"/>
        <v>1212.2966666666666</v>
      </c>
      <c r="Q474" s="69">
        <f t="shared" si="223"/>
        <v>5333.333333333333</v>
      </c>
      <c r="R474" s="5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140"/>
      <c r="AB474" s="66">
        <f>Travel!$T$290</f>
        <v>3000</v>
      </c>
      <c r="AC474" s="66">
        <f>Travel!$T$290</f>
        <v>3000</v>
      </c>
      <c r="AD474" s="66">
        <f>Travel!$T$290</f>
        <v>3000</v>
      </c>
      <c r="AE474" s="66">
        <f>Travel!$T$290</f>
        <v>3000</v>
      </c>
      <c r="AF474" s="66">
        <f>Travel!$T$290</f>
        <v>3000</v>
      </c>
      <c r="AG474" s="66">
        <f>Travel!$T$290</f>
        <v>3000</v>
      </c>
      <c r="AH474" s="66">
        <f>Travel!$T$290</f>
        <v>3000</v>
      </c>
      <c r="AI474" s="66">
        <f>Travel!$T$290</f>
        <v>3000</v>
      </c>
      <c r="AJ474" s="66">
        <f>Travel!$T$290</f>
        <v>3000</v>
      </c>
      <c r="AK474" s="66">
        <f>Travel!$T$290</f>
        <v>3000</v>
      </c>
      <c r="AM474" s="191"/>
      <c r="AN474"/>
      <c r="AP474"/>
      <c r="AQ474"/>
      <c r="AR474"/>
    </row>
    <row r="475" spans="1:44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239"/>
        <v>1704.48</v>
      </c>
      <c r="O475" s="66">
        <f t="shared" si="239"/>
        <v>13000</v>
      </c>
      <c r="P475" s="69">
        <f t="shared" si="223"/>
        <v>568.16</v>
      </c>
      <c r="Q475" s="69">
        <f t="shared" si="223"/>
        <v>4333.333333333333</v>
      </c>
      <c r="R475" s="5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140"/>
      <c r="AB475" s="66">
        <f>Travel!$T$291</f>
        <v>9000</v>
      </c>
      <c r="AC475" s="66">
        <f>Travel!$T$291</f>
        <v>9000</v>
      </c>
      <c r="AD475" s="66">
        <f>Travel!$T$291</f>
        <v>9000</v>
      </c>
      <c r="AE475" s="66">
        <f>Travel!$T$291</f>
        <v>9000</v>
      </c>
      <c r="AF475" s="66">
        <v>3000</v>
      </c>
      <c r="AG475" s="66">
        <f>Travel!$T$291</f>
        <v>9000</v>
      </c>
      <c r="AH475" s="66">
        <f>Travel!$T$291</f>
        <v>9000</v>
      </c>
      <c r="AI475" s="66">
        <f>Travel!$T$291</f>
        <v>9000</v>
      </c>
      <c r="AJ475" s="66">
        <f>Travel!$T$291</f>
        <v>9000</v>
      </c>
      <c r="AK475" s="66">
        <f>Travel!$T$291</f>
        <v>9000</v>
      </c>
      <c r="AM475" s="191"/>
      <c r="AN475"/>
      <c r="AP475"/>
      <c r="AQ475"/>
      <c r="AR475"/>
    </row>
    <row r="476" spans="1:44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239"/>
        <v>323010.53999999998</v>
      </c>
      <c r="O476" s="66">
        <f t="shared" si="239"/>
        <v>333639</v>
      </c>
      <c r="P476" s="69">
        <f t="shared" si="223"/>
        <v>107670.18</v>
      </c>
      <c r="Q476" s="69">
        <f t="shared" si="223"/>
        <v>111213</v>
      </c>
      <c r="R476" s="5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140"/>
      <c r="AB476" s="66">
        <f>Travel!$AE$34</f>
        <v>138650</v>
      </c>
      <c r="AC476" s="66">
        <v>110000</v>
      </c>
      <c r="AD476" s="66">
        <v>110000</v>
      </c>
      <c r="AE476" s="66">
        <v>110000</v>
      </c>
      <c r="AF476" s="66">
        <f>Travel!$AE$34</f>
        <v>138650</v>
      </c>
      <c r="AG476" s="66">
        <f>Travel!$AE$34</f>
        <v>138650</v>
      </c>
      <c r="AH476" s="66">
        <f>Travel!$AE$34</f>
        <v>138650</v>
      </c>
      <c r="AI476" s="66">
        <f>Travel!$AE$34</f>
        <v>138650</v>
      </c>
      <c r="AJ476" s="66">
        <f>Travel!$AE$34</f>
        <v>138650</v>
      </c>
      <c r="AK476" s="66">
        <f>Travel!$AE$34</f>
        <v>138650</v>
      </c>
      <c r="AM476" s="191"/>
      <c r="AN476"/>
      <c r="AP476"/>
      <c r="AQ476"/>
      <c r="AR476"/>
    </row>
    <row r="477" spans="1:44" ht="29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239"/>
        <v>38757.58</v>
      </c>
      <c r="O477" s="66">
        <f t="shared" si="239"/>
        <v>20000</v>
      </c>
      <c r="P477" s="69">
        <f t="shared" si="223"/>
        <v>12919.193333333335</v>
      </c>
      <c r="Q477" s="69">
        <f t="shared" si="223"/>
        <v>6666.666666666667</v>
      </c>
      <c r="R477" s="5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140"/>
      <c r="AB477" s="66">
        <f>Travel!$T$292</f>
        <v>17500</v>
      </c>
      <c r="AC477" s="66">
        <f>Travel!$T$292</f>
        <v>17500</v>
      </c>
      <c r="AD477" s="66">
        <f>Travel!$T$292</f>
        <v>17500</v>
      </c>
      <c r="AE477" s="66">
        <f>Travel!$T$292</f>
        <v>17500</v>
      </c>
      <c r="AF477" s="66">
        <f>Travel!$T$292</f>
        <v>17500</v>
      </c>
      <c r="AG477" s="66">
        <f>Travel!$T$292</f>
        <v>17500</v>
      </c>
      <c r="AH477" s="66">
        <f>Travel!$T$292</f>
        <v>17500</v>
      </c>
      <c r="AI477" s="66">
        <f>Travel!$T$292</f>
        <v>17500</v>
      </c>
      <c r="AJ477" s="66">
        <f>Travel!$T$292</f>
        <v>17500</v>
      </c>
      <c r="AK477" s="66">
        <f>Travel!$T$292</f>
        <v>17500</v>
      </c>
      <c r="AM477" s="219" t="s">
        <v>978</v>
      </c>
      <c r="AN477"/>
      <c r="AO477" s="111">
        <v>7500</v>
      </c>
      <c r="AP477"/>
      <c r="AQ477"/>
      <c r="AR477"/>
    </row>
    <row r="478" spans="1:44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239"/>
        <v>9458.01</v>
      </c>
      <c r="O478" s="66">
        <f t="shared" si="239"/>
        <v>15000</v>
      </c>
      <c r="P478" s="69">
        <f t="shared" si="223"/>
        <v>3152.67</v>
      </c>
      <c r="Q478" s="69">
        <f t="shared" si="223"/>
        <v>5000</v>
      </c>
      <c r="R478" s="5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140"/>
      <c r="AB478" s="66">
        <f>Travel!$T$293</f>
        <v>5000</v>
      </c>
      <c r="AC478" s="66">
        <f>Travel!$T$293</f>
        <v>5000</v>
      </c>
      <c r="AD478" s="66">
        <f>Travel!$T$293</f>
        <v>5000</v>
      </c>
      <c r="AE478" s="66">
        <f>Travel!$T$293</f>
        <v>5000</v>
      </c>
      <c r="AF478" s="66">
        <f>Travel!$T$293</f>
        <v>5000</v>
      </c>
      <c r="AG478" s="66">
        <f>Travel!$T$293</f>
        <v>5000</v>
      </c>
      <c r="AH478" s="66">
        <f>Travel!$T$293</f>
        <v>5000</v>
      </c>
      <c r="AI478" s="66">
        <f>Travel!$T$293</f>
        <v>5000</v>
      </c>
      <c r="AJ478" s="66">
        <f>Travel!$T$293</f>
        <v>5000</v>
      </c>
      <c r="AK478" s="66">
        <f>Travel!$T$293</f>
        <v>5000</v>
      </c>
      <c r="AM478" s="191"/>
      <c r="AN478"/>
      <c r="AP478"/>
      <c r="AQ478"/>
      <c r="AR478"/>
    </row>
    <row r="479" spans="1:44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240">ROUND(SUM(H470:H478),5)</f>
        <v>239537.82</v>
      </c>
      <c r="I479" s="75">
        <f t="shared" si="240"/>
        <v>266000</v>
      </c>
      <c r="J479" s="76">
        <f t="shared" si="240"/>
        <v>275471.45</v>
      </c>
      <c r="K479" s="76">
        <f t="shared" si="240"/>
        <v>278000</v>
      </c>
      <c r="L479" s="77">
        <f t="shared" si="240"/>
        <v>291151.94</v>
      </c>
      <c r="M479" s="77">
        <f t="shared" si="240"/>
        <v>273439</v>
      </c>
      <c r="N479" s="78">
        <f t="shared" si="239"/>
        <v>806161.21</v>
      </c>
      <c r="O479" s="78">
        <f t="shared" si="239"/>
        <v>817439</v>
      </c>
      <c r="P479" s="79">
        <f t="shared" si="223"/>
        <v>268720.40333333332</v>
      </c>
      <c r="Q479" s="79">
        <f t="shared" si="223"/>
        <v>272479.66666666669</v>
      </c>
      <c r="R479" s="5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140"/>
      <c r="AB479" s="91">
        <f t="shared" ref="AB479:AJ479" si="241">ROUND(SUM(AB470:AB478),5)</f>
        <v>312650</v>
      </c>
      <c r="AC479" s="91">
        <f t="shared" si="241"/>
        <v>276500</v>
      </c>
      <c r="AD479" s="91">
        <f t="shared" si="241"/>
        <v>276500</v>
      </c>
      <c r="AE479" s="91">
        <f t="shared" si="241"/>
        <v>279500</v>
      </c>
      <c r="AF479" s="91">
        <f t="shared" si="241"/>
        <v>306650</v>
      </c>
      <c r="AG479" s="91">
        <f t="shared" si="241"/>
        <v>312650</v>
      </c>
      <c r="AH479" s="91">
        <f t="shared" si="241"/>
        <v>312650</v>
      </c>
      <c r="AI479" s="91">
        <f t="shared" si="241"/>
        <v>312650</v>
      </c>
      <c r="AJ479" s="91">
        <f t="shared" si="241"/>
        <v>312650</v>
      </c>
      <c r="AK479" s="266">
        <f t="shared" ref="AK479" si="242">ROUND(SUM(AK470:AK478),5)</f>
        <v>312650</v>
      </c>
      <c r="AM479" s="191"/>
      <c r="AN479"/>
      <c r="AO479" s="111">
        <f>SUM(AO454:AO477)</f>
        <v>7500</v>
      </c>
      <c r="AP479"/>
      <c r="AQ479"/>
      <c r="AR479"/>
    </row>
    <row r="480" spans="1:44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54"/>
      <c r="S480" s="49"/>
      <c r="T480" s="49"/>
      <c r="U480" s="49"/>
      <c r="V480" s="49"/>
      <c r="W480" s="49" t="s">
        <v>476</v>
      </c>
      <c r="X480" s="49"/>
      <c r="Y480" s="49"/>
      <c r="Z480" s="66"/>
      <c r="AA480" s="140"/>
      <c r="AB480" s="66"/>
      <c r="AC480" s="66"/>
      <c r="AD480" s="66"/>
      <c r="AE480" s="66"/>
      <c r="AF480" s="66"/>
      <c r="AG480" s="66"/>
      <c r="AH480" s="66"/>
      <c r="AI480" s="66"/>
      <c r="AJ480" s="66"/>
      <c r="AK480" s="66"/>
      <c r="AM480" s="191"/>
      <c r="AN480"/>
      <c r="AP480"/>
      <c r="AQ480"/>
      <c r="AR480"/>
    </row>
    <row r="481" spans="1:44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243">ROUND(H481+J481+L481,5)</f>
        <v>20687.05</v>
      </c>
      <c r="O481" s="66">
        <f t="shared" si="243"/>
        <v>17200</v>
      </c>
      <c r="P481" s="69">
        <f t="shared" si="223"/>
        <v>6895.6833333333334</v>
      </c>
      <c r="Q481" s="69">
        <f t="shared" si="223"/>
        <v>5733.333333333333</v>
      </c>
      <c r="R481" s="5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140"/>
      <c r="AB481" s="66">
        <f>Travel!$T$300</f>
        <v>10500</v>
      </c>
      <c r="AC481" s="66">
        <f>Travel!$T$300</f>
        <v>10500</v>
      </c>
      <c r="AD481" s="66">
        <f>Travel!$T$300</f>
        <v>10500</v>
      </c>
      <c r="AE481" s="66">
        <f>Travel!$T$300</f>
        <v>10500</v>
      </c>
      <c r="AF481" s="66">
        <f>Travel!$T$300</f>
        <v>10500</v>
      </c>
      <c r="AG481" s="66">
        <f>Travel!$T$300</f>
        <v>10500</v>
      </c>
      <c r="AH481" s="66">
        <f>Travel!$T$300</f>
        <v>10500</v>
      </c>
      <c r="AI481" s="66">
        <f>Travel!$T$300</f>
        <v>10500</v>
      </c>
      <c r="AJ481" s="66">
        <f>Travel!$T$300</f>
        <v>10500</v>
      </c>
      <c r="AK481" s="66">
        <f>Travel!$T$300</f>
        <v>10500</v>
      </c>
      <c r="AM481" s="191"/>
      <c r="AN481"/>
      <c r="AP481"/>
      <c r="AQ481"/>
      <c r="AR481"/>
    </row>
    <row r="482" spans="1:44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243"/>
        <v>57727.78</v>
      </c>
      <c r="O482" s="66">
        <f t="shared" si="243"/>
        <v>41100</v>
      </c>
      <c r="P482" s="69">
        <f t="shared" si="223"/>
        <v>19242.593333333334</v>
      </c>
      <c r="Q482" s="69">
        <f t="shared" si="223"/>
        <v>13700</v>
      </c>
      <c r="R482" s="5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140"/>
      <c r="AB482" s="66">
        <f>Travel!$T$312</f>
        <v>18300</v>
      </c>
      <c r="AC482" s="66">
        <v>15000</v>
      </c>
      <c r="AD482" s="66">
        <v>15000</v>
      </c>
      <c r="AE482" s="66">
        <v>15000</v>
      </c>
      <c r="AF482" s="66">
        <f>Travel!$T$312</f>
        <v>18300</v>
      </c>
      <c r="AG482" s="66">
        <f>Travel!$T$312</f>
        <v>18300</v>
      </c>
      <c r="AH482" s="66">
        <f>Travel!$T$312</f>
        <v>18300</v>
      </c>
      <c r="AI482" s="66">
        <f>Travel!$T$312</f>
        <v>18300</v>
      </c>
      <c r="AJ482" s="66">
        <f>Travel!$T$312</f>
        <v>18300</v>
      </c>
      <c r="AK482" s="66">
        <f>Travel!$T$312</f>
        <v>18300</v>
      </c>
      <c r="AM482" s="191"/>
      <c r="AN482"/>
      <c r="AP482"/>
      <c r="AQ482"/>
      <c r="AR482"/>
    </row>
    <row r="483" spans="1:44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243"/>
        <v>70814.95</v>
      </c>
      <c r="O483" s="66">
        <f t="shared" si="243"/>
        <v>78000</v>
      </c>
      <c r="P483" s="69">
        <f t="shared" si="223"/>
        <v>23604.983333333334</v>
      </c>
      <c r="Q483" s="69">
        <f t="shared" si="223"/>
        <v>26000</v>
      </c>
      <c r="R483" s="5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140"/>
      <c r="AB483" s="66">
        <f>Travel!$T$332</f>
        <v>30500</v>
      </c>
      <c r="AC483" s="66">
        <v>25000</v>
      </c>
      <c r="AD483" s="66">
        <v>25000</v>
      </c>
      <c r="AE483" s="66">
        <v>25000</v>
      </c>
      <c r="AF483" s="66">
        <f>Travel!$T$332</f>
        <v>30500</v>
      </c>
      <c r="AG483" s="66">
        <f>Travel!$T$332</f>
        <v>30500</v>
      </c>
      <c r="AH483" s="66">
        <f>Travel!$T$332</f>
        <v>30500</v>
      </c>
      <c r="AI483" s="66">
        <f>Travel!$T$332</f>
        <v>30500</v>
      </c>
      <c r="AJ483" s="66">
        <f>Travel!$T$332</f>
        <v>30500</v>
      </c>
      <c r="AK483" s="66">
        <f>Travel!$T$332</f>
        <v>30500</v>
      </c>
      <c r="AM483" s="191"/>
      <c r="AN483"/>
      <c r="AP483"/>
      <c r="AQ483"/>
      <c r="AR483"/>
    </row>
    <row r="484" spans="1:44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243"/>
        <v>4458.2</v>
      </c>
      <c r="O484" s="66">
        <f t="shared" si="243"/>
        <v>14615</v>
      </c>
      <c r="P484" s="69">
        <f t="shared" si="223"/>
        <v>1486.0666666666666</v>
      </c>
      <c r="Q484" s="69">
        <f t="shared" si="223"/>
        <v>4871.666666666667</v>
      </c>
      <c r="R484" s="5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140"/>
      <c r="AB484" s="66">
        <f>Travel!$T$336</f>
        <v>5000</v>
      </c>
      <c r="AC484" s="66">
        <f>Travel!$T$336</f>
        <v>5000</v>
      </c>
      <c r="AD484" s="66">
        <f>Travel!$T$336</f>
        <v>5000</v>
      </c>
      <c r="AE484" s="66">
        <f>Travel!$T$336</f>
        <v>5000</v>
      </c>
      <c r="AF484" s="66">
        <f>Travel!$T$336</f>
        <v>5000</v>
      </c>
      <c r="AG484" s="66">
        <f>Travel!$T$336</f>
        <v>5000</v>
      </c>
      <c r="AH484" s="66">
        <f>Travel!$T$336</f>
        <v>5000</v>
      </c>
      <c r="AI484" s="66">
        <f>Travel!$T$336</f>
        <v>5000</v>
      </c>
      <c r="AJ484" s="66">
        <f>Travel!$T$336</f>
        <v>5000</v>
      </c>
      <c r="AK484" s="66">
        <f>Travel!$T$336</f>
        <v>5000</v>
      </c>
      <c r="AM484" s="191"/>
      <c r="AN484"/>
      <c r="AP484"/>
      <c r="AQ484"/>
      <c r="AR484"/>
    </row>
    <row r="485" spans="1:44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243"/>
        <v>10610.4</v>
      </c>
      <c r="O485" s="66">
        <f t="shared" si="243"/>
        <v>61200</v>
      </c>
      <c r="P485" s="69">
        <f t="shared" si="223"/>
        <v>3536.7999999999997</v>
      </c>
      <c r="Q485" s="69">
        <f t="shared" si="223"/>
        <v>20400</v>
      </c>
      <c r="R485" s="5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140"/>
      <c r="AB485" s="66">
        <f>Travel!$T$352</f>
        <v>21000</v>
      </c>
      <c r="AC485" s="66">
        <v>15000</v>
      </c>
      <c r="AD485" s="66">
        <v>15000</v>
      </c>
      <c r="AE485" s="66">
        <v>15000</v>
      </c>
      <c r="AF485" s="66">
        <f>Travel!$T$352</f>
        <v>21000</v>
      </c>
      <c r="AG485" s="66">
        <f>Travel!$T$352</f>
        <v>21000</v>
      </c>
      <c r="AH485" s="66">
        <f>Travel!$T$352</f>
        <v>21000</v>
      </c>
      <c r="AI485" s="66">
        <f>Travel!$T$352</f>
        <v>21000</v>
      </c>
      <c r="AJ485" s="66">
        <f>Travel!$T$352</f>
        <v>21000</v>
      </c>
      <c r="AK485" s="66">
        <f>Travel!$T$352</f>
        <v>21000</v>
      </c>
      <c r="AM485" s="191"/>
      <c r="AN485"/>
      <c r="AP485"/>
      <c r="AQ485"/>
      <c r="AR485"/>
    </row>
    <row r="486" spans="1:44" ht="32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243"/>
        <v>81544.240000000005</v>
      </c>
      <c r="O486" s="66">
        <f t="shared" si="243"/>
        <v>84000</v>
      </c>
      <c r="P486" s="69">
        <f t="shared" si="223"/>
        <v>27181.413333333334</v>
      </c>
      <c r="Q486" s="69">
        <f t="shared" si="223"/>
        <v>28000</v>
      </c>
      <c r="R486" s="5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140"/>
      <c r="AB486" s="66">
        <f>Travel!$T$361</f>
        <v>39999.994999999995</v>
      </c>
      <c r="AC486" s="66">
        <v>30000</v>
      </c>
      <c r="AD486" s="66">
        <v>30000</v>
      </c>
      <c r="AE486" s="66">
        <v>30000</v>
      </c>
      <c r="AF486" s="66">
        <f>Travel!$T$361</f>
        <v>39999.994999999995</v>
      </c>
      <c r="AG486" s="66">
        <f>Travel!$T$361</f>
        <v>39999.994999999995</v>
      </c>
      <c r="AH486" s="66">
        <f>Travel!$T$361</f>
        <v>39999.994999999995</v>
      </c>
      <c r="AI486" s="66">
        <f>Travel!$T$361</f>
        <v>39999.994999999995</v>
      </c>
      <c r="AJ486" s="66">
        <f>Travel!$T$361</f>
        <v>39999.994999999995</v>
      </c>
      <c r="AK486" s="66">
        <f>Travel!$T$361</f>
        <v>39999.994999999995</v>
      </c>
      <c r="AM486" s="218" t="s">
        <v>1010</v>
      </c>
      <c r="AN486"/>
      <c r="AO486" s="111">
        <v>5000</v>
      </c>
      <c r="AP486"/>
      <c r="AQ486"/>
      <c r="AR486"/>
    </row>
    <row r="487" spans="1:44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243"/>
        <v>2890.95</v>
      </c>
      <c r="O487" s="66">
        <f t="shared" si="243"/>
        <v>5000</v>
      </c>
      <c r="P487" s="69">
        <f t="shared" si="223"/>
        <v>963.65</v>
      </c>
      <c r="Q487" s="69">
        <f t="shared" si="223"/>
        <v>1666.6666666666667</v>
      </c>
      <c r="R487" s="5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140"/>
      <c r="AB487" s="66">
        <f>Travel!$T$362</f>
        <v>5000</v>
      </c>
      <c r="AC487" s="66">
        <f>Travel!$T$362</f>
        <v>5000</v>
      </c>
      <c r="AD487" s="66">
        <f>Travel!$T$362</f>
        <v>5000</v>
      </c>
      <c r="AE487" s="66">
        <f>Travel!$T$362</f>
        <v>5000</v>
      </c>
      <c r="AF487" s="66">
        <f>Travel!$T$362</f>
        <v>5000</v>
      </c>
      <c r="AG487" s="66">
        <f>Travel!$T$362</f>
        <v>5000</v>
      </c>
      <c r="AH487" s="66">
        <f>Travel!$T$362</f>
        <v>5000</v>
      </c>
      <c r="AI487" s="66">
        <f>Travel!$T$362</f>
        <v>5000</v>
      </c>
      <c r="AJ487" s="66">
        <f>Travel!$T$362</f>
        <v>5000</v>
      </c>
      <c r="AK487" s="66">
        <f>Travel!$T$362</f>
        <v>5000</v>
      </c>
      <c r="AM487" s="191"/>
      <c r="AN487"/>
      <c r="AP487"/>
      <c r="AQ487"/>
      <c r="AR487"/>
    </row>
    <row r="488" spans="1:44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244">ROUND(SUM(H480:H487),5)</f>
        <v>59874.94</v>
      </c>
      <c r="I488" s="75">
        <f t="shared" si="244"/>
        <v>92500</v>
      </c>
      <c r="J488" s="76">
        <f t="shared" si="244"/>
        <v>75252.66</v>
      </c>
      <c r="K488" s="76">
        <f t="shared" si="244"/>
        <v>95000</v>
      </c>
      <c r="L488" s="77">
        <f t="shared" si="244"/>
        <v>113605.97</v>
      </c>
      <c r="M488" s="77">
        <f t="shared" si="244"/>
        <v>113615</v>
      </c>
      <c r="N488" s="78">
        <f t="shared" si="243"/>
        <v>248733.57</v>
      </c>
      <c r="O488" s="78">
        <f t="shared" si="243"/>
        <v>301115</v>
      </c>
      <c r="P488" s="79">
        <f t="shared" si="223"/>
        <v>82911.19</v>
      </c>
      <c r="Q488" s="79">
        <f t="shared" si="223"/>
        <v>100371.66666666667</v>
      </c>
      <c r="R488" s="5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140"/>
      <c r="AB488" s="91">
        <f t="shared" ref="AB488:AJ488" si="245">ROUND(SUM(AB480:AB487),5)</f>
        <v>130299.995</v>
      </c>
      <c r="AC488" s="91">
        <f t="shared" si="245"/>
        <v>105500</v>
      </c>
      <c r="AD488" s="91">
        <f t="shared" si="245"/>
        <v>105500</v>
      </c>
      <c r="AE488" s="91">
        <f t="shared" si="245"/>
        <v>105500</v>
      </c>
      <c r="AF488" s="91">
        <f t="shared" si="245"/>
        <v>130299.995</v>
      </c>
      <c r="AG488" s="91">
        <f t="shared" si="245"/>
        <v>130299.995</v>
      </c>
      <c r="AH488" s="91">
        <f t="shared" si="245"/>
        <v>130299.995</v>
      </c>
      <c r="AI488" s="91">
        <f t="shared" si="245"/>
        <v>130299.995</v>
      </c>
      <c r="AJ488" s="91">
        <f t="shared" si="245"/>
        <v>130299.995</v>
      </c>
      <c r="AK488" s="266">
        <f t="shared" ref="AK488" si="246">ROUND(SUM(AK480:AK487),5)</f>
        <v>130299.995</v>
      </c>
      <c r="AM488" s="191"/>
      <c r="AN488"/>
      <c r="AP488"/>
      <c r="AQ488"/>
      <c r="AR488"/>
    </row>
    <row r="489" spans="1:44" ht="1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247">ROUND(H429+H441+H455+H464+H469+H479+SUM(H488:H488),5)</f>
        <v>418230.26</v>
      </c>
      <c r="I489" s="75">
        <f t="shared" si="247"/>
        <v>595000</v>
      </c>
      <c r="J489" s="76">
        <f t="shared" si="247"/>
        <v>490473.05</v>
      </c>
      <c r="K489" s="76">
        <f t="shared" si="247"/>
        <v>579550</v>
      </c>
      <c r="L489" s="77">
        <f t="shared" si="247"/>
        <v>559533.9</v>
      </c>
      <c r="M489" s="77">
        <f t="shared" si="247"/>
        <v>649239</v>
      </c>
      <c r="N489" s="78">
        <f t="shared" si="243"/>
        <v>1468237.21</v>
      </c>
      <c r="O489" s="78">
        <f t="shared" si="243"/>
        <v>1823789</v>
      </c>
      <c r="P489" s="79">
        <f t="shared" si="223"/>
        <v>489412.40333333332</v>
      </c>
      <c r="Q489" s="79">
        <f t="shared" si="223"/>
        <v>607929.66666666663</v>
      </c>
      <c r="R489" s="5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140"/>
      <c r="AB489" s="78">
        <f t="shared" ref="AB489:AJ489" si="248">ROUND(AB429+AB441+AB455+AB464+AB469+AB479+SUM(AB488:AB488),5)</f>
        <v>720549.995</v>
      </c>
      <c r="AC489" s="78">
        <f t="shared" si="248"/>
        <v>605300</v>
      </c>
      <c r="AD489" s="78">
        <f t="shared" si="248"/>
        <v>625300</v>
      </c>
      <c r="AE489" s="78">
        <f t="shared" si="248"/>
        <v>647100</v>
      </c>
      <c r="AF489" s="78">
        <f t="shared" si="248"/>
        <v>737299.995</v>
      </c>
      <c r="AG489" s="78">
        <f t="shared" si="248"/>
        <v>744599.995</v>
      </c>
      <c r="AH489" s="78">
        <f t="shared" si="248"/>
        <v>744599.995</v>
      </c>
      <c r="AI489" s="78">
        <f t="shared" si="248"/>
        <v>718699.995</v>
      </c>
      <c r="AJ489" s="78">
        <f t="shared" si="248"/>
        <v>712699.995</v>
      </c>
      <c r="AK489" s="78">
        <f t="shared" ref="AK489" si="249">ROUND(AK429+AK441+AK455+AK464+AK469+AK479+SUM(AK488:AK488),5)</f>
        <v>697699.995</v>
      </c>
      <c r="AM489" s="191"/>
      <c r="AN489"/>
      <c r="AP489"/>
      <c r="AQ489"/>
      <c r="AR489"/>
    </row>
    <row r="490" spans="1:44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223"/>
        <v>0</v>
      </c>
      <c r="Q490" s="69">
        <f t="shared" si="223"/>
        <v>0</v>
      </c>
      <c r="R490" s="54"/>
      <c r="S490" s="49"/>
      <c r="T490" s="49"/>
      <c r="U490" s="49"/>
      <c r="V490" s="49" t="s">
        <v>486</v>
      </c>
      <c r="W490" s="49"/>
      <c r="X490" s="49"/>
      <c r="Y490" s="49"/>
      <c r="Z490" s="66"/>
      <c r="AA490" s="140"/>
      <c r="AB490" s="66"/>
      <c r="AC490" s="66"/>
      <c r="AD490" s="66"/>
      <c r="AE490" s="66"/>
      <c r="AF490" s="66"/>
      <c r="AG490" s="66"/>
      <c r="AH490" s="66"/>
      <c r="AI490" s="66"/>
      <c r="AJ490" s="66"/>
      <c r="AK490" s="66"/>
      <c r="AM490" s="191"/>
      <c r="AN490"/>
      <c r="AP490"/>
      <c r="AQ490"/>
      <c r="AR490"/>
    </row>
    <row r="491" spans="1:44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4" si="250">ROUND(H491+J491+L491,5)</f>
        <v>10042.5</v>
      </c>
      <c r="O491" s="66">
        <f t="shared" si="250"/>
        <v>30000</v>
      </c>
      <c r="P491" s="69">
        <f t="shared" si="223"/>
        <v>3347.5</v>
      </c>
      <c r="Q491" s="69">
        <f t="shared" si="223"/>
        <v>10000</v>
      </c>
      <c r="R491" s="5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140"/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H491" s="66">
        <v>0</v>
      </c>
      <c r="AI491" s="66">
        <v>0</v>
      </c>
      <c r="AJ491" s="66">
        <v>0</v>
      </c>
      <c r="AK491" s="66">
        <v>0</v>
      </c>
      <c r="AM491" s="191"/>
      <c r="AN491"/>
      <c r="AP491"/>
      <c r="AQ491"/>
      <c r="AR491"/>
    </row>
    <row r="492" spans="1:44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250"/>
        <v>7205.43</v>
      </c>
      <c r="O492" s="66">
        <f t="shared" si="250"/>
        <v>8000</v>
      </c>
      <c r="P492" s="69">
        <f t="shared" si="223"/>
        <v>2401.81</v>
      </c>
      <c r="Q492" s="69">
        <f t="shared" si="223"/>
        <v>2666.6666666666665</v>
      </c>
      <c r="R492" s="5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14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G492" s="66">
        <v>2500</v>
      </c>
      <c r="AH492" s="66">
        <v>2500</v>
      </c>
      <c r="AI492" s="66">
        <v>2500</v>
      </c>
      <c r="AJ492" s="66">
        <v>2500</v>
      </c>
      <c r="AK492" s="66">
        <v>2500</v>
      </c>
      <c r="AM492" s="191"/>
      <c r="AN492"/>
      <c r="AP492"/>
      <c r="AQ492"/>
      <c r="AR492"/>
    </row>
    <row r="493" spans="1:44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250"/>
        <v>15127.94</v>
      </c>
      <c r="O493" s="66">
        <f t="shared" si="250"/>
        <v>16500</v>
      </c>
      <c r="P493" s="69">
        <f t="shared" si="223"/>
        <v>5042.6466666666665</v>
      </c>
      <c r="Q493" s="69">
        <f t="shared" si="223"/>
        <v>5500</v>
      </c>
      <c r="R493" s="5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140"/>
      <c r="AB493" s="66">
        <v>6000</v>
      </c>
      <c r="AC493" s="66">
        <v>6000</v>
      </c>
      <c r="AD493" s="66">
        <v>6000</v>
      </c>
      <c r="AE493" s="66">
        <v>6000</v>
      </c>
      <c r="AF493" s="66">
        <v>6000</v>
      </c>
      <c r="AG493" s="66">
        <v>6000</v>
      </c>
      <c r="AH493" s="66">
        <v>6000</v>
      </c>
      <c r="AI493" s="66">
        <v>6000</v>
      </c>
      <c r="AJ493" s="66">
        <v>6000</v>
      </c>
      <c r="AK493" s="66">
        <v>6000</v>
      </c>
      <c r="AM493" s="191"/>
      <c r="AN493"/>
      <c r="AP493"/>
      <c r="AQ493"/>
      <c r="AR493"/>
    </row>
    <row r="494" spans="1:44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250"/>
        <v>13298.77</v>
      </c>
      <c r="O494" s="66">
        <f t="shared" si="250"/>
        <v>7000</v>
      </c>
      <c r="P494" s="69">
        <f t="shared" si="223"/>
        <v>4432.9233333333332</v>
      </c>
      <c r="Q494" s="69">
        <f t="shared" si="223"/>
        <v>2333.3333333333335</v>
      </c>
      <c r="R494" s="5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14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G494" s="66">
        <v>3000</v>
      </c>
      <c r="AH494" s="66">
        <v>3000</v>
      </c>
      <c r="AI494" s="66">
        <v>3000</v>
      </c>
      <c r="AJ494" s="66">
        <v>3000</v>
      </c>
      <c r="AK494" s="66">
        <v>3000</v>
      </c>
      <c r="AM494" s="191"/>
      <c r="AN494"/>
      <c r="AP494"/>
      <c r="AQ494"/>
      <c r="AR494"/>
    </row>
    <row r="495" spans="1:44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250"/>
        <v>510268.35</v>
      </c>
      <c r="O495" s="66">
        <f t="shared" si="250"/>
        <v>437243.12</v>
      </c>
      <c r="P495" s="69">
        <f t="shared" si="223"/>
        <v>170089.44999999998</v>
      </c>
      <c r="Q495" s="69">
        <f t="shared" si="223"/>
        <v>145747.70666666667</v>
      </c>
      <c r="R495" s="5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140"/>
      <c r="AB495" s="66">
        <f t="shared" ref="AB495:AF495" si="251">ROUND(AB220*0.0386, 0)</f>
        <v>205031</v>
      </c>
      <c r="AC495" s="66">
        <f t="shared" si="251"/>
        <v>205031</v>
      </c>
      <c r="AD495" s="66">
        <f t="shared" si="251"/>
        <v>207550</v>
      </c>
      <c r="AE495" s="66">
        <f t="shared" si="251"/>
        <v>206778</v>
      </c>
      <c r="AF495" s="66">
        <f t="shared" si="251"/>
        <v>212691</v>
      </c>
      <c r="AG495" s="66">
        <f>ROUND(AG220*0.0386, 0)</f>
        <v>216120</v>
      </c>
      <c r="AH495" s="66">
        <f>ROUND(AH220*0.0386, 0)</f>
        <v>221717</v>
      </c>
      <c r="AI495" s="66">
        <f>ROUND(AI220*0.0386, 0)</f>
        <v>219170</v>
      </c>
      <c r="AJ495" s="66">
        <f>ROUND(AJ220*0.0386, 0)</f>
        <v>219305</v>
      </c>
      <c r="AK495" s="66">
        <f>ROUND(AK220*0.0386, 0)</f>
        <v>220930</v>
      </c>
      <c r="AL495" s="197"/>
      <c r="AM495" s="232" t="s">
        <v>844</v>
      </c>
      <c r="AN495"/>
      <c r="AP495"/>
      <c r="AQ495"/>
      <c r="AR495"/>
    </row>
    <row r="496" spans="1:44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250"/>
        <v>0</v>
      </c>
      <c r="O496" s="66">
        <f>ROUND(I496+K496+M496,5)</f>
        <v>1000</v>
      </c>
      <c r="P496" s="69">
        <f t="shared" si="223"/>
        <v>0</v>
      </c>
      <c r="Q496" s="69">
        <f t="shared" si="223"/>
        <v>333.33333333333331</v>
      </c>
      <c r="R496" s="5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14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0</v>
      </c>
      <c r="AI496" s="66">
        <v>0</v>
      </c>
      <c r="AJ496" s="66">
        <v>0</v>
      </c>
      <c r="AK496" s="66">
        <v>0</v>
      </c>
      <c r="AL496" s="197"/>
      <c r="AM496" s="147"/>
      <c r="AN496"/>
      <c r="AP496"/>
      <c r="AQ496"/>
      <c r="AR496"/>
    </row>
    <row r="497" spans="1:44" x14ac:dyDescent="0.35">
      <c r="A497" s="66"/>
      <c r="B497" s="66"/>
      <c r="C497" s="49"/>
      <c r="D497" s="49"/>
      <c r="E497" s="49"/>
      <c r="F497" s="49"/>
      <c r="G497" s="49"/>
      <c r="H497" s="63"/>
      <c r="I497" s="63"/>
      <c r="J497" s="64"/>
      <c r="K497" s="64"/>
      <c r="L497" s="65"/>
      <c r="M497" s="65"/>
      <c r="N497" s="66"/>
      <c r="O497" s="66"/>
      <c r="P497" s="69"/>
      <c r="Q497" s="69"/>
      <c r="R497" s="54"/>
      <c r="S497" s="49"/>
      <c r="T497" s="49"/>
      <c r="U497" s="49"/>
      <c r="V497" s="49"/>
      <c r="W497" s="49" t="s">
        <v>967</v>
      </c>
      <c r="X497" s="49"/>
      <c r="Y497" s="49"/>
      <c r="Z497" s="66"/>
      <c r="AA497" s="140"/>
      <c r="AB497" s="66"/>
      <c r="AC497" s="66"/>
      <c r="AD497" s="66"/>
      <c r="AE497" s="66"/>
      <c r="AF497" s="66"/>
      <c r="AG497" s="66"/>
      <c r="AH497" s="66"/>
      <c r="AI497" s="66"/>
      <c r="AJ497" s="66"/>
      <c r="AK497" s="66"/>
      <c r="AL497" s="197"/>
      <c r="AM497" s="147"/>
      <c r="AN497"/>
      <c r="AP497"/>
      <c r="AQ497"/>
      <c r="AR497"/>
    </row>
    <row r="498" spans="1:44" ht="16" x14ac:dyDescent="0.35">
      <c r="A498" s="66"/>
      <c r="B498" s="66"/>
      <c r="C498" s="49"/>
      <c r="D498" s="49"/>
      <c r="E498" s="49" t="s">
        <v>493</v>
      </c>
      <c r="F498" s="49"/>
      <c r="G498" s="49"/>
      <c r="H498" s="63">
        <v>3322.5</v>
      </c>
      <c r="I498" s="63">
        <v>6000</v>
      </c>
      <c r="J498" s="64">
        <v>5750.2</v>
      </c>
      <c r="K498" s="64">
        <v>4000</v>
      </c>
      <c r="L498" s="65">
        <v>26568.75</v>
      </c>
      <c r="M498" s="65">
        <v>4000</v>
      </c>
      <c r="N498" s="66">
        <f t="shared" si="250"/>
        <v>35641.449999999997</v>
      </c>
      <c r="O498" s="66">
        <f t="shared" si="250"/>
        <v>14000</v>
      </c>
      <c r="P498" s="69">
        <f t="shared" si="223"/>
        <v>11880.483333333332</v>
      </c>
      <c r="Q498" s="69">
        <f t="shared" si="223"/>
        <v>4666.666666666667</v>
      </c>
      <c r="R498" s="54"/>
      <c r="S498" s="49"/>
      <c r="T498" s="49"/>
      <c r="U498" s="49"/>
      <c r="V498" s="49"/>
      <c r="W498" s="49" t="s">
        <v>493</v>
      </c>
      <c r="X498" s="49"/>
      <c r="Y498" s="49"/>
      <c r="Z498" s="66">
        <v>37500</v>
      </c>
      <c r="AA498" s="140"/>
      <c r="AB498" s="66">
        <v>24000</v>
      </c>
      <c r="AC498" s="66">
        <v>24000</v>
      </c>
      <c r="AD498" s="66">
        <v>24000</v>
      </c>
      <c r="AE498" s="66">
        <v>24000</v>
      </c>
      <c r="AF498" s="66">
        <v>24000</v>
      </c>
      <c r="AG498" s="66">
        <v>15000</v>
      </c>
      <c r="AH498" s="66">
        <v>15000</v>
      </c>
      <c r="AI498" s="66">
        <v>15000</v>
      </c>
      <c r="AJ498" s="66">
        <v>15000</v>
      </c>
      <c r="AK498" s="66">
        <v>15000</v>
      </c>
      <c r="AM498" s="191"/>
      <c r="AN498"/>
      <c r="AP498"/>
      <c r="AQ498"/>
      <c r="AR498"/>
    </row>
    <row r="499" spans="1:44" ht="16" x14ac:dyDescent="0.35">
      <c r="A499" s="66"/>
      <c r="B499" s="66"/>
      <c r="C499" s="49"/>
      <c r="D499" s="49"/>
      <c r="E499" s="49" t="s">
        <v>494</v>
      </c>
      <c r="F499" s="49"/>
      <c r="G499" s="49"/>
      <c r="H499" s="63">
        <v>2934</v>
      </c>
      <c r="I499" s="63">
        <v>5607</v>
      </c>
      <c r="J499" s="64">
        <v>0</v>
      </c>
      <c r="K499" s="64">
        <v>0</v>
      </c>
      <c r="L499" s="65">
        <v>0</v>
      </c>
      <c r="M499" s="65">
        <v>0</v>
      </c>
      <c r="N499" s="66">
        <f t="shared" si="250"/>
        <v>2934</v>
      </c>
      <c r="O499" s="66">
        <f t="shared" si="250"/>
        <v>5607</v>
      </c>
      <c r="P499" s="69">
        <f t="shared" si="223"/>
        <v>978</v>
      </c>
      <c r="Q499" s="69">
        <f t="shared" si="223"/>
        <v>1869</v>
      </c>
      <c r="R499" s="54"/>
      <c r="S499" s="49"/>
      <c r="T499" s="49"/>
      <c r="U499" s="49"/>
      <c r="V499" s="49"/>
      <c r="W499" s="49" t="s">
        <v>494</v>
      </c>
      <c r="X499" s="49"/>
      <c r="Y499" s="49"/>
      <c r="Z499" s="66">
        <v>0</v>
      </c>
      <c r="AA499" s="140"/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0</v>
      </c>
      <c r="AI499" s="66">
        <v>0</v>
      </c>
      <c r="AJ499" s="66">
        <v>0</v>
      </c>
      <c r="AK499" s="66">
        <v>0</v>
      </c>
      <c r="AM499" s="191"/>
      <c r="AN499"/>
      <c r="AP499"/>
      <c r="AQ499"/>
      <c r="AR499"/>
    </row>
    <row r="500" spans="1:44" ht="29" x14ac:dyDescent="0.35">
      <c r="A500" s="66"/>
      <c r="B500" s="66"/>
      <c r="C500" s="49"/>
      <c r="D500" s="49"/>
      <c r="E500" s="49" t="s">
        <v>495</v>
      </c>
      <c r="F500" s="49"/>
      <c r="G500" s="49"/>
      <c r="H500" s="63">
        <v>74809.66</v>
      </c>
      <c r="I500" s="63">
        <v>105600</v>
      </c>
      <c r="J500" s="64">
        <v>52243.49</v>
      </c>
      <c r="K500" s="64">
        <v>53000</v>
      </c>
      <c r="L500" s="65">
        <v>51678.79</v>
      </c>
      <c r="M500" s="65">
        <v>70507</v>
      </c>
      <c r="N500" s="66">
        <f t="shared" si="250"/>
        <v>178731.94</v>
      </c>
      <c r="O500" s="66">
        <f t="shared" si="250"/>
        <v>229107</v>
      </c>
      <c r="P500" s="69">
        <f t="shared" si="223"/>
        <v>59577.313333333332</v>
      </c>
      <c r="Q500" s="69">
        <f t="shared" si="223"/>
        <v>76369</v>
      </c>
      <c r="R500" s="54"/>
      <c r="S500" s="49"/>
      <c r="T500" s="49"/>
      <c r="U500" s="49"/>
      <c r="V500" s="49"/>
      <c r="W500" s="49" t="s">
        <v>495</v>
      </c>
      <c r="X500" s="49"/>
      <c r="Y500" s="49"/>
      <c r="Z500" s="66">
        <v>74122.820000000007</v>
      </c>
      <c r="AA500" s="140"/>
      <c r="AB500" s="66">
        <v>109482.14</v>
      </c>
      <c r="AC500" s="66">
        <v>109482.14</v>
      </c>
      <c r="AD500" s="66">
        <v>109482.14</v>
      </c>
      <c r="AE500" s="66">
        <v>109482.14</v>
      </c>
      <c r="AF500" s="66">
        <f>ROUND(135482.14, 0)</f>
        <v>135482</v>
      </c>
      <c r="AG500" s="66">
        <f>ROUND(145282.14, 0)</f>
        <v>145282</v>
      </c>
      <c r="AH500" s="66">
        <v>121979.63</v>
      </c>
      <c r="AI500" s="66">
        <v>121979.63</v>
      </c>
      <c r="AJ500" s="66">
        <f>ROUND(121979.63, 0)</f>
        <v>121980</v>
      </c>
      <c r="AK500" s="66">
        <f>ROUND(128364.63, 0)</f>
        <v>128365</v>
      </c>
      <c r="AM500" s="231" t="s">
        <v>969</v>
      </c>
      <c r="AN500"/>
      <c r="AP500"/>
      <c r="AQ500"/>
      <c r="AR500"/>
    </row>
    <row r="501" spans="1:44" ht="16" x14ac:dyDescent="0.35">
      <c r="A501" s="66"/>
      <c r="B501" s="66"/>
      <c r="C501" s="49"/>
      <c r="D501" s="49"/>
      <c r="E501" s="49" t="s">
        <v>496</v>
      </c>
      <c r="F501" s="49"/>
      <c r="G501" s="49"/>
      <c r="H501" s="63">
        <v>2727.19</v>
      </c>
      <c r="I501" s="63">
        <v>4500</v>
      </c>
      <c r="J501" s="64">
        <v>4935.63</v>
      </c>
      <c r="K501" s="64">
        <v>4500</v>
      </c>
      <c r="L501" s="65">
        <v>6253.02</v>
      </c>
      <c r="M501" s="65">
        <v>4025</v>
      </c>
      <c r="N501" s="66">
        <f t="shared" si="250"/>
        <v>13915.84</v>
      </c>
      <c r="O501" s="66">
        <f t="shared" si="250"/>
        <v>13025</v>
      </c>
      <c r="P501" s="69">
        <f t="shared" si="223"/>
        <v>4638.6133333333337</v>
      </c>
      <c r="Q501" s="69">
        <f t="shared" si="223"/>
        <v>4341.666666666667</v>
      </c>
      <c r="R501" s="54"/>
      <c r="S501" s="49"/>
      <c r="T501" s="49"/>
      <c r="U501" s="49"/>
      <c r="V501" s="49"/>
      <c r="W501" s="49" t="s">
        <v>496</v>
      </c>
      <c r="X501" s="49"/>
      <c r="Y501" s="49"/>
      <c r="Z501" s="66">
        <v>8352</v>
      </c>
      <c r="AA501" s="140"/>
      <c r="AB501" s="66">
        <v>4563</v>
      </c>
      <c r="AC501" s="66">
        <v>4563</v>
      </c>
      <c r="AD501" s="66">
        <v>4563</v>
      </c>
      <c r="AE501" s="66">
        <v>4563</v>
      </c>
      <c r="AF501" s="66">
        <v>4563</v>
      </c>
      <c r="AG501" s="66">
        <v>4563</v>
      </c>
      <c r="AH501" s="66">
        <v>4563</v>
      </c>
      <c r="AI501" s="66">
        <v>4563</v>
      </c>
      <c r="AJ501" s="66">
        <v>4563</v>
      </c>
      <c r="AK501" s="66">
        <v>4563</v>
      </c>
      <c r="AM501" s="191"/>
      <c r="AN501"/>
      <c r="AP501"/>
      <c r="AQ501"/>
      <c r="AR501"/>
    </row>
    <row r="502" spans="1:44" ht="16" x14ac:dyDescent="0.35">
      <c r="A502" s="66"/>
      <c r="B502" s="66"/>
      <c r="C502" s="49"/>
      <c r="D502" s="49"/>
      <c r="E502" s="49" t="s">
        <v>497</v>
      </c>
      <c r="F502" s="49"/>
      <c r="G502" s="49"/>
      <c r="H502" s="63">
        <v>3590</v>
      </c>
      <c r="I502" s="63">
        <v>4608</v>
      </c>
      <c r="J502" s="64">
        <v>3588</v>
      </c>
      <c r="K502" s="64">
        <v>3700</v>
      </c>
      <c r="L502" s="65">
        <v>689</v>
      </c>
      <c r="M502" s="65">
        <v>3600</v>
      </c>
      <c r="N502" s="66">
        <f t="shared" si="250"/>
        <v>7867</v>
      </c>
      <c r="O502" s="66">
        <f t="shared" si="250"/>
        <v>11908</v>
      </c>
      <c r="P502" s="69">
        <f t="shared" si="223"/>
        <v>2622.3333333333335</v>
      </c>
      <c r="Q502" s="69">
        <f t="shared" si="223"/>
        <v>3969.3333333333335</v>
      </c>
      <c r="R502" s="54"/>
      <c r="S502" s="49"/>
      <c r="T502" s="49"/>
      <c r="U502" s="49"/>
      <c r="V502" s="49"/>
      <c r="W502" s="49" t="s">
        <v>497</v>
      </c>
      <c r="X502" s="49"/>
      <c r="Y502" s="49"/>
      <c r="Z502" s="66">
        <v>2000</v>
      </c>
      <c r="AA502" s="140"/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0</v>
      </c>
      <c r="AI502" s="66">
        <v>0</v>
      </c>
      <c r="AJ502" s="66">
        <v>0</v>
      </c>
      <c r="AK502" s="66">
        <v>0</v>
      </c>
      <c r="AM502" s="191"/>
      <c r="AN502"/>
      <c r="AP502"/>
      <c r="AQ502"/>
      <c r="AR502"/>
    </row>
    <row r="503" spans="1:44" ht="16" x14ac:dyDescent="0.35">
      <c r="A503" s="66"/>
      <c r="B503" s="66"/>
      <c r="C503" s="49"/>
      <c r="D503" s="49"/>
      <c r="E503" s="49" t="s">
        <v>498</v>
      </c>
      <c r="F503" s="49"/>
      <c r="G503" s="49"/>
      <c r="H503" s="63">
        <v>12597.17</v>
      </c>
      <c r="I503" s="63">
        <v>12766</v>
      </c>
      <c r="J503" s="64">
        <v>11637.22</v>
      </c>
      <c r="K503" s="64">
        <v>12771.48</v>
      </c>
      <c r="L503" s="65">
        <v>11300</v>
      </c>
      <c r="M503" s="65">
        <v>11832</v>
      </c>
      <c r="N503" s="66">
        <f t="shared" si="250"/>
        <v>35534.39</v>
      </c>
      <c r="O503" s="66">
        <f t="shared" si="250"/>
        <v>37369.480000000003</v>
      </c>
      <c r="P503" s="69">
        <f t="shared" si="223"/>
        <v>11844.796666666667</v>
      </c>
      <c r="Q503" s="69">
        <f t="shared" si="223"/>
        <v>12456.493333333334</v>
      </c>
      <c r="R503" s="54"/>
      <c r="S503" s="49"/>
      <c r="T503" s="49"/>
      <c r="U503" s="49"/>
      <c r="V503" s="49"/>
      <c r="W503" s="49" t="s">
        <v>498</v>
      </c>
      <c r="X503" s="49"/>
      <c r="Y503" s="49"/>
      <c r="Z503" s="66">
        <v>12424</v>
      </c>
      <c r="AA503" s="14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G503" s="66">
        <v>11767.5</v>
      </c>
      <c r="AH503" s="66">
        <v>11767.5</v>
      </c>
      <c r="AI503" s="66">
        <v>11767.5</v>
      </c>
      <c r="AJ503" s="66">
        <v>11767.5</v>
      </c>
      <c r="AK503" s="66">
        <v>11767.5</v>
      </c>
      <c r="AM503" s="191"/>
      <c r="AN503"/>
      <c r="AP503"/>
      <c r="AQ503"/>
      <c r="AR503"/>
    </row>
    <row r="504" spans="1:44" ht="16" x14ac:dyDescent="0.35">
      <c r="A504" s="66"/>
      <c r="B504" s="66"/>
      <c r="C504" s="49"/>
      <c r="D504" s="49"/>
      <c r="E504" s="49" t="s">
        <v>499</v>
      </c>
      <c r="F504" s="49"/>
      <c r="G504" s="49"/>
      <c r="H504" s="63">
        <v>12597.14</v>
      </c>
      <c r="I504" s="63">
        <v>12766</v>
      </c>
      <c r="J504" s="64">
        <v>11637.22</v>
      </c>
      <c r="K504" s="64">
        <v>12771.35</v>
      </c>
      <c r="L504" s="65">
        <v>11300</v>
      </c>
      <c r="M504" s="65">
        <v>11832</v>
      </c>
      <c r="N504" s="66">
        <f t="shared" si="250"/>
        <v>35534.36</v>
      </c>
      <c r="O504" s="66">
        <f t="shared" si="250"/>
        <v>37369.35</v>
      </c>
      <c r="P504" s="69">
        <f t="shared" si="223"/>
        <v>11844.786666666667</v>
      </c>
      <c r="Q504" s="69">
        <f t="shared" si="223"/>
        <v>12456.449999999999</v>
      </c>
      <c r="R504" s="54"/>
      <c r="S504" s="49"/>
      <c r="T504" s="49"/>
      <c r="U504" s="49"/>
      <c r="V504" s="49"/>
      <c r="W504" s="49" t="s">
        <v>499</v>
      </c>
      <c r="X504" s="49"/>
      <c r="Y504" s="49"/>
      <c r="Z504" s="66">
        <v>12424</v>
      </c>
      <c r="AA504" s="140"/>
      <c r="AB504" s="66">
        <v>11767.5</v>
      </c>
      <c r="AC504" s="66">
        <v>11767.5</v>
      </c>
      <c r="AD504" s="66">
        <v>11767.5</v>
      </c>
      <c r="AE504" s="66">
        <v>11767.5</v>
      </c>
      <c r="AF504" s="66">
        <v>11767.5</v>
      </c>
      <c r="AG504" s="66">
        <v>11767.5</v>
      </c>
      <c r="AH504" s="66">
        <v>11767.5</v>
      </c>
      <c r="AI504" s="66">
        <v>11767.5</v>
      </c>
      <c r="AJ504" s="66">
        <v>11767.5</v>
      </c>
      <c r="AK504" s="66">
        <v>11767.5</v>
      </c>
      <c r="AM504" s="191"/>
      <c r="AN504"/>
      <c r="AP504"/>
      <c r="AQ504"/>
      <c r="AR504"/>
    </row>
    <row r="505" spans="1:44" ht="16" x14ac:dyDescent="0.35">
      <c r="A505" s="66"/>
      <c r="B505" s="66"/>
      <c r="C505" s="49"/>
      <c r="D505" s="49"/>
      <c r="E505" s="49" t="s">
        <v>500</v>
      </c>
      <c r="F505" s="49"/>
      <c r="G505" s="49"/>
      <c r="H505" s="63">
        <v>4694</v>
      </c>
      <c r="I505" s="63">
        <v>4807</v>
      </c>
      <c r="J505" s="64">
        <v>5020.5</v>
      </c>
      <c r="K505" s="64">
        <v>4700</v>
      </c>
      <c r="L505" s="65">
        <v>5177.16</v>
      </c>
      <c r="M505" s="65">
        <v>5244</v>
      </c>
      <c r="N505" s="66">
        <f t="shared" si="250"/>
        <v>14891.66</v>
      </c>
      <c r="O505" s="66">
        <f t="shared" si="250"/>
        <v>14751</v>
      </c>
      <c r="P505" s="69">
        <f t="shared" si="223"/>
        <v>4963.8866666666663</v>
      </c>
      <c r="Q505" s="69">
        <f t="shared" si="223"/>
        <v>4917</v>
      </c>
      <c r="R505" s="54"/>
      <c r="S505" s="49"/>
      <c r="T505" s="49"/>
      <c r="U505" s="49"/>
      <c r="V505" s="49"/>
      <c r="W505" s="49" t="s">
        <v>500</v>
      </c>
      <c r="X505" s="49"/>
      <c r="Y505" s="49"/>
      <c r="Z505" s="66">
        <v>5411</v>
      </c>
      <c r="AA505" s="140"/>
      <c r="AB505" s="66">
        <f t="shared" ref="AB505:AK505" si="252">ROUND(7535.85, 0)</f>
        <v>7536</v>
      </c>
      <c r="AC505" s="66">
        <f t="shared" si="252"/>
        <v>7536</v>
      </c>
      <c r="AD505" s="66">
        <f t="shared" si="252"/>
        <v>7536</v>
      </c>
      <c r="AE505" s="66">
        <f t="shared" si="252"/>
        <v>7536</v>
      </c>
      <c r="AF505" s="66">
        <f t="shared" si="252"/>
        <v>7536</v>
      </c>
      <c r="AG505" s="66">
        <f t="shared" si="252"/>
        <v>7536</v>
      </c>
      <c r="AH505" s="66">
        <f t="shared" si="252"/>
        <v>7536</v>
      </c>
      <c r="AI505" s="66">
        <f t="shared" si="252"/>
        <v>7536</v>
      </c>
      <c r="AJ505" s="66">
        <f t="shared" si="252"/>
        <v>7536</v>
      </c>
      <c r="AK505" s="66">
        <f t="shared" si="252"/>
        <v>7536</v>
      </c>
      <c r="AM505" s="218" t="s">
        <v>992</v>
      </c>
      <c r="AN505"/>
      <c r="AP505"/>
      <c r="AQ505"/>
      <c r="AR505"/>
    </row>
    <row r="506" spans="1:44" ht="16" x14ac:dyDescent="0.35">
      <c r="A506" s="66"/>
      <c r="B506" s="66"/>
      <c r="C506" s="49"/>
      <c r="D506" s="49"/>
      <c r="E506" s="49" t="s">
        <v>501</v>
      </c>
      <c r="F506" s="49"/>
      <c r="G506" s="49"/>
      <c r="H506" s="63">
        <v>0</v>
      </c>
      <c r="I506" s="63">
        <v>0</v>
      </c>
      <c r="J506" s="64">
        <v>14469.34</v>
      </c>
      <c r="K506" s="64">
        <v>2000</v>
      </c>
      <c r="L506" s="65">
        <v>16282.95</v>
      </c>
      <c r="M506" s="65">
        <v>2000</v>
      </c>
      <c r="N506" s="66">
        <f t="shared" si="250"/>
        <v>30752.29</v>
      </c>
      <c r="O506" s="66">
        <f t="shared" si="250"/>
        <v>4000</v>
      </c>
      <c r="P506" s="69">
        <f t="shared" si="223"/>
        <v>10250.763333333334</v>
      </c>
      <c r="Q506" s="69">
        <f t="shared" si="223"/>
        <v>1333.3333333333333</v>
      </c>
      <c r="R506" s="54"/>
      <c r="S506" s="49"/>
      <c r="T506" s="49"/>
      <c r="U506" s="49"/>
      <c r="V506" s="49"/>
      <c r="W506" s="49" t="s">
        <v>501</v>
      </c>
      <c r="X506" s="49"/>
      <c r="Y506" s="49"/>
      <c r="Z506" s="66">
        <v>2000</v>
      </c>
      <c r="AA506" s="140"/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H506" s="66">
        <v>0</v>
      </c>
      <c r="AI506" s="66">
        <v>0</v>
      </c>
      <c r="AJ506" s="66">
        <v>0</v>
      </c>
      <c r="AK506" s="66">
        <v>0</v>
      </c>
      <c r="AM506" s="191"/>
      <c r="AN506"/>
      <c r="AP506"/>
      <c r="AQ506"/>
      <c r="AR506"/>
    </row>
    <row r="507" spans="1:44" ht="29" x14ac:dyDescent="0.35">
      <c r="A507" s="66"/>
      <c r="B507" s="66"/>
      <c r="C507" s="49"/>
      <c r="D507" s="49"/>
      <c r="E507" s="49" t="s">
        <v>502</v>
      </c>
      <c r="F507" s="49"/>
      <c r="G507" s="49"/>
      <c r="H507" s="63">
        <v>15158.69</v>
      </c>
      <c r="I507" s="63">
        <v>50000</v>
      </c>
      <c r="J507" s="64">
        <v>5299.22</v>
      </c>
      <c r="K507" s="64">
        <v>10000</v>
      </c>
      <c r="L507" s="65">
        <v>10963.76</v>
      </c>
      <c r="M507" s="65">
        <v>45000</v>
      </c>
      <c r="N507" s="66">
        <f t="shared" si="250"/>
        <v>31421.67</v>
      </c>
      <c r="O507" s="66">
        <f t="shared" si="250"/>
        <v>105000</v>
      </c>
      <c r="P507" s="69">
        <f t="shared" si="223"/>
        <v>10473.89</v>
      </c>
      <c r="Q507" s="69">
        <f t="shared" si="223"/>
        <v>35000</v>
      </c>
      <c r="R507" s="54"/>
      <c r="S507" s="49"/>
      <c r="T507" s="49"/>
      <c r="U507" s="49"/>
      <c r="V507" s="49"/>
      <c r="W507" s="49" t="s">
        <v>502</v>
      </c>
      <c r="X507" s="49"/>
      <c r="Y507" s="49"/>
      <c r="Z507" s="66">
        <v>20000</v>
      </c>
      <c r="AA507" s="140"/>
      <c r="AB507" s="66">
        <v>20000</v>
      </c>
      <c r="AC507" s="66">
        <v>10000</v>
      </c>
      <c r="AD507" s="66">
        <v>10000</v>
      </c>
      <c r="AE507" s="66">
        <v>10000</v>
      </c>
      <c r="AF507" s="66">
        <v>20000</v>
      </c>
      <c r="AG507" s="66">
        <f>20000+5000</f>
        <v>25000</v>
      </c>
      <c r="AH507" s="66">
        <f>20000+5000</f>
        <v>25000</v>
      </c>
      <c r="AI507" s="66">
        <f>20000+5000</f>
        <v>25000</v>
      </c>
      <c r="AJ507" s="66">
        <f>20000+5000</f>
        <v>25000</v>
      </c>
      <c r="AK507" s="66">
        <f>20000+5000</f>
        <v>25000</v>
      </c>
      <c r="AM507" s="221" t="s">
        <v>1012</v>
      </c>
      <c r="AN507"/>
      <c r="AP507"/>
      <c r="AQ507"/>
      <c r="AR507"/>
    </row>
    <row r="508" spans="1:44" x14ac:dyDescent="0.35">
      <c r="A508" s="66"/>
      <c r="B508" s="66"/>
      <c r="C508" s="49"/>
      <c r="D508" s="49"/>
      <c r="E508" s="49" t="s">
        <v>503</v>
      </c>
      <c r="F508" s="49"/>
      <c r="G508" s="49"/>
      <c r="H508" s="63">
        <v>1942.71</v>
      </c>
      <c r="I508" s="63">
        <v>0</v>
      </c>
      <c r="J508" s="64">
        <v>1701.44</v>
      </c>
      <c r="K508" s="64">
        <v>1500</v>
      </c>
      <c r="L508" s="65">
        <v>1553.27</v>
      </c>
      <c r="M508" s="65">
        <v>1650</v>
      </c>
      <c r="N508" s="66">
        <f t="shared" si="250"/>
        <v>5197.42</v>
      </c>
      <c r="O508" s="66">
        <f t="shared" si="250"/>
        <v>3150</v>
      </c>
      <c r="P508" s="69">
        <f t="shared" si="223"/>
        <v>1732.4733333333334</v>
      </c>
      <c r="Q508" s="69">
        <f t="shared" si="223"/>
        <v>1050</v>
      </c>
      <c r="R508" s="54"/>
      <c r="S508" s="49"/>
      <c r="T508" s="49"/>
      <c r="U508" s="49"/>
      <c r="V508" s="49"/>
      <c r="W508" s="49" t="s">
        <v>503</v>
      </c>
      <c r="X508" s="49"/>
      <c r="Y508" s="49"/>
      <c r="Z508" s="66">
        <v>1650</v>
      </c>
      <c r="AA508" s="140"/>
      <c r="AB508" s="66">
        <v>1600</v>
      </c>
      <c r="AC508" s="66">
        <v>1600</v>
      </c>
      <c r="AD508" s="66">
        <v>1600</v>
      </c>
      <c r="AE508" s="66">
        <v>1600</v>
      </c>
      <c r="AF508" s="66">
        <v>1600</v>
      </c>
      <c r="AG508" s="66">
        <v>1600</v>
      </c>
      <c r="AH508" s="66">
        <v>1600</v>
      </c>
      <c r="AI508" s="66">
        <v>1600</v>
      </c>
      <c r="AJ508" s="66">
        <v>1600</v>
      </c>
      <c r="AK508" s="66">
        <v>1600</v>
      </c>
      <c r="AN508"/>
      <c r="AP508"/>
      <c r="AQ508"/>
      <c r="AR508"/>
    </row>
    <row r="509" spans="1:44" x14ac:dyDescent="0.35">
      <c r="A509" s="66"/>
      <c r="B509" s="66"/>
      <c r="C509" s="49"/>
      <c r="D509" s="49"/>
      <c r="E509" s="49" t="s">
        <v>504</v>
      </c>
      <c r="F509" s="49"/>
      <c r="G509" s="49"/>
      <c r="H509" s="63">
        <v>43056.86</v>
      </c>
      <c r="I509" s="63">
        <v>43200</v>
      </c>
      <c r="J509" s="64">
        <v>49577.21</v>
      </c>
      <c r="K509" s="64">
        <v>40000</v>
      </c>
      <c r="L509" s="65">
        <v>49198.66</v>
      </c>
      <c r="M509" s="65">
        <v>43000</v>
      </c>
      <c r="N509" s="66">
        <f t="shared" si="250"/>
        <v>141832.73000000001</v>
      </c>
      <c r="O509" s="66">
        <f t="shared" si="250"/>
        <v>126200</v>
      </c>
      <c r="P509" s="69">
        <f t="shared" si="223"/>
        <v>47277.576666666668</v>
      </c>
      <c r="Q509" s="69">
        <f t="shared" si="223"/>
        <v>42066.666666666664</v>
      </c>
      <c r="R509" s="54"/>
      <c r="S509" s="49"/>
      <c r="T509" s="49"/>
      <c r="U509" s="49"/>
      <c r="V509" s="49"/>
      <c r="W509" s="49" t="s">
        <v>504</v>
      </c>
      <c r="X509" s="49"/>
      <c r="Y509" s="49"/>
      <c r="Z509" s="66">
        <v>53400</v>
      </c>
      <c r="AA509" s="140"/>
      <c r="AB509" s="66">
        <v>50400</v>
      </c>
      <c r="AC509" s="66">
        <v>50400</v>
      </c>
      <c r="AD509" s="66">
        <v>50400</v>
      </c>
      <c r="AE509" s="66">
        <v>50400</v>
      </c>
      <c r="AF509" s="66">
        <v>50400</v>
      </c>
      <c r="AG509" s="66">
        <v>50400</v>
      </c>
      <c r="AH509" s="66">
        <v>50400</v>
      </c>
      <c r="AI509" s="66">
        <v>50400</v>
      </c>
      <c r="AJ509" s="66">
        <v>50400</v>
      </c>
      <c r="AK509" s="66">
        <v>50400</v>
      </c>
      <c r="AM509" s="182"/>
      <c r="AN509"/>
      <c r="AP509"/>
      <c r="AQ509"/>
      <c r="AR509"/>
    </row>
    <row r="510" spans="1:44" x14ac:dyDescent="0.35">
      <c r="A510" s="66"/>
      <c r="B510" s="66"/>
      <c r="C510" s="49"/>
      <c r="D510" s="49"/>
      <c r="E510" s="49" t="s">
        <v>505</v>
      </c>
      <c r="F510" s="49"/>
      <c r="G510" s="49"/>
      <c r="H510" s="63">
        <v>29693.03</v>
      </c>
      <c r="I510" s="63">
        <v>25200</v>
      </c>
      <c r="J510" s="64">
        <v>29633.54</v>
      </c>
      <c r="K510" s="64">
        <v>26000</v>
      </c>
      <c r="L510" s="65">
        <v>30299.87</v>
      </c>
      <c r="M510" s="65">
        <v>30000</v>
      </c>
      <c r="N510" s="66">
        <f t="shared" si="250"/>
        <v>89626.44</v>
      </c>
      <c r="O510" s="66">
        <f t="shared" si="250"/>
        <v>81200</v>
      </c>
      <c r="P510" s="69">
        <f t="shared" ref="P510:Q571" si="253">N510/3</f>
        <v>29875.48</v>
      </c>
      <c r="Q510" s="69">
        <f t="shared" si="253"/>
        <v>27066.666666666668</v>
      </c>
      <c r="R510" s="54"/>
      <c r="S510" s="49"/>
      <c r="T510" s="49"/>
      <c r="U510" s="49"/>
      <c r="V510" s="49"/>
      <c r="W510" s="49" t="s">
        <v>505</v>
      </c>
      <c r="X510" s="49"/>
      <c r="Y510" s="49"/>
      <c r="Z510" s="66">
        <v>32964</v>
      </c>
      <c r="AA510" s="140"/>
      <c r="AB510" s="66">
        <v>29886</v>
      </c>
      <c r="AC510" s="66">
        <v>29886</v>
      </c>
      <c r="AD510" s="66">
        <v>29886</v>
      </c>
      <c r="AE510" s="66">
        <v>29886</v>
      </c>
      <c r="AF510" s="66">
        <v>29886</v>
      </c>
      <c r="AG510" s="66">
        <v>31436</v>
      </c>
      <c r="AH510" s="66">
        <v>31436</v>
      </c>
      <c r="AI510" s="66">
        <v>31436</v>
      </c>
      <c r="AJ510" s="66">
        <v>31436</v>
      </c>
      <c r="AK510" s="66">
        <v>31436</v>
      </c>
      <c r="AM510" s="190"/>
      <c r="AN510"/>
      <c r="AP510"/>
      <c r="AQ510"/>
      <c r="AR510"/>
    </row>
    <row r="511" spans="1:44" x14ac:dyDescent="0.35">
      <c r="A511" s="66"/>
      <c r="B511" s="66"/>
      <c r="C511" s="49"/>
      <c r="D511" s="49"/>
      <c r="E511" s="49" t="s">
        <v>506</v>
      </c>
      <c r="F511" s="49"/>
      <c r="G511" s="49"/>
      <c r="H511" s="63">
        <v>0</v>
      </c>
      <c r="I511" s="63">
        <v>700</v>
      </c>
      <c r="J511" s="64">
        <v>0</v>
      </c>
      <c r="K511" s="64">
        <v>500</v>
      </c>
      <c r="L511" s="65">
        <v>0</v>
      </c>
      <c r="M511" s="65">
        <v>575</v>
      </c>
      <c r="N511" s="66">
        <f t="shared" si="250"/>
        <v>0</v>
      </c>
      <c r="O511" s="66">
        <f t="shared" si="250"/>
        <v>1775</v>
      </c>
      <c r="P511" s="69">
        <f t="shared" si="253"/>
        <v>0</v>
      </c>
      <c r="Q511" s="69">
        <f t="shared" si="253"/>
        <v>591.66666666666663</v>
      </c>
      <c r="R511" s="54"/>
      <c r="S511" s="49"/>
      <c r="T511" s="49"/>
      <c r="U511" s="49"/>
      <c r="V511" s="49"/>
      <c r="W511" s="49" t="s">
        <v>506</v>
      </c>
      <c r="X511" s="49"/>
      <c r="Y511" s="49"/>
      <c r="Z511" s="66">
        <v>700</v>
      </c>
      <c r="AA511" s="140"/>
      <c r="AB511" s="66">
        <v>700</v>
      </c>
      <c r="AC511" s="66">
        <v>700</v>
      </c>
      <c r="AD511" s="66">
        <v>700</v>
      </c>
      <c r="AE511" s="66">
        <v>700</v>
      </c>
      <c r="AF511" s="66">
        <v>700</v>
      </c>
      <c r="AG511" s="66">
        <v>700</v>
      </c>
      <c r="AH511" s="66">
        <v>700</v>
      </c>
      <c r="AI511" s="66">
        <v>700</v>
      </c>
      <c r="AJ511" s="66">
        <v>700</v>
      </c>
      <c r="AK511" s="66">
        <v>700</v>
      </c>
      <c r="AN511"/>
      <c r="AP511"/>
      <c r="AQ511"/>
      <c r="AR511"/>
    </row>
    <row r="512" spans="1:44" x14ac:dyDescent="0.35">
      <c r="A512" s="66"/>
      <c r="B512" s="66"/>
      <c r="C512" s="49"/>
      <c r="D512" s="49"/>
      <c r="E512" s="49" t="s">
        <v>507</v>
      </c>
      <c r="F512" s="49"/>
      <c r="G512" s="49"/>
      <c r="H512" s="63">
        <v>11143.42</v>
      </c>
      <c r="I512" s="63">
        <v>11688</v>
      </c>
      <c r="J512" s="64">
        <v>11624.25</v>
      </c>
      <c r="K512" s="64">
        <v>10368</v>
      </c>
      <c r="L512" s="65">
        <v>11804</v>
      </c>
      <c r="M512" s="65">
        <v>11238</v>
      </c>
      <c r="N512" s="66">
        <f t="shared" si="250"/>
        <v>34571.67</v>
      </c>
      <c r="O512" s="66">
        <f t="shared" si="250"/>
        <v>33294</v>
      </c>
      <c r="P512" s="69">
        <f t="shared" si="253"/>
        <v>11523.89</v>
      </c>
      <c r="Q512" s="69">
        <f t="shared" si="253"/>
        <v>11098</v>
      </c>
      <c r="R512" s="54"/>
      <c r="S512" s="49"/>
      <c r="T512" s="49"/>
      <c r="U512" s="49"/>
      <c r="V512" s="49"/>
      <c r="W512" s="49" t="s">
        <v>507</v>
      </c>
      <c r="X512" s="49"/>
      <c r="Y512" s="49"/>
      <c r="Z512" s="66">
        <v>10173</v>
      </c>
      <c r="AA512" s="140"/>
      <c r="AB512" s="66">
        <v>13488</v>
      </c>
      <c r="AC512" s="66">
        <v>13488</v>
      </c>
      <c r="AD512" s="66">
        <v>13488</v>
      </c>
      <c r="AE512" s="66">
        <v>13488</v>
      </c>
      <c r="AF512" s="66">
        <v>13488</v>
      </c>
      <c r="AG512" s="66">
        <v>13000</v>
      </c>
      <c r="AH512" s="66">
        <v>13000</v>
      </c>
      <c r="AI512" s="66">
        <v>13000</v>
      </c>
      <c r="AJ512" s="66">
        <v>13000</v>
      </c>
      <c r="AK512" s="66">
        <v>13000</v>
      </c>
      <c r="AN512"/>
      <c r="AP512"/>
      <c r="AQ512"/>
      <c r="AR512"/>
    </row>
    <row r="513" spans="1:44" x14ac:dyDescent="0.35">
      <c r="A513" s="66"/>
      <c r="B513" s="66"/>
      <c r="C513" s="49"/>
      <c r="D513" s="49"/>
      <c r="E513" s="49" t="s">
        <v>508</v>
      </c>
      <c r="F513" s="49"/>
      <c r="G513" s="49"/>
      <c r="H513" s="63">
        <v>23426.28</v>
      </c>
      <c r="I513" s="63">
        <v>12424</v>
      </c>
      <c r="J513" s="64">
        <v>25016.84</v>
      </c>
      <c r="K513" s="64">
        <v>23200</v>
      </c>
      <c r="L513" s="65">
        <v>28552.11</v>
      </c>
      <c r="M513" s="65">
        <v>26073</v>
      </c>
      <c r="N513" s="66">
        <f t="shared" si="250"/>
        <v>76995.23</v>
      </c>
      <c r="O513" s="66">
        <f t="shared" si="250"/>
        <v>61697</v>
      </c>
      <c r="P513" s="69">
        <f t="shared" si="253"/>
        <v>25665.076666666664</v>
      </c>
      <c r="Q513" s="69">
        <f t="shared" si="253"/>
        <v>20565.666666666668</v>
      </c>
      <c r="R513" s="54"/>
      <c r="S513" s="49"/>
      <c r="T513" s="49"/>
      <c r="U513" s="49"/>
      <c r="V513" s="49"/>
      <c r="W513" s="49" t="s">
        <v>508</v>
      </c>
      <c r="X513" s="49"/>
      <c r="Y513" s="49"/>
      <c r="Z513" s="66">
        <v>29969</v>
      </c>
      <c r="AA513" s="140"/>
      <c r="AB513" s="66">
        <v>0</v>
      </c>
      <c r="AC513" s="66">
        <v>0</v>
      </c>
      <c r="AD513" s="66">
        <v>0</v>
      </c>
      <c r="AE513" s="66">
        <v>0</v>
      </c>
      <c r="AF513" s="66">
        <v>0</v>
      </c>
      <c r="AG513" s="66">
        <v>31650</v>
      </c>
      <c r="AH513" s="66">
        <v>31650</v>
      </c>
      <c r="AI513" s="66">
        <v>31650</v>
      </c>
      <c r="AJ513" s="66">
        <v>31650</v>
      </c>
      <c r="AK513" s="66">
        <v>31650</v>
      </c>
      <c r="AN513"/>
      <c r="AP513"/>
      <c r="AQ513"/>
      <c r="AR513"/>
    </row>
    <row r="514" spans="1:44" x14ac:dyDescent="0.35">
      <c r="A514" s="66"/>
      <c r="B514" s="66"/>
      <c r="C514" s="49"/>
      <c r="D514" s="49"/>
      <c r="E514" s="49" t="s">
        <v>509</v>
      </c>
      <c r="F514" s="49"/>
      <c r="G514" s="49"/>
      <c r="H514" s="63">
        <v>32596.51</v>
      </c>
      <c r="I514" s="63">
        <v>32227.24</v>
      </c>
      <c r="J514" s="64">
        <v>35370.050000000003</v>
      </c>
      <c r="K514" s="64">
        <v>32800</v>
      </c>
      <c r="L514" s="65">
        <v>38961.4</v>
      </c>
      <c r="M514" s="65">
        <v>35599</v>
      </c>
      <c r="N514" s="66">
        <f t="shared" si="250"/>
        <v>106927.96</v>
      </c>
      <c r="O514" s="66">
        <f t="shared" si="250"/>
        <v>100626.24000000001</v>
      </c>
      <c r="P514" s="69">
        <f t="shared" si="253"/>
        <v>35642.653333333335</v>
      </c>
      <c r="Q514" s="69">
        <f t="shared" si="253"/>
        <v>33542.080000000002</v>
      </c>
      <c r="R514" s="54"/>
      <c r="S514" s="49"/>
      <c r="T514" s="49"/>
      <c r="U514" s="49"/>
      <c r="V514" s="49"/>
      <c r="W514" s="49" t="s">
        <v>509</v>
      </c>
      <c r="X514" s="49"/>
      <c r="Y514" s="49"/>
      <c r="Z514" s="66">
        <v>50578</v>
      </c>
      <c r="AA514" s="140"/>
      <c r="AB514" s="66">
        <v>49805</v>
      </c>
      <c r="AC514" s="66">
        <v>49805</v>
      </c>
      <c r="AD514" s="66">
        <v>49805</v>
      </c>
      <c r="AE514" s="66">
        <v>49805</v>
      </c>
      <c r="AF514" s="66">
        <v>49805</v>
      </c>
      <c r="AG514" s="66">
        <f>ROUND(55578.03, -2)</f>
        <v>55600</v>
      </c>
      <c r="AH514" s="66">
        <f>ROUND(55578.03, -2)</f>
        <v>55600</v>
      </c>
      <c r="AI514" s="66">
        <f>ROUND(55578.03, -2)</f>
        <v>55600</v>
      </c>
      <c r="AJ514" s="66">
        <f>ROUND(55578.03, -2)</f>
        <v>55600</v>
      </c>
      <c r="AK514" s="66">
        <f>ROUND(55578.03, -2)</f>
        <v>55600</v>
      </c>
      <c r="AM514" s="221" t="s">
        <v>980</v>
      </c>
      <c r="AN514"/>
      <c r="AP514"/>
      <c r="AQ514"/>
      <c r="AR514"/>
    </row>
    <row r="515" spans="1:44" x14ac:dyDescent="0.35">
      <c r="A515" s="66"/>
      <c r="B515" s="66"/>
      <c r="C515" s="49"/>
      <c r="D515" s="49"/>
      <c r="E515" s="49" t="s">
        <v>510</v>
      </c>
      <c r="F515" s="49"/>
      <c r="G515" s="49"/>
      <c r="H515" s="63"/>
      <c r="I515" s="63"/>
      <c r="J515" s="64"/>
      <c r="K515" s="64"/>
      <c r="L515" s="65"/>
      <c r="M515" s="65"/>
      <c r="N515" s="66"/>
      <c r="O515" s="66"/>
      <c r="P515" s="69"/>
      <c r="Q515" s="69"/>
      <c r="R515" s="54"/>
      <c r="S515" s="49"/>
      <c r="T515" s="49"/>
      <c r="U515" s="49"/>
      <c r="V515" s="49"/>
      <c r="W515" s="49" t="s">
        <v>510</v>
      </c>
      <c r="X515" s="49"/>
      <c r="Y515" s="49"/>
      <c r="Z515" s="66"/>
      <c r="AA515" s="140"/>
      <c r="AB515" s="66"/>
      <c r="AC515" s="66"/>
      <c r="AD515" s="66"/>
      <c r="AE515" s="66"/>
      <c r="AF515" s="66"/>
      <c r="AN515"/>
      <c r="AP515"/>
      <c r="AQ515"/>
      <c r="AR515"/>
    </row>
    <row r="516" spans="1:44" x14ac:dyDescent="0.35">
      <c r="A516" s="66"/>
      <c r="B516" s="66"/>
      <c r="C516" s="49"/>
      <c r="D516" s="49"/>
      <c r="E516" s="49"/>
      <c r="F516" s="49" t="s">
        <v>511</v>
      </c>
      <c r="G516" s="49"/>
      <c r="H516" s="63">
        <v>8700</v>
      </c>
      <c r="I516" s="63">
        <v>15000</v>
      </c>
      <c r="J516" s="64">
        <v>24061</v>
      </c>
      <c r="K516" s="64">
        <v>25000</v>
      </c>
      <c r="L516" s="65">
        <v>24976</v>
      </c>
      <c r="M516" s="65">
        <v>25000</v>
      </c>
      <c r="N516" s="66">
        <f t="shared" ref="N516:O532" si="254">ROUND(H516+J516+L516,5)</f>
        <v>57737</v>
      </c>
      <c r="O516" s="66">
        <f t="shared" si="254"/>
        <v>65000</v>
      </c>
      <c r="P516" s="69">
        <f t="shared" si="253"/>
        <v>19245.666666666668</v>
      </c>
      <c r="Q516" s="69">
        <f t="shared" si="253"/>
        <v>21666.666666666668</v>
      </c>
      <c r="R516" s="54"/>
      <c r="S516" s="49"/>
      <c r="T516" s="49"/>
      <c r="U516" s="49"/>
      <c r="V516" s="49"/>
      <c r="W516" s="49"/>
      <c r="X516" s="49" t="s">
        <v>511</v>
      </c>
      <c r="Y516" s="49"/>
      <c r="Z516" s="66">
        <v>25000</v>
      </c>
      <c r="AA516" s="140"/>
      <c r="AB516" s="66">
        <v>25000</v>
      </c>
      <c r="AC516" s="66">
        <v>20000</v>
      </c>
      <c r="AD516" s="66">
        <v>20000</v>
      </c>
      <c r="AE516" s="66">
        <v>20000</v>
      </c>
      <c r="AF516" s="66">
        <v>25000</v>
      </c>
      <c r="AG516" s="66">
        <v>25000</v>
      </c>
      <c r="AH516" s="66">
        <v>25000</v>
      </c>
      <c r="AI516" s="66">
        <v>25000</v>
      </c>
      <c r="AJ516" s="66">
        <v>25000</v>
      </c>
      <c r="AK516" s="66">
        <v>25000</v>
      </c>
      <c r="AN516"/>
      <c r="AP516"/>
      <c r="AQ516"/>
      <c r="AR516"/>
    </row>
    <row r="517" spans="1:44" ht="29" x14ac:dyDescent="0.35">
      <c r="A517" s="66"/>
      <c r="B517" s="66"/>
      <c r="C517" s="49"/>
      <c r="D517" s="49"/>
      <c r="E517" s="49"/>
      <c r="F517" s="49" t="s">
        <v>512</v>
      </c>
      <c r="G517" s="49"/>
      <c r="H517" s="63">
        <v>968.76</v>
      </c>
      <c r="I517" s="63">
        <v>40000</v>
      </c>
      <c r="J517" s="64">
        <v>11604.98</v>
      </c>
      <c r="K517" s="64">
        <v>18000</v>
      </c>
      <c r="L517" s="65">
        <v>9768.11</v>
      </c>
      <c r="M517" s="65">
        <v>30000</v>
      </c>
      <c r="N517" s="66">
        <f t="shared" si="254"/>
        <v>22341.85</v>
      </c>
      <c r="O517" s="66">
        <f t="shared" si="254"/>
        <v>88000</v>
      </c>
      <c r="P517" s="69">
        <f t="shared" si="253"/>
        <v>7447.2833333333328</v>
      </c>
      <c r="Q517" s="69">
        <f t="shared" si="253"/>
        <v>29333.333333333332</v>
      </c>
      <c r="R517" s="54"/>
      <c r="S517" s="49"/>
      <c r="T517" s="49"/>
      <c r="U517" s="49"/>
      <c r="V517" s="49"/>
      <c r="W517" s="49"/>
      <c r="X517" s="49" t="s">
        <v>512</v>
      </c>
      <c r="Y517" s="49"/>
      <c r="Z517" s="66">
        <v>35000</v>
      </c>
      <c r="AA517" s="140"/>
      <c r="AB517" s="66">
        <v>20000</v>
      </c>
      <c r="AC517" s="66">
        <v>15000</v>
      </c>
      <c r="AD517" s="66">
        <v>15000</v>
      </c>
      <c r="AE517" s="66">
        <v>15000</v>
      </c>
      <c r="AF517" s="66">
        <v>20000</v>
      </c>
      <c r="AG517" s="66">
        <f>20000+3500</f>
        <v>23500</v>
      </c>
      <c r="AH517" s="66">
        <f>20000+3500</f>
        <v>23500</v>
      </c>
      <c r="AI517" s="66">
        <f>20000+3500</f>
        <v>23500</v>
      </c>
      <c r="AJ517" s="66">
        <f>20000+3500</f>
        <v>23500</v>
      </c>
      <c r="AK517" s="66">
        <f>20000+3500</f>
        <v>23500</v>
      </c>
      <c r="AM517" s="221" t="s">
        <v>968</v>
      </c>
      <c r="AN517"/>
      <c r="AP517"/>
      <c r="AQ517"/>
      <c r="AR517"/>
    </row>
    <row r="518" spans="1:44" ht="16" thickBot="1" x14ac:dyDescent="0.4">
      <c r="A518" s="66"/>
      <c r="B518" s="66"/>
      <c r="C518" s="49"/>
      <c r="D518" s="49"/>
      <c r="E518" s="49"/>
      <c r="F518" s="49" t="s">
        <v>513</v>
      </c>
      <c r="G518" s="49"/>
      <c r="H518" s="70">
        <v>18640.98</v>
      </c>
      <c r="I518" s="70">
        <v>20000</v>
      </c>
      <c r="J518" s="71">
        <v>34056.79</v>
      </c>
      <c r="K518" s="71">
        <v>15000</v>
      </c>
      <c r="L518" s="72">
        <v>41936.720000000001</v>
      </c>
      <c r="M518" s="72">
        <v>20000</v>
      </c>
      <c r="N518" s="73">
        <f t="shared" si="254"/>
        <v>94634.49</v>
      </c>
      <c r="O518" s="73">
        <f t="shared" si="254"/>
        <v>55000</v>
      </c>
      <c r="P518" s="74">
        <f t="shared" si="253"/>
        <v>31544.83</v>
      </c>
      <c r="Q518" s="74">
        <f t="shared" si="253"/>
        <v>18333.333333333332</v>
      </c>
      <c r="R518" s="54"/>
      <c r="S518" s="49"/>
      <c r="T518" s="49"/>
      <c r="U518" s="49"/>
      <c r="V518" s="49"/>
      <c r="W518" s="49"/>
      <c r="X518" s="49" t="s">
        <v>513</v>
      </c>
      <c r="Y518" s="49"/>
      <c r="Z518" s="66">
        <v>30000</v>
      </c>
      <c r="AA518" s="140"/>
      <c r="AB518" s="66">
        <v>35000</v>
      </c>
      <c r="AC518" s="66">
        <v>30000</v>
      </c>
      <c r="AD518" s="66">
        <v>30000</v>
      </c>
      <c r="AE518" s="66">
        <v>30000</v>
      </c>
      <c r="AF518" s="66">
        <v>35000</v>
      </c>
      <c r="AG518" s="66">
        <f>35000+7000</f>
        <v>42000</v>
      </c>
      <c r="AH518" s="66">
        <f>35000+7000</f>
        <v>42000</v>
      </c>
      <c r="AI518" s="66">
        <f>35000+7000</f>
        <v>42000</v>
      </c>
      <c r="AJ518" s="66">
        <f>35000+7000</f>
        <v>42000</v>
      </c>
      <c r="AK518" s="66">
        <f>35000+7000</f>
        <v>42000</v>
      </c>
      <c r="AM518" s="221" t="s">
        <v>982</v>
      </c>
      <c r="AN518"/>
      <c r="AP518"/>
      <c r="AQ518"/>
      <c r="AR518"/>
    </row>
    <row r="519" spans="1:44" ht="16" thickBot="1" x14ac:dyDescent="0.4">
      <c r="A519" s="66"/>
      <c r="B519" s="66"/>
      <c r="C519" s="49"/>
      <c r="D519" s="49"/>
      <c r="E519" s="49"/>
      <c r="F519" s="49"/>
      <c r="G519" s="49"/>
      <c r="H519" s="63"/>
      <c r="I519" s="63"/>
      <c r="J519" s="64"/>
      <c r="K519" s="64"/>
      <c r="L519" s="65"/>
      <c r="M519" s="65"/>
      <c r="N519" s="66"/>
      <c r="O519" s="66"/>
      <c r="P519" s="69"/>
      <c r="Q519" s="69"/>
      <c r="R519" s="54"/>
      <c r="S519" s="49"/>
      <c r="T519" s="49"/>
      <c r="U519" s="49"/>
      <c r="V519" s="49"/>
      <c r="W519" s="49"/>
      <c r="X519" s="49" t="s">
        <v>986</v>
      </c>
      <c r="Y519" s="49"/>
      <c r="Z519" s="73">
        <v>0</v>
      </c>
      <c r="AA519" s="140"/>
      <c r="AB519" s="73">
        <v>0</v>
      </c>
      <c r="AC519" s="73">
        <v>0</v>
      </c>
      <c r="AD519" s="73">
        <v>0</v>
      </c>
      <c r="AE519" s="73">
        <v>0</v>
      </c>
      <c r="AF519" s="73">
        <v>0</v>
      </c>
      <c r="AG519" s="73">
        <v>10000</v>
      </c>
      <c r="AH519" s="73">
        <v>10000</v>
      </c>
      <c r="AI519" s="73">
        <v>10000</v>
      </c>
      <c r="AJ519" s="73">
        <v>10000</v>
      </c>
      <c r="AK519" s="73">
        <v>10000</v>
      </c>
      <c r="AM519" s="221" t="s">
        <v>981</v>
      </c>
      <c r="AN519"/>
      <c r="AO519" s="111">
        <v>10000</v>
      </c>
      <c r="AP519"/>
      <c r="AQ519"/>
      <c r="AR519"/>
    </row>
    <row r="520" spans="1:44" x14ac:dyDescent="0.35">
      <c r="A520" s="66"/>
      <c r="B520" s="66"/>
      <c r="C520" s="49"/>
      <c r="D520" s="49"/>
      <c r="E520" s="49" t="s">
        <v>514</v>
      </c>
      <c r="F520" s="49"/>
      <c r="G520" s="49"/>
      <c r="H520" s="63">
        <f t="shared" ref="H520:M520" si="255">ROUND(SUM(H515:H518),5)</f>
        <v>28309.74</v>
      </c>
      <c r="I520" s="63">
        <f t="shared" si="255"/>
        <v>75000</v>
      </c>
      <c r="J520" s="64">
        <f t="shared" si="255"/>
        <v>69722.77</v>
      </c>
      <c r="K520" s="64">
        <f t="shared" si="255"/>
        <v>58000</v>
      </c>
      <c r="L520" s="65">
        <f t="shared" si="255"/>
        <v>76680.83</v>
      </c>
      <c r="M520" s="65">
        <f t="shared" si="255"/>
        <v>75000</v>
      </c>
      <c r="N520" s="66">
        <f t="shared" si="254"/>
        <v>174713.34</v>
      </c>
      <c r="O520" s="66">
        <f t="shared" si="254"/>
        <v>208000</v>
      </c>
      <c r="P520" s="69">
        <f t="shared" si="253"/>
        <v>58237.78</v>
      </c>
      <c r="Q520" s="69">
        <f t="shared" si="253"/>
        <v>69333.333333333328</v>
      </c>
      <c r="R520" s="54"/>
      <c r="S520" s="49"/>
      <c r="T520" s="49"/>
      <c r="U520" s="49"/>
      <c r="V520" s="49"/>
      <c r="W520" s="49" t="s">
        <v>514</v>
      </c>
      <c r="X520" s="49"/>
      <c r="Y520" s="49"/>
      <c r="Z520" s="66">
        <f>ROUND(SUM(Z515:Z518),5)</f>
        <v>90000</v>
      </c>
      <c r="AA520" s="140"/>
      <c r="AB520" s="66">
        <f t="shared" ref="AB520:AF520" si="256">ROUND(SUM(AB515:AB519),5)</f>
        <v>80000</v>
      </c>
      <c r="AC520" s="66">
        <f t="shared" si="256"/>
        <v>65000</v>
      </c>
      <c r="AD520" s="66">
        <f t="shared" si="256"/>
        <v>65000</v>
      </c>
      <c r="AE520" s="66">
        <f t="shared" si="256"/>
        <v>65000</v>
      </c>
      <c r="AF520" s="66">
        <f t="shared" si="256"/>
        <v>80000</v>
      </c>
      <c r="AG520" s="66">
        <f>ROUND(SUM(AG516:AG519),5)</f>
        <v>100500</v>
      </c>
      <c r="AH520" s="66">
        <f>ROUND(SUM(AH516:AH519),5)</f>
        <v>100500</v>
      </c>
      <c r="AI520" s="66">
        <f>ROUND(SUM(AI516:AI519),5)</f>
        <v>100500</v>
      </c>
      <c r="AJ520" s="66">
        <f>ROUND(SUM(AJ516:AJ519),5)</f>
        <v>100500</v>
      </c>
      <c r="AK520" s="66">
        <f>ROUND(SUM(AK516:AK519),5)</f>
        <v>100500</v>
      </c>
      <c r="AN520"/>
      <c r="AP520"/>
      <c r="AQ520"/>
      <c r="AR520"/>
    </row>
    <row r="521" spans="1:44" x14ac:dyDescent="0.35">
      <c r="A521" s="66"/>
      <c r="B521" s="66"/>
      <c r="C521" s="49"/>
      <c r="D521" s="49"/>
      <c r="E521" s="49" t="s">
        <v>515</v>
      </c>
      <c r="F521" s="49"/>
      <c r="G521" s="49"/>
      <c r="H521" s="63">
        <v>4964.49</v>
      </c>
      <c r="I521" s="63">
        <v>2000</v>
      </c>
      <c r="J521" s="64">
        <v>2885.14</v>
      </c>
      <c r="K521" s="64">
        <v>2880</v>
      </c>
      <c r="L521" s="65">
        <v>670.2</v>
      </c>
      <c r="M521" s="65">
        <v>3000</v>
      </c>
      <c r="N521" s="66">
        <f t="shared" si="254"/>
        <v>8519.83</v>
      </c>
      <c r="O521" s="66">
        <f t="shared" si="254"/>
        <v>7880</v>
      </c>
      <c r="P521" s="69">
        <f t="shared" si="253"/>
        <v>2839.9433333333332</v>
      </c>
      <c r="Q521" s="69">
        <f t="shared" si="253"/>
        <v>2626.6666666666665</v>
      </c>
      <c r="R521" s="54"/>
      <c r="S521" s="49"/>
      <c r="T521" s="49"/>
      <c r="U521" s="49"/>
      <c r="V521" s="49"/>
      <c r="W521" s="49" t="s">
        <v>515</v>
      </c>
      <c r="X521" s="49"/>
      <c r="Y521" s="49"/>
      <c r="Z521" s="66">
        <v>8000</v>
      </c>
      <c r="AA521" s="140"/>
      <c r="AB521" s="66">
        <v>2000</v>
      </c>
      <c r="AC521" s="66">
        <v>2000</v>
      </c>
      <c r="AD521" s="66">
        <v>2000</v>
      </c>
      <c r="AE521" s="66">
        <v>2000</v>
      </c>
      <c r="AF521" s="66">
        <v>2000</v>
      </c>
      <c r="AG521" s="66">
        <v>2000</v>
      </c>
      <c r="AH521" s="66">
        <v>2000</v>
      </c>
      <c r="AI521" s="66">
        <v>2000</v>
      </c>
      <c r="AJ521" s="66">
        <v>2000</v>
      </c>
      <c r="AK521" s="66">
        <v>2000</v>
      </c>
      <c r="AN521"/>
      <c r="AP521"/>
      <c r="AQ521"/>
      <c r="AR521"/>
    </row>
    <row r="522" spans="1:44" x14ac:dyDescent="0.35">
      <c r="A522" s="66"/>
      <c r="B522" s="66"/>
      <c r="C522" s="49"/>
      <c r="D522" s="49"/>
      <c r="E522" s="49" t="s">
        <v>516</v>
      </c>
      <c r="F522" s="49"/>
      <c r="G522" s="49"/>
      <c r="H522" s="63">
        <v>47274.94</v>
      </c>
      <c r="I522" s="63">
        <v>28524</v>
      </c>
      <c r="J522" s="64">
        <v>40863.71</v>
      </c>
      <c r="K522" s="64">
        <v>43665</v>
      </c>
      <c r="L522" s="65">
        <v>42646.15</v>
      </c>
      <c r="M522" s="65">
        <v>44757</v>
      </c>
      <c r="N522" s="66">
        <f t="shared" si="254"/>
        <v>130784.8</v>
      </c>
      <c r="O522" s="66">
        <f t="shared" si="254"/>
        <v>116946</v>
      </c>
      <c r="P522" s="69">
        <f t="shared" si="253"/>
        <v>43594.933333333334</v>
      </c>
      <c r="Q522" s="69">
        <f t="shared" si="253"/>
        <v>38982</v>
      </c>
      <c r="R522" s="54"/>
      <c r="S522" s="49"/>
      <c r="T522" s="49"/>
      <c r="U522" s="49"/>
      <c r="V522" s="49"/>
      <c r="W522" s="49" t="s">
        <v>516</v>
      </c>
      <c r="X522" s="49"/>
      <c r="Y522" s="49"/>
      <c r="Z522" s="66">
        <v>49516</v>
      </c>
      <c r="AA522" s="140"/>
      <c r="AB522" s="66">
        <v>82667.42</v>
      </c>
      <c r="AC522" s="66">
        <v>82667.42</v>
      </c>
      <c r="AD522" s="66">
        <v>82667.42</v>
      </c>
      <c r="AE522" s="66">
        <v>82667.42</v>
      </c>
      <c r="AF522" s="66">
        <v>82667.42</v>
      </c>
      <c r="AG522" s="66">
        <f>ROUND(82667.42, 0)</f>
        <v>82667</v>
      </c>
      <c r="AH522" s="66">
        <f>ROUND(82667.42, 0)</f>
        <v>82667</v>
      </c>
      <c r="AI522" s="66">
        <f>ROUND(82667.42, 0)</f>
        <v>82667</v>
      </c>
      <c r="AJ522" s="66">
        <f>ROUND(82667.42, 0)</f>
        <v>82667</v>
      </c>
      <c r="AK522" s="66">
        <f>ROUND(82667.42, 0)</f>
        <v>82667</v>
      </c>
      <c r="AM522" s="221" t="s">
        <v>1001</v>
      </c>
      <c r="AN522"/>
      <c r="AP522"/>
      <c r="AQ522"/>
      <c r="AR522"/>
    </row>
    <row r="523" spans="1:44" x14ac:dyDescent="0.35">
      <c r="A523" s="66"/>
      <c r="B523" s="66"/>
      <c r="C523" s="49"/>
      <c r="D523" s="49"/>
      <c r="E523" s="49" t="s">
        <v>517</v>
      </c>
      <c r="F523" s="49"/>
      <c r="G523" s="49"/>
      <c r="H523" s="63">
        <v>4530.93</v>
      </c>
      <c r="I523" s="63">
        <v>3000</v>
      </c>
      <c r="J523" s="64">
        <v>2569.27</v>
      </c>
      <c r="K523" s="64">
        <v>5000</v>
      </c>
      <c r="L523" s="65">
        <v>3451.72</v>
      </c>
      <c r="M523" s="65">
        <v>0</v>
      </c>
      <c r="N523" s="66">
        <f t="shared" si="254"/>
        <v>10551.92</v>
      </c>
      <c r="O523" s="66">
        <f t="shared" si="254"/>
        <v>8000</v>
      </c>
      <c r="P523" s="69">
        <f t="shared" si="253"/>
        <v>3517.3066666666668</v>
      </c>
      <c r="Q523" s="69">
        <f t="shared" si="253"/>
        <v>2666.6666666666665</v>
      </c>
      <c r="R523" s="54"/>
      <c r="S523" s="49"/>
      <c r="T523" s="49"/>
      <c r="U523" s="49"/>
      <c r="V523" s="49"/>
      <c r="W523" s="49" t="s">
        <v>517</v>
      </c>
      <c r="X523" s="49"/>
      <c r="Y523" s="49"/>
      <c r="Z523" s="66">
        <v>3000</v>
      </c>
      <c r="AA523" s="140"/>
      <c r="AB523" s="66">
        <v>2000</v>
      </c>
      <c r="AC523" s="66">
        <v>2000</v>
      </c>
      <c r="AD523" s="66">
        <v>2000</v>
      </c>
      <c r="AE523" s="66">
        <v>0</v>
      </c>
      <c r="AF523" s="66">
        <v>0</v>
      </c>
      <c r="AG523" s="66">
        <v>3000</v>
      </c>
      <c r="AH523" s="66">
        <v>3000</v>
      </c>
      <c r="AI523" s="66">
        <v>3000</v>
      </c>
      <c r="AJ523" s="66">
        <v>3000</v>
      </c>
      <c r="AK523" s="66">
        <v>3000</v>
      </c>
      <c r="AN523"/>
      <c r="AP523"/>
      <c r="AQ523"/>
      <c r="AR523"/>
    </row>
    <row r="524" spans="1:44" x14ac:dyDescent="0.35">
      <c r="A524" s="66"/>
      <c r="B524" s="66"/>
      <c r="C524" s="49"/>
      <c r="D524" s="49"/>
      <c r="E524" s="49" t="s">
        <v>518</v>
      </c>
      <c r="F524" s="49"/>
      <c r="G524" s="49"/>
      <c r="H524" s="63">
        <v>898.07</v>
      </c>
      <c r="I524" s="63">
        <v>2000</v>
      </c>
      <c r="J524" s="64">
        <v>386.15</v>
      </c>
      <c r="K524" s="64">
        <v>1000</v>
      </c>
      <c r="L524" s="65">
        <v>324.02999999999997</v>
      </c>
      <c r="M524" s="65">
        <v>1000</v>
      </c>
      <c r="N524" s="66">
        <f t="shared" si="254"/>
        <v>1608.25</v>
      </c>
      <c r="O524" s="66">
        <f t="shared" si="254"/>
        <v>4000</v>
      </c>
      <c r="P524" s="69">
        <f t="shared" si="253"/>
        <v>536.08333333333337</v>
      </c>
      <c r="Q524" s="69">
        <f t="shared" si="253"/>
        <v>1333.3333333333333</v>
      </c>
      <c r="R524" s="54"/>
      <c r="S524" s="49"/>
      <c r="T524" s="49"/>
      <c r="U524" s="49"/>
      <c r="V524" s="49"/>
      <c r="W524" s="49" t="s">
        <v>518</v>
      </c>
      <c r="X524" s="49"/>
      <c r="Y524" s="49"/>
      <c r="Z524" s="66">
        <v>1000</v>
      </c>
      <c r="AA524" s="140"/>
      <c r="AB524" s="66">
        <v>1000</v>
      </c>
      <c r="AC524" s="66">
        <v>1000</v>
      </c>
      <c r="AD524" s="66">
        <v>1000</v>
      </c>
      <c r="AE524" s="66">
        <v>1000</v>
      </c>
      <c r="AF524" s="66">
        <v>1000</v>
      </c>
      <c r="AG524" s="66">
        <v>1000</v>
      </c>
      <c r="AH524" s="66">
        <v>1000</v>
      </c>
      <c r="AI524" s="66">
        <v>1000</v>
      </c>
      <c r="AJ524" s="66">
        <v>1000</v>
      </c>
      <c r="AK524" s="66">
        <v>1000</v>
      </c>
      <c r="AN524"/>
      <c r="AP524"/>
      <c r="AQ524"/>
      <c r="AR524"/>
    </row>
    <row r="525" spans="1:44" x14ac:dyDescent="0.35">
      <c r="A525" s="66"/>
      <c r="B525" s="66"/>
      <c r="C525" s="49"/>
      <c r="D525" s="49"/>
      <c r="E525" s="49" t="s">
        <v>519</v>
      </c>
      <c r="F525" s="49"/>
      <c r="G525" s="49"/>
      <c r="H525" s="63">
        <v>0</v>
      </c>
      <c r="I525" s="63"/>
      <c r="J525" s="64">
        <v>0</v>
      </c>
      <c r="K525" s="64"/>
      <c r="L525" s="65">
        <v>86.03</v>
      </c>
      <c r="M525" s="65"/>
      <c r="N525" s="66">
        <f t="shared" si="254"/>
        <v>86.03</v>
      </c>
      <c r="O525" s="66"/>
      <c r="P525" s="69">
        <f t="shared" si="253"/>
        <v>28.676666666666666</v>
      </c>
      <c r="Q525" s="69">
        <f t="shared" si="253"/>
        <v>0</v>
      </c>
      <c r="R525" s="54"/>
      <c r="S525" s="49"/>
      <c r="T525" s="49"/>
      <c r="U525" s="49"/>
      <c r="V525" s="49"/>
      <c r="W525" s="49" t="s">
        <v>519</v>
      </c>
      <c r="X525" s="49"/>
      <c r="Y525" s="49"/>
      <c r="Z525" s="66">
        <v>0</v>
      </c>
      <c r="AA525" s="140"/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H525" s="66">
        <v>0</v>
      </c>
      <c r="AI525" s="66">
        <v>0</v>
      </c>
      <c r="AJ525" s="66">
        <v>0</v>
      </c>
      <c r="AK525" s="66">
        <v>0</v>
      </c>
      <c r="AN525"/>
      <c r="AP525"/>
      <c r="AQ525"/>
      <c r="AR525"/>
    </row>
    <row r="526" spans="1:44" x14ac:dyDescent="0.35">
      <c r="A526" s="66"/>
      <c r="B526" s="66"/>
      <c r="C526" s="49"/>
      <c r="D526" s="49"/>
      <c r="E526" s="49" t="s">
        <v>520</v>
      </c>
      <c r="F526" s="49"/>
      <c r="G526" s="49"/>
      <c r="H526" s="63">
        <v>22781.57</v>
      </c>
      <c r="I526" s="63">
        <v>20000</v>
      </c>
      <c r="J526" s="64">
        <v>23123.1</v>
      </c>
      <c r="K526" s="64">
        <v>15000</v>
      </c>
      <c r="L526" s="65">
        <v>27051.87</v>
      </c>
      <c r="M526" s="65">
        <v>15000</v>
      </c>
      <c r="N526" s="66">
        <f t="shared" si="254"/>
        <v>72956.539999999994</v>
      </c>
      <c r="O526" s="66">
        <f t="shared" si="254"/>
        <v>50000</v>
      </c>
      <c r="P526" s="69">
        <f t="shared" si="253"/>
        <v>24318.846666666665</v>
      </c>
      <c r="Q526" s="69">
        <f t="shared" si="253"/>
        <v>16666.666666666668</v>
      </c>
      <c r="R526" s="54"/>
      <c r="S526" s="49"/>
      <c r="T526" s="49"/>
      <c r="U526" s="49"/>
      <c r="V526" s="49"/>
      <c r="W526" s="49" t="s">
        <v>520</v>
      </c>
      <c r="X526" s="49"/>
      <c r="Y526" s="49"/>
      <c r="Z526" s="66">
        <v>17000</v>
      </c>
      <c r="AA526" s="140"/>
      <c r="AB526" s="66">
        <v>22000</v>
      </c>
      <c r="AC526" s="66">
        <v>22000</v>
      </c>
      <c r="AD526" s="66">
        <v>22000</v>
      </c>
      <c r="AE526" s="66">
        <v>22000</v>
      </c>
      <c r="AF526" s="66">
        <v>22000</v>
      </c>
      <c r="AG526" s="66">
        <v>22000</v>
      </c>
      <c r="AH526" s="66">
        <v>22000</v>
      </c>
      <c r="AI526" s="66">
        <v>22000</v>
      </c>
      <c r="AJ526" s="66">
        <v>22000</v>
      </c>
      <c r="AK526" s="66">
        <v>22000</v>
      </c>
      <c r="AN526"/>
      <c r="AP526"/>
      <c r="AQ526"/>
      <c r="AR526"/>
    </row>
    <row r="527" spans="1:44" x14ac:dyDescent="0.35">
      <c r="A527" s="66"/>
      <c r="B527" s="66"/>
      <c r="C527" s="49"/>
      <c r="D527" s="49"/>
      <c r="E527" s="49" t="s">
        <v>521</v>
      </c>
      <c r="F527" s="49"/>
      <c r="G527" s="49"/>
      <c r="H527" s="63">
        <v>207.16</v>
      </c>
      <c r="I527" s="63">
        <v>1700</v>
      </c>
      <c r="J527" s="64">
        <v>485.58</v>
      </c>
      <c r="K527" s="64">
        <v>1100</v>
      </c>
      <c r="L527" s="65">
        <v>90.48</v>
      </c>
      <c r="M527" s="65">
        <v>1000</v>
      </c>
      <c r="N527" s="66">
        <f t="shared" si="254"/>
        <v>783.22</v>
      </c>
      <c r="O527" s="66">
        <f t="shared" si="254"/>
        <v>3800</v>
      </c>
      <c r="P527" s="69">
        <f t="shared" si="253"/>
        <v>261.07333333333332</v>
      </c>
      <c r="Q527" s="69">
        <f t="shared" si="253"/>
        <v>1266.6666666666667</v>
      </c>
      <c r="R527" s="54"/>
      <c r="S527" s="49"/>
      <c r="T527" s="49"/>
      <c r="U527" s="49"/>
      <c r="V527" s="49"/>
      <c r="W527" s="49" t="s">
        <v>521</v>
      </c>
      <c r="X527" s="49"/>
      <c r="Y527" s="49"/>
      <c r="Z527" s="66">
        <v>1000</v>
      </c>
      <c r="AA527" s="140"/>
      <c r="AB527" s="66">
        <v>1000</v>
      </c>
      <c r="AC527" s="66">
        <v>1000</v>
      </c>
      <c r="AD527" s="66">
        <v>1000</v>
      </c>
      <c r="AE527" s="66">
        <v>1000</v>
      </c>
      <c r="AF527" s="66">
        <v>1000</v>
      </c>
      <c r="AG527" s="66">
        <v>1000</v>
      </c>
      <c r="AH527" s="66">
        <v>1000</v>
      </c>
      <c r="AI527" s="66">
        <v>1000</v>
      </c>
      <c r="AJ527" s="66">
        <v>1000</v>
      </c>
      <c r="AK527" s="66">
        <v>1000</v>
      </c>
      <c r="AN527"/>
      <c r="AP527"/>
      <c r="AQ527"/>
      <c r="AR527"/>
    </row>
    <row r="528" spans="1:44" x14ac:dyDescent="0.35">
      <c r="A528" s="66"/>
      <c r="B528" s="66"/>
      <c r="C528" s="49"/>
      <c r="D528" s="49"/>
      <c r="E528" s="49" t="s">
        <v>522</v>
      </c>
      <c r="F528" s="49"/>
      <c r="G528" s="49"/>
      <c r="H528" s="63">
        <v>39999.96</v>
      </c>
      <c r="I528" s="63">
        <v>40000</v>
      </c>
      <c r="J528" s="64">
        <v>39999.96</v>
      </c>
      <c r="K528" s="64">
        <v>37800</v>
      </c>
      <c r="L528" s="65">
        <v>39999.96</v>
      </c>
      <c r="M528" s="65">
        <v>41000</v>
      </c>
      <c r="N528" s="66">
        <f t="shared" si="254"/>
        <v>119999.88</v>
      </c>
      <c r="O528" s="66">
        <f t="shared" si="254"/>
        <v>118800</v>
      </c>
      <c r="P528" s="69">
        <f t="shared" si="253"/>
        <v>39999.96</v>
      </c>
      <c r="Q528" s="69">
        <f t="shared" si="253"/>
        <v>39600</v>
      </c>
      <c r="R528" s="54"/>
      <c r="S528" s="49"/>
      <c r="T528" s="49"/>
      <c r="U528" s="49"/>
      <c r="V528" s="49"/>
      <c r="W528" s="49" t="s">
        <v>522</v>
      </c>
      <c r="X528" s="49"/>
      <c r="Y528" s="49"/>
      <c r="Z528" s="66">
        <v>42000</v>
      </c>
      <c r="AA528" s="140"/>
      <c r="AB528" s="66">
        <v>42000</v>
      </c>
      <c r="AC528" s="66">
        <v>42000</v>
      </c>
      <c r="AD528" s="66">
        <v>42000</v>
      </c>
      <c r="AE528" s="66">
        <v>42000</v>
      </c>
      <c r="AF528" s="66">
        <v>42000</v>
      </c>
      <c r="AG528" s="66">
        <v>42000</v>
      </c>
      <c r="AH528" s="66">
        <v>42000</v>
      </c>
      <c r="AI528" s="66">
        <v>42000</v>
      </c>
      <c r="AJ528" s="66">
        <v>42000</v>
      </c>
      <c r="AK528" s="66">
        <v>42000</v>
      </c>
      <c r="AN528"/>
      <c r="AP528"/>
      <c r="AQ528"/>
      <c r="AR528"/>
    </row>
    <row r="529" spans="1:44" x14ac:dyDescent="0.35">
      <c r="A529" s="66"/>
      <c r="B529" s="66"/>
      <c r="C529" s="49"/>
      <c r="D529" s="49"/>
      <c r="E529" s="49" t="s">
        <v>523</v>
      </c>
      <c r="F529" s="49"/>
      <c r="G529" s="49"/>
      <c r="H529" s="63">
        <v>2400</v>
      </c>
      <c r="I529" s="63">
        <v>2580</v>
      </c>
      <c r="J529" s="64">
        <v>3000</v>
      </c>
      <c r="K529" s="64">
        <v>2200</v>
      </c>
      <c r="L529" s="65">
        <v>2250</v>
      </c>
      <c r="M529" s="65">
        <v>3000</v>
      </c>
      <c r="N529" s="66">
        <f t="shared" si="254"/>
        <v>7650</v>
      </c>
      <c r="O529" s="66">
        <f t="shared" si="254"/>
        <v>7780</v>
      </c>
      <c r="P529" s="69">
        <f t="shared" si="253"/>
        <v>2550</v>
      </c>
      <c r="Q529" s="69">
        <f t="shared" si="253"/>
        <v>2593.3333333333335</v>
      </c>
      <c r="R529" s="54"/>
      <c r="S529" s="49"/>
      <c r="T529" s="49"/>
      <c r="U529" s="49"/>
      <c r="V529" s="49"/>
      <c r="W529" s="49" t="s">
        <v>523</v>
      </c>
      <c r="X529" s="49"/>
      <c r="Y529" s="49"/>
      <c r="Z529" s="66">
        <v>3000</v>
      </c>
      <c r="AA529" s="140"/>
      <c r="AB529" s="66">
        <v>2500</v>
      </c>
      <c r="AC529" s="66">
        <v>2500</v>
      </c>
      <c r="AD529" s="66">
        <v>2500</v>
      </c>
      <c r="AE529" s="66">
        <v>2500</v>
      </c>
      <c r="AF529" s="66">
        <v>2500</v>
      </c>
      <c r="AG529" s="66">
        <v>2500</v>
      </c>
      <c r="AH529" s="66">
        <v>2500</v>
      </c>
      <c r="AI529" s="66">
        <v>2500</v>
      </c>
      <c r="AJ529" s="66">
        <v>2500</v>
      </c>
      <c r="AK529" s="66">
        <v>2500</v>
      </c>
      <c r="AN529"/>
      <c r="AP529"/>
      <c r="AQ529"/>
      <c r="AR529"/>
    </row>
    <row r="530" spans="1:44" x14ac:dyDescent="0.35">
      <c r="A530" s="66"/>
      <c r="B530" s="66"/>
      <c r="C530" s="49"/>
      <c r="D530" s="49"/>
      <c r="E530" s="49" t="s">
        <v>524</v>
      </c>
      <c r="F530" s="49"/>
      <c r="G530" s="49"/>
      <c r="H530" s="63">
        <v>1650</v>
      </c>
      <c r="I530" s="63">
        <v>10000</v>
      </c>
      <c r="J530" s="64">
        <v>3475.37</v>
      </c>
      <c r="K530" s="64">
        <v>5000</v>
      </c>
      <c r="L530" s="65">
        <v>2086.8000000000002</v>
      </c>
      <c r="M530" s="65">
        <v>3000</v>
      </c>
      <c r="N530" s="66">
        <f t="shared" si="254"/>
        <v>7212.17</v>
      </c>
      <c r="O530" s="66">
        <f t="shared" si="254"/>
        <v>18000</v>
      </c>
      <c r="P530" s="69">
        <f t="shared" si="253"/>
        <v>2404.0566666666668</v>
      </c>
      <c r="Q530" s="69">
        <f t="shared" si="253"/>
        <v>6000</v>
      </c>
      <c r="R530" s="54"/>
      <c r="S530" s="49"/>
      <c r="T530" s="49"/>
      <c r="U530" s="49"/>
      <c r="V530" s="49"/>
      <c r="W530" s="49" t="s">
        <v>524</v>
      </c>
      <c r="X530" s="49"/>
      <c r="Y530" s="49"/>
      <c r="Z530" s="66">
        <v>3000</v>
      </c>
      <c r="AA530" s="140"/>
      <c r="AB530" s="66">
        <v>3000</v>
      </c>
      <c r="AC530" s="66">
        <v>3000</v>
      </c>
      <c r="AD530" s="66">
        <v>3000</v>
      </c>
      <c r="AE530" s="66">
        <v>3000</v>
      </c>
      <c r="AF530" s="66">
        <v>3000</v>
      </c>
      <c r="AG530" s="66">
        <v>3000</v>
      </c>
      <c r="AH530" s="66">
        <v>3000</v>
      </c>
      <c r="AI530" s="66">
        <v>3000</v>
      </c>
      <c r="AJ530" s="66">
        <v>3000</v>
      </c>
      <c r="AK530" s="66">
        <v>3000</v>
      </c>
      <c r="AM530" s="110" t="s">
        <v>851</v>
      </c>
      <c r="AN530"/>
      <c r="AP530"/>
      <c r="AQ530"/>
      <c r="AR530"/>
    </row>
    <row r="531" spans="1:44" x14ac:dyDescent="0.35">
      <c r="A531" s="66"/>
      <c r="B531" s="66"/>
      <c r="C531" s="49"/>
      <c r="D531" s="49"/>
      <c r="E531" s="49" t="s">
        <v>525</v>
      </c>
      <c r="F531" s="49"/>
      <c r="G531" s="49"/>
      <c r="H531" s="63">
        <v>5295.35</v>
      </c>
      <c r="I531" s="63">
        <v>17000</v>
      </c>
      <c r="J531" s="64">
        <v>0</v>
      </c>
      <c r="K531" s="64">
        <v>0</v>
      </c>
      <c r="L531" s="65">
        <v>0</v>
      </c>
      <c r="M531" s="65"/>
      <c r="N531" s="66">
        <f t="shared" si="254"/>
        <v>5295.35</v>
      </c>
      <c r="O531" s="66">
        <f t="shared" si="254"/>
        <v>17000</v>
      </c>
      <c r="P531" s="69">
        <f t="shared" si="253"/>
        <v>1765.1166666666668</v>
      </c>
      <c r="Q531" s="69">
        <f t="shared" si="253"/>
        <v>5666.666666666667</v>
      </c>
      <c r="R531" s="54"/>
      <c r="S531" s="49"/>
      <c r="T531" s="49"/>
      <c r="U531" s="49"/>
      <c r="V531" s="49"/>
      <c r="W531" s="49" t="s">
        <v>525</v>
      </c>
      <c r="X531" s="49"/>
      <c r="Y531" s="49"/>
      <c r="Z531" s="66">
        <v>0</v>
      </c>
      <c r="AA531" s="140"/>
      <c r="AB531" s="66">
        <v>0</v>
      </c>
      <c r="AC531" s="66">
        <v>0</v>
      </c>
      <c r="AD531" s="66">
        <v>0</v>
      </c>
      <c r="AE531" s="66">
        <v>0</v>
      </c>
      <c r="AF531" s="66">
        <v>0</v>
      </c>
      <c r="AG531" s="66">
        <v>0</v>
      </c>
      <c r="AH531" s="66">
        <v>0</v>
      </c>
      <c r="AI531" s="66">
        <v>0</v>
      </c>
      <c r="AJ531" s="66">
        <v>0</v>
      </c>
      <c r="AK531" s="66">
        <v>0</v>
      </c>
      <c r="AN531"/>
      <c r="AP531"/>
      <c r="AQ531"/>
      <c r="AR531"/>
    </row>
    <row r="532" spans="1:44" x14ac:dyDescent="0.35">
      <c r="A532" s="66"/>
      <c r="B532" s="66"/>
      <c r="C532" s="49"/>
      <c r="D532" s="49"/>
      <c r="E532" s="49" t="s">
        <v>526</v>
      </c>
      <c r="F532" s="49"/>
      <c r="G532" s="49"/>
      <c r="H532" s="63">
        <v>65498.5</v>
      </c>
      <c r="I532" s="63">
        <v>38325</v>
      </c>
      <c r="J532" s="64">
        <v>65504.98</v>
      </c>
      <c r="K532" s="64">
        <v>55000</v>
      </c>
      <c r="L532" s="65">
        <v>112725.58</v>
      </c>
      <c r="M532" s="65">
        <v>69540</v>
      </c>
      <c r="N532" s="66">
        <f t="shared" si="254"/>
        <v>243729.06</v>
      </c>
      <c r="O532" s="66">
        <f t="shared" si="254"/>
        <v>162865</v>
      </c>
      <c r="P532" s="69">
        <f t="shared" si="253"/>
        <v>81243.02</v>
      </c>
      <c r="Q532" s="69">
        <f t="shared" si="253"/>
        <v>54288.333333333336</v>
      </c>
      <c r="R532" s="54"/>
      <c r="S532" s="49"/>
      <c r="T532" s="49"/>
      <c r="U532" s="49"/>
      <c r="V532" s="49"/>
      <c r="W532" s="49" t="s">
        <v>906</v>
      </c>
      <c r="X532" s="49"/>
      <c r="Y532" s="49"/>
      <c r="Z532" s="66">
        <v>45000</v>
      </c>
      <c r="AA532" s="140"/>
      <c r="AB532" s="66">
        <f t="shared" ref="AB532:AK532" si="257">ROUND(42665.15, 0)</f>
        <v>42665</v>
      </c>
      <c r="AC532" s="66">
        <f t="shared" si="257"/>
        <v>42665</v>
      </c>
      <c r="AD532" s="66">
        <f t="shared" si="257"/>
        <v>42665</v>
      </c>
      <c r="AE532" s="66">
        <f t="shared" si="257"/>
        <v>42665</v>
      </c>
      <c r="AF532" s="66">
        <f t="shared" si="257"/>
        <v>42665</v>
      </c>
      <c r="AG532" s="66">
        <f t="shared" si="257"/>
        <v>42665</v>
      </c>
      <c r="AH532" s="66">
        <f t="shared" si="257"/>
        <v>42665</v>
      </c>
      <c r="AI532" s="66">
        <f t="shared" si="257"/>
        <v>42665</v>
      </c>
      <c r="AJ532" s="66">
        <f t="shared" si="257"/>
        <v>42665</v>
      </c>
      <c r="AK532" s="66">
        <f t="shared" si="257"/>
        <v>42665</v>
      </c>
      <c r="AN532"/>
      <c r="AP532"/>
      <c r="AQ532"/>
      <c r="AR532"/>
    </row>
    <row r="533" spans="1:44" x14ac:dyDescent="0.35">
      <c r="A533" s="66"/>
      <c r="B533" s="66"/>
      <c r="C533" s="49"/>
      <c r="D533" s="49"/>
      <c r="E533" s="49" t="s">
        <v>527</v>
      </c>
      <c r="F533" s="49"/>
      <c r="G533" s="49"/>
      <c r="H533" s="63">
        <v>4664.29</v>
      </c>
      <c r="I533" s="63">
        <v>2716.8</v>
      </c>
      <c r="J533" s="64">
        <v>3018.33</v>
      </c>
      <c r="K533" s="64">
        <v>4360</v>
      </c>
      <c r="L533" s="65">
        <v>4947.66</v>
      </c>
      <c r="M533" s="65">
        <v>5328</v>
      </c>
      <c r="N533" s="66">
        <f t="shared" ref="N533:O544" si="258">ROUND(H533+J533+L533,5)</f>
        <v>12630.28</v>
      </c>
      <c r="O533" s="66">
        <f t="shared" si="258"/>
        <v>12404.8</v>
      </c>
      <c r="P533" s="69">
        <f t="shared" si="253"/>
        <v>4210.0933333333332</v>
      </c>
      <c r="Q533" s="69">
        <f t="shared" si="253"/>
        <v>4134.9333333333334</v>
      </c>
      <c r="R533" s="54"/>
      <c r="S533" s="49"/>
      <c r="T533" s="49"/>
      <c r="U533" s="49"/>
      <c r="V533" s="49"/>
      <c r="W533" s="49" t="s">
        <v>527</v>
      </c>
      <c r="X533" s="49"/>
      <c r="Y533" s="49"/>
      <c r="Z533" s="66">
        <v>5027</v>
      </c>
      <c r="AA533" s="140"/>
      <c r="AB533" s="66">
        <v>6033.32</v>
      </c>
      <c r="AC533" s="66">
        <v>6033.32</v>
      </c>
      <c r="AD533" s="66">
        <v>6033.32</v>
      </c>
      <c r="AE533" s="66">
        <v>6033.32</v>
      </c>
      <c r="AF533" s="66">
        <v>6033.32</v>
      </c>
      <c r="AG533" s="66">
        <f>ROUND(6033.32, 0)</f>
        <v>6033</v>
      </c>
      <c r="AH533" s="66">
        <f>ROUND(6033.32, 0)</f>
        <v>6033</v>
      </c>
      <c r="AI533" s="66">
        <f>ROUND(6033.32, 0)</f>
        <v>6033</v>
      </c>
      <c r="AJ533" s="66">
        <f>ROUND(6033.32, 0)</f>
        <v>6033</v>
      </c>
      <c r="AK533" s="66">
        <f>ROUND(6033.32, 0)</f>
        <v>6033</v>
      </c>
      <c r="AN533"/>
      <c r="AP533"/>
      <c r="AQ533"/>
      <c r="AR533"/>
    </row>
    <row r="534" spans="1:44" ht="29" x14ac:dyDescent="0.35">
      <c r="A534" s="66"/>
      <c r="B534" s="66"/>
      <c r="C534" s="49"/>
      <c r="D534" s="49"/>
      <c r="E534" s="49" t="s">
        <v>528</v>
      </c>
      <c r="F534" s="49"/>
      <c r="G534" s="49"/>
      <c r="H534" s="63">
        <v>4727</v>
      </c>
      <c r="I534" s="63">
        <v>4572</v>
      </c>
      <c r="J534" s="64">
        <v>5187</v>
      </c>
      <c r="K534" s="64">
        <v>4900</v>
      </c>
      <c r="L534" s="65">
        <v>3671</v>
      </c>
      <c r="M534" s="65">
        <v>5431</v>
      </c>
      <c r="N534" s="66">
        <f t="shared" si="258"/>
        <v>13585</v>
      </c>
      <c r="O534" s="66">
        <f t="shared" si="258"/>
        <v>14903</v>
      </c>
      <c r="P534" s="69">
        <f t="shared" si="253"/>
        <v>4528.333333333333</v>
      </c>
      <c r="Q534" s="69">
        <f t="shared" si="253"/>
        <v>4967.666666666667</v>
      </c>
      <c r="R534" s="54"/>
      <c r="S534" s="49"/>
      <c r="T534" s="49"/>
      <c r="U534" s="49"/>
      <c r="V534" s="49"/>
      <c r="W534" s="49" t="s">
        <v>528</v>
      </c>
      <c r="X534" s="49"/>
      <c r="Y534" s="49"/>
      <c r="Z534" s="66">
        <v>3132</v>
      </c>
      <c r="AA534" s="140"/>
      <c r="AB534" s="66">
        <f t="shared" ref="AB534:AF534" si="259">ROUND(3414.6, 0)</f>
        <v>3415</v>
      </c>
      <c r="AC534" s="66">
        <f t="shared" si="259"/>
        <v>3415</v>
      </c>
      <c r="AD534" s="66">
        <f t="shared" si="259"/>
        <v>3415</v>
      </c>
      <c r="AE534" s="66">
        <f t="shared" si="259"/>
        <v>3415</v>
      </c>
      <c r="AF534" s="66">
        <f t="shared" si="259"/>
        <v>3415</v>
      </c>
      <c r="AG534" s="66">
        <v>3415</v>
      </c>
      <c r="AH534" s="66">
        <v>3415</v>
      </c>
      <c r="AI534" s="66">
        <v>3415</v>
      </c>
      <c r="AJ534" s="66">
        <v>3415</v>
      </c>
      <c r="AK534" s="66">
        <v>3415</v>
      </c>
      <c r="AM534" s="220" t="s">
        <v>993</v>
      </c>
      <c r="AN534"/>
      <c r="AP534"/>
      <c r="AQ534"/>
      <c r="AR534"/>
    </row>
    <row r="535" spans="1:44" x14ac:dyDescent="0.35">
      <c r="A535" s="66"/>
      <c r="B535" s="66"/>
      <c r="C535" s="49"/>
      <c r="D535" s="49"/>
      <c r="E535" s="49" t="s">
        <v>529</v>
      </c>
      <c r="F535" s="49"/>
      <c r="G535" s="49"/>
      <c r="H535" s="63">
        <v>89.42</v>
      </c>
      <c r="I535" s="63">
        <v>5000</v>
      </c>
      <c r="J535" s="64">
        <v>12728.53</v>
      </c>
      <c r="K535" s="64">
        <v>0</v>
      </c>
      <c r="L535" s="65">
        <v>0</v>
      </c>
      <c r="M535" s="65">
        <v>0</v>
      </c>
      <c r="N535" s="66">
        <f t="shared" si="258"/>
        <v>12817.95</v>
      </c>
      <c r="O535" s="66">
        <f t="shared" si="258"/>
        <v>5000</v>
      </c>
      <c r="P535" s="69">
        <f t="shared" si="253"/>
        <v>4272.6500000000005</v>
      </c>
      <c r="Q535" s="69">
        <f t="shared" si="253"/>
        <v>1666.6666666666667</v>
      </c>
      <c r="R535" s="54"/>
      <c r="S535" s="49"/>
      <c r="T535" s="49"/>
      <c r="U535" s="49"/>
      <c r="V535" s="49"/>
      <c r="W535" s="49" t="s">
        <v>529</v>
      </c>
      <c r="X535" s="49"/>
      <c r="Y535" s="49"/>
      <c r="Z535" s="66">
        <v>5000</v>
      </c>
      <c r="AA535" s="140"/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0</v>
      </c>
      <c r="AI535" s="66">
        <v>0</v>
      </c>
      <c r="AJ535" s="66">
        <v>0</v>
      </c>
      <c r="AK535" s="66">
        <v>0</v>
      </c>
      <c r="AM535" s="220" t="s">
        <v>983</v>
      </c>
      <c r="AN535"/>
      <c r="AP535"/>
      <c r="AQ535"/>
      <c r="AR535"/>
    </row>
    <row r="536" spans="1:44" x14ac:dyDescent="0.35">
      <c r="A536" s="66"/>
      <c r="B536" s="66"/>
      <c r="C536" s="49"/>
      <c r="D536" s="49"/>
      <c r="E536" s="49" t="s">
        <v>530</v>
      </c>
      <c r="F536" s="49"/>
      <c r="G536" s="49"/>
      <c r="H536" s="63">
        <v>3574.34</v>
      </c>
      <c r="I536" s="63">
        <v>4992</v>
      </c>
      <c r="J536" s="64">
        <v>3364.92</v>
      </c>
      <c r="K536" s="64">
        <v>5562</v>
      </c>
      <c r="L536" s="65">
        <v>2926.66</v>
      </c>
      <c r="M536" s="65">
        <v>5000</v>
      </c>
      <c r="N536" s="66">
        <f t="shared" si="258"/>
        <v>9865.92</v>
      </c>
      <c r="O536" s="66">
        <f t="shared" si="258"/>
        <v>15554</v>
      </c>
      <c r="P536" s="69">
        <f t="shared" si="253"/>
        <v>3288.64</v>
      </c>
      <c r="Q536" s="69">
        <f t="shared" si="253"/>
        <v>5184.666666666667</v>
      </c>
      <c r="R536" s="54"/>
      <c r="S536" s="49"/>
      <c r="T536" s="49"/>
      <c r="U536" s="49"/>
      <c r="V536" s="49"/>
      <c r="W536" s="49" t="s">
        <v>530</v>
      </c>
      <c r="X536" s="49"/>
      <c r="Y536" s="49"/>
      <c r="Z536" s="66">
        <v>5000</v>
      </c>
      <c r="AA536" s="140"/>
      <c r="AB536" s="66">
        <v>4000</v>
      </c>
      <c r="AC536" s="66">
        <v>4000</v>
      </c>
      <c r="AD536" s="66">
        <v>4000</v>
      </c>
      <c r="AE536" s="66">
        <v>4000</v>
      </c>
      <c r="AF536" s="66">
        <v>4000</v>
      </c>
      <c r="AG536" s="66">
        <v>4000</v>
      </c>
      <c r="AH536" s="66">
        <v>4000</v>
      </c>
      <c r="AI536" s="66">
        <v>4000</v>
      </c>
      <c r="AJ536" s="66">
        <v>4000</v>
      </c>
      <c r="AK536" s="66">
        <v>4000</v>
      </c>
      <c r="AN536"/>
      <c r="AP536"/>
      <c r="AQ536"/>
      <c r="AR536"/>
    </row>
    <row r="537" spans="1:44" x14ac:dyDescent="0.35">
      <c r="A537" s="66"/>
      <c r="B537" s="66"/>
      <c r="C537" s="49"/>
      <c r="D537" s="49"/>
      <c r="E537" s="49" t="s">
        <v>531</v>
      </c>
      <c r="F537" s="49"/>
      <c r="G537" s="49"/>
      <c r="H537" s="63">
        <v>10575.38</v>
      </c>
      <c r="I537" s="63">
        <v>11000</v>
      </c>
      <c r="J537" s="64">
        <v>7582.88</v>
      </c>
      <c r="K537" s="64">
        <v>11700</v>
      </c>
      <c r="L537" s="65">
        <v>8602.8799999999992</v>
      </c>
      <c r="M537" s="65">
        <v>10000</v>
      </c>
      <c r="N537" s="66">
        <f t="shared" si="258"/>
        <v>26761.14</v>
      </c>
      <c r="O537" s="66">
        <f t="shared" si="258"/>
        <v>32700</v>
      </c>
      <c r="P537" s="69">
        <f t="shared" si="253"/>
        <v>8920.3799999999992</v>
      </c>
      <c r="Q537" s="69">
        <f t="shared" si="253"/>
        <v>10900</v>
      </c>
      <c r="R537" s="54"/>
      <c r="S537" s="49"/>
      <c r="T537" s="49"/>
      <c r="U537" s="49"/>
      <c r="V537" s="49"/>
      <c r="W537" s="49" t="s">
        <v>531</v>
      </c>
      <c r="X537" s="49"/>
      <c r="Y537" s="49"/>
      <c r="Z537" s="66">
        <v>10000</v>
      </c>
      <c r="AA537" s="140"/>
      <c r="AB537" s="66">
        <v>9000</v>
      </c>
      <c r="AC537" s="66">
        <v>9000</v>
      </c>
      <c r="AD537" s="66">
        <v>9000</v>
      </c>
      <c r="AE537" s="66">
        <v>9000</v>
      </c>
      <c r="AF537" s="66">
        <v>9000</v>
      </c>
      <c r="AG537" s="66">
        <v>9000</v>
      </c>
      <c r="AH537" s="66">
        <v>9000</v>
      </c>
      <c r="AI537" s="66">
        <v>9000</v>
      </c>
      <c r="AJ537" s="66">
        <v>9000</v>
      </c>
      <c r="AK537" s="66">
        <v>9000</v>
      </c>
      <c r="AN537"/>
      <c r="AP537"/>
      <c r="AQ537"/>
      <c r="AR537"/>
    </row>
    <row r="538" spans="1:44" x14ac:dyDescent="0.35">
      <c r="A538" s="66"/>
      <c r="B538" s="66"/>
      <c r="C538" s="49"/>
      <c r="D538" s="49"/>
      <c r="E538" s="49" t="s">
        <v>532</v>
      </c>
      <c r="F538" s="49"/>
      <c r="G538" s="49"/>
      <c r="H538" s="63">
        <v>3539.31</v>
      </c>
      <c r="I538" s="63">
        <v>3645</v>
      </c>
      <c r="J538" s="64">
        <v>3316.13</v>
      </c>
      <c r="K538" s="64">
        <v>3200</v>
      </c>
      <c r="L538" s="65">
        <v>3381.09</v>
      </c>
      <c r="M538" s="65">
        <v>3250</v>
      </c>
      <c r="N538" s="66">
        <f t="shared" si="258"/>
        <v>10236.530000000001</v>
      </c>
      <c r="O538" s="66">
        <f t="shared" si="258"/>
        <v>10095</v>
      </c>
      <c r="P538" s="69">
        <f t="shared" si="253"/>
        <v>3412.1766666666667</v>
      </c>
      <c r="Q538" s="69">
        <f t="shared" si="253"/>
        <v>3365</v>
      </c>
      <c r="R538" s="54"/>
      <c r="S538" s="49"/>
      <c r="T538" s="49"/>
      <c r="U538" s="49"/>
      <c r="V538" s="49"/>
      <c r="W538" s="49" t="s">
        <v>532</v>
      </c>
      <c r="X538" s="49"/>
      <c r="Y538" s="49"/>
      <c r="Z538" s="66">
        <v>3405</v>
      </c>
      <c r="AA538" s="140"/>
      <c r="AB538" s="66">
        <v>3050</v>
      </c>
      <c r="AC538" s="66">
        <v>3050</v>
      </c>
      <c r="AD538" s="66">
        <v>3050</v>
      </c>
      <c r="AE538" s="66">
        <v>3050</v>
      </c>
      <c r="AF538" s="66">
        <v>3050</v>
      </c>
      <c r="AG538" s="66">
        <v>3050</v>
      </c>
      <c r="AH538" s="66">
        <v>3050</v>
      </c>
      <c r="AI538" s="66">
        <v>3050</v>
      </c>
      <c r="AJ538" s="66">
        <v>3050</v>
      </c>
      <c r="AK538" s="66">
        <v>3050</v>
      </c>
      <c r="AN538"/>
      <c r="AP538"/>
      <c r="AQ538"/>
      <c r="AR538"/>
    </row>
    <row r="539" spans="1:44" x14ac:dyDescent="0.35">
      <c r="A539" s="66"/>
      <c r="B539" s="66"/>
      <c r="C539" s="49"/>
      <c r="D539" s="49"/>
      <c r="E539" s="49" t="s">
        <v>533</v>
      </c>
      <c r="F539" s="49"/>
      <c r="G539" s="49"/>
      <c r="H539" s="63">
        <v>8875.7999999999993</v>
      </c>
      <c r="I539" s="63">
        <v>9376</v>
      </c>
      <c r="J539" s="64">
        <v>6026.59</v>
      </c>
      <c r="K539" s="64">
        <v>8800</v>
      </c>
      <c r="L539" s="65">
        <v>0</v>
      </c>
      <c r="M539" s="65">
        <v>0</v>
      </c>
      <c r="N539" s="66">
        <f t="shared" si="258"/>
        <v>14902.39</v>
      </c>
      <c r="O539" s="66">
        <f t="shared" si="258"/>
        <v>18176</v>
      </c>
      <c r="P539" s="69">
        <f t="shared" si="253"/>
        <v>4967.4633333333331</v>
      </c>
      <c r="Q539" s="69">
        <f t="shared" si="253"/>
        <v>6058.666666666667</v>
      </c>
      <c r="R539" s="54"/>
      <c r="S539" s="49"/>
      <c r="T539" s="49"/>
      <c r="U539" s="49"/>
      <c r="V539" s="49"/>
      <c r="W539" s="49" t="s">
        <v>533</v>
      </c>
      <c r="X539" s="49"/>
      <c r="Y539" s="49"/>
      <c r="Z539" s="66">
        <v>0</v>
      </c>
      <c r="AA539" s="140"/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0</v>
      </c>
      <c r="AI539" s="66">
        <v>0</v>
      </c>
      <c r="AJ539" s="66">
        <v>0</v>
      </c>
      <c r="AK539" s="66">
        <v>0</v>
      </c>
      <c r="AN539"/>
      <c r="AP539"/>
      <c r="AQ539"/>
      <c r="AR539"/>
    </row>
    <row r="540" spans="1:44" x14ac:dyDescent="0.35">
      <c r="A540" s="66"/>
      <c r="B540" s="66"/>
      <c r="C540" s="49"/>
      <c r="D540" s="49"/>
      <c r="E540" s="49" t="s">
        <v>534</v>
      </c>
      <c r="F540" s="49"/>
      <c r="G540" s="49"/>
      <c r="H540" s="63">
        <v>27953.49</v>
      </c>
      <c r="I540" s="63">
        <v>28074</v>
      </c>
      <c r="J540" s="64">
        <v>19873.310000000001</v>
      </c>
      <c r="K540" s="64">
        <v>17150</v>
      </c>
      <c r="L540" s="65">
        <v>19701.16</v>
      </c>
      <c r="M540" s="65">
        <v>19345</v>
      </c>
      <c r="N540" s="66">
        <f t="shared" si="258"/>
        <v>67527.960000000006</v>
      </c>
      <c r="O540" s="66">
        <f t="shared" si="258"/>
        <v>64569</v>
      </c>
      <c r="P540" s="69">
        <f t="shared" si="253"/>
        <v>22509.320000000003</v>
      </c>
      <c r="Q540" s="69">
        <f t="shared" si="253"/>
        <v>21523</v>
      </c>
      <c r="R540" s="54"/>
      <c r="S540" s="49"/>
      <c r="T540" s="49"/>
      <c r="U540" s="49"/>
      <c r="V540" s="49"/>
      <c r="W540" s="49" t="s">
        <v>534</v>
      </c>
      <c r="X540" s="49"/>
      <c r="Y540" s="49"/>
      <c r="Z540" s="66">
        <v>19503</v>
      </c>
      <c r="AA540" s="140"/>
      <c r="AB540" s="66">
        <v>20400</v>
      </c>
      <c r="AC540" s="66">
        <v>20400</v>
      </c>
      <c r="AD540" s="66">
        <v>20400</v>
      </c>
      <c r="AE540" s="66">
        <v>22860</v>
      </c>
      <c r="AF540" s="66">
        <v>22860</v>
      </c>
      <c r="AG540" s="66">
        <v>22860</v>
      </c>
      <c r="AH540" s="66">
        <v>22860</v>
      </c>
      <c r="AI540" s="66">
        <v>22860</v>
      </c>
      <c r="AJ540" s="66">
        <v>22860</v>
      </c>
      <c r="AK540" s="66">
        <v>22860</v>
      </c>
      <c r="AN540"/>
      <c r="AP540"/>
      <c r="AQ540"/>
      <c r="AR540"/>
    </row>
    <row r="541" spans="1:44" x14ac:dyDescent="0.35">
      <c r="A541" s="66"/>
      <c r="B541" s="66"/>
      <c r="C541" s="49"/>
      <c r="D541" s="49"/>
      <c r="E541" s="49" t="s">
        <v>535</v>
      </c>
      <c r="F541" s="49"/>
      <c r="G541" s="49"/>
      <c r="H541" s="63">
        <v>0</v>
      </c>
      <c r="I541" s="63">
        <v>6000</v>
      </c>
      <c r="J541" s="64">
        <v>21228.95</v>
      </c>
      <c r="K541" s="64">
        <v>0</v>
      </c>
      <c r="L541" s="65">
        <v>47757.3</v>
      </c>
      <c r="M541" s="65">
        <v>3000</v>
      </c>
      <c r="N541" s="66">
        <f t="shared" si="258"/>
        <v>68986.25</v>
      </c>
      <c r="O541" s="66">
        <f t="shared" si="258"/>
        <v>9000</v>
      </c>
      <c r="P541" s="69">
        <f t="shared" si="253"/>
        <v>22995.416666666668</v>
      </c>
      <c r="Q541" s="69">
        <f t="shared" si="253"/>
        <v>3000</v>
      </c>
      <c r="R541" s="54"/>
      <c r="S541" s="49"/>
      <c r="T541" s="49"/>
      <c r="U541" s="49"/>
      <c r="V541" s="49"/>
      <c r="W541" s="49" t="s">
        <v>535</v>
      </c>
      <c r="X541" s="49"/>
      <c r="Y541" s="49"/>
      <c r="Z541" s="66">
        <v>3000</v>
      </c>
      <c r="AA541" s="140"/>
      <c r="AB541" s="66">
        <v>3000</v>
      </c>
      <c r="AC541" s="66">
        <v>3000</v>
      </c>
      <c r="AD541" s="66">
        <v>3000</v>
      </c>
      <c r="AE541" s="66">
        <v>3000</v>
      </c>
      <c r="AF541" s="66">
        <v>3000</v>
      </c>
      <c r="AG541" s="66">
        <v>3000</v>
      </c>
      <c r="AH541" s="66">
        <v>3000</v>
      </c>
      <c r="AI541" s="66">
        <v>3000</v>
      </c>
      <c r="AJ541" s="66">
        <v>3000</v>
      </c>
      <c r="AK541" s="66">
        <v>3000</v>
      </c>
      <c r="AN541"/>
      <c r="AP541"/>
      <c r="AQ541"/>
      <c r="AR541"/>
    </row>
    <row r="542" spans="1:44" x14ac:dyDescent="0.35">
      <c r="A542" s="66"/>
      <c r="B542" s="66"/>
      <c r="C542" s="49"/>
      <c r="D542" s="49"/>
      <c r="E542" s="49" t="s">
        <v>536</v>
      </c>
      <c r="F542" s="49"/>
      <c r="G542" s="49"/>
      <c r="H542" s="63">
        <v>19982.650000000001</v>
      </c>
      <c r="I542" s="63">
        <v>32500</v>
      </c>
      <c r="J542" s="64">
        <v>16665.71</v>
      </c>
      <c r="K542" s="64">
        <v>34050</v>
      </c>
      <c r="L542" s="65">
        <v>22645.33</v>
      </c>
      <c r="M542" s="65">
        <v>35000</v>
      </c>
      <c r="N542" s="66">
        <f t="shared" si="258"/>
        <v>59293.69</v>
      </c>
      <c r="O542" s="66">
        <f t="shared" si="258"/>
        <v>101550</v>
      </c>
      <c r="P542" s="69">
        <f t="shared" si="253"/>
        <v>19764.563333333335</v>
      </c>
      <c r="Q542" s="69">
        <f t="shared" si="253"/>
        <v>33850</v>
      </c>
      <c r="R542" s="54"/>
      <c r="S542" s="49"/>
      <c r="T542" s="49"/>
      <c r="U542" s="49"/>
      <c r="V542" s="49"/>
      <c r="W542" s="49" t="s">
        <v>536</v>
      </c>
      <c r="X542" s="49"/>
      <c r="Y542" s="49"/>
      <c r="Z542" s="66">
        <v>35000</v>
      </c>
      <c r="AA542" s="140"/>
      <c r="AB542" s="66">
        <v>35000</v>
      </c>
      <c r="AC542" s="66">
        <v>30000</v>
      </c>
      <c r="AD542" s="66">
        <v>30000</v>
      </c>
      <c r="AE542" s="66">
        <v>30000</v>
      </c>
      <c r="AF542" s="66">
        <v>35000</v>
      </c>
      <c r="AG542" s="66">
        <v>35000</v>
      </c>
      <c r="AH542" s="66">
        <v>35000</v>
      </c>
      <c r="AI542" s="66">
        <v>35000</v>
      </c>
      <c r="AJ542" s="66">
        <v>35000</v>
      </c>
      <c r="AK542" s="66">
        <v>35000</v>
      </c>
      <c r="AN542"/>
      <c r="AP542"/>
      <c r="AQ542"/>
      <c r="AR542"/>
    </row>
    <row r="543" spans="1:44" x14ac:dyDescent="0.35">
      <c r="A543" s="66"/>
      <c r="B543" s="66"/>
      <c r="C543" s="49"/>
      <c r="D543" s="49"/>
      <c r="E543" s="49" t="s">
        <v>537</v>
      </c>
      <c r="F543" s="49"/>
      <c r="G543" s="49"/>
      <c r="H543" s="63">
        <v>0</v>
      </c>
      <c r="I543" s="63"/>
      <c r="J543" s="64">
        <v>0</v>
      </c>
      <c r="K543" s="64"/>
      <c r="L543" s="65">
        <v>0</v>
      </c>
      <c r="M543" s="65"/>
      <c r="N543" s="66">
        <f t="shared" si="258"/>
        <v>0</v>
      </c>
      <c r="O543" s="66"/>
      <c r="P543" s="69">
        <f t="shared" si="253"/>
        <v>0</v>
      </c>
      <c r="Q543" s="69">
        <f t="shared" si="253"/>
        <v>0</v>
      </c>
      <c r="R543" s="54"/>
      <c r="S543" s="49"/>
      <c r="T543" s="49"/>
      <c r="U543" s="49"/>
      <c r="V543" s="49"/>
      <c r="W543" s="49" t="s">
        <v>537</v>
      </c>
      <c r="X543" s="49"/>
      <c r="Y543" s="49"/>
      <c r="Z543" s="66">
        <v>0</v>
      </c>
      <c r="AA543" s="140"/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H543" s="66">
        <v>0</v>
      </c>
      <c r="AI543" s="66">
        <v>0</v>
      </c>
      <c r="AJ543" s="66">
        <v>0</v>
      </c>
      <c r="AK543" s="66">
        <v>0</v>
      </c>
      <c r="AN543"/>
      <c r="AP543"/>
      <c r="AQ543"/>
      <c r="AR543"/>
    </row>
    <row r="544" spans="1:44" x14ac:dyDescent="0.35">
      <c r="A544" s="66"/>
      <c r="B544" s="66"/>
      <c r="C544" s="49"/>
      <c r="D544" s="49"/>
      <c r="E544" s="49" t="s">
        <v>538</v>
      </c>
      <c r="F544" s="49"/>
      <c r="G544" s="49"/>
      <c r="H544" s="63">
        <v>14880.27</v>
      </c>
      <c r="I544" s="63">
        <v>15000</v>
      </c>
      <c r="J544" s="64">
        <v>16092.2</v>
      </c>
      <c r="K544" s="64">
        <v>10000</v>
      </c>
      <c r="L544" s="65">
        <v>-1635.48</v>
      </c>
      <c r="M544" s="65">
        <v>10000</v>
      </c>
      <c r="N544" s="66">
        <f t="shared" si="258"/>
        <v>29336.99</v>
      </c>
      <c r="O544" s="66">
        <f>ROUND(I544+K544+M544,5)</f>
        <v>35000</v>
      </c>
      <c r="P544" s="69">
        <f t="shared" si="253"/>
        <v>9778.9966666666678</v>
      </c>
      <c r="Q544" s="69">
        <f t="shared" si="253"/>
        <v>11666.666666666666</v>
      </c>
      <c r="R544" s="54"/>
      <c r="S544" s="49"/>
      <c r="T544" s="49"/>
      <c r="U544" s="49"/>
      <c r="V544" s="49"/>
      <c r="W544" s="49" t="s">
        <v>538</v>
      </c>
      <c r="X544" s="49"/>
      <c r="Y544" s="49"/>
      <c r="Z544" s="66">
        <v>10000</v>
      </c>
      <c r="AA544" s="140"/>
      <c r="AB544" s="66">
        <v>10000</v>
      </c>
      <c r="AC544" s="66">
        <v>10000</v>
      </c>
      <c r="AD544" s="66">
        <v>10000</v>
      </c>
      <c r="AE544" s="66">
        <v>10000</v>
      </c>
      <c r="AF544" s="66">
        <v>10000</v>
      </c>
      <c r="AG544" s="66">
        <v>10000</v>
      </c>
      <c r="AH544" s="66">
        <v>10000</v>
      </c>
      <c r="AI544" s="66">
        <v>10000</v>
      </c>
      <c r="AJ544" s="66">
        <v>10000</v>
      </c>
      <c r="AK544" s="66">
        <v>10000</v>
      </c>
      <c r="AN544"/>
      <c r="AP544"/>
      <c r="AQ544"/>
      <c r="AR544"/>
    </row>
    <row r="545" spans="1:44" x14ac:dyDescent="0.35">
      <c r="A545" s="66"/>
      <c r="B545" s="66"/>
      <c r="C545" s="49"/>
      <c r="D545" s="49"/>
      <c r="E545" s="49" t="s">
        <v>539</v>
      </c>
      <c r="F545" s="49"/>
      <c r="G545" s="49"/>
      <c r="H545" s="63"/>
      <c r="I545" s="63"/>
      <c r="J545" s="64"/>
      <c r="K545" s="64"/>
      <c r="L545" s="65"/>
      <c r="M545" s="65"/>
      <c r="N545" s="66"/>
      <c r="O545" s="66"/>
      <c r="P545" s="69"/>
      <c r="Q545" s="69"/>
      <c r="R545" s="54"/>
      <c r="S545" s="49"/>
      <c r="T545" s="49"/>
      <c r="U545" s="49"/>
      <c r="V545" s="49"/>
      <c r="W545" s="49" t="s">
        <v>539</v>
      </c>
      <c r="X545" s="49"/>
      <c r="Y545" s="49"/>
      <c r="Z545" s="66"/>
      <c r="AA545" s="140"/>
      <c r="AB545" s="66"/>
      <c r="AC545" s="66"/>
      <c r="AD545" s="66"/>
      <c r="AE545" s="66"/>
      <c r="AF545" s="66"/>
      <c r="AG545" s="66"/>
      <c r="AH545" s="66"/>
      <c r="AI545" s="66"/>
      <c r="AJ545" s="66"/>
      <c r="AK545" s="66"/>
      <c r="AN545"/>
      <c r="AP545"/>
      <c r="AQ545"/>
      <c r="AR545"/>
    </row>
    <row r="546" spans="1:44" x14ac:dyDescent="0.35">
      <c r="A546" s="66"/>
      <c r="B546" s="66"/>
      <c r="C546" s="49"/>
      <c r="D546" s="49"/>
      <c r="E546" s="49"/>
      <c r="F546" s="49" t="s">
        <v>540</v>
      </c>
      <c r="G546" s="49"/>
      <c r="H546" s="63">
        <v>11400</v>
      </c>
      <c r="I546" s="63">
        <v>11970</v>
      </c>
      <c r="J546" s="64">
        <v>11400</v>
      </c>
      <c r="K546" s="64">
        <v>11400</v>
      </c>
      <c r="L546" s="65">
        <v>11400</v>
      </c>
      <c r="M546" s="65">
        <v>11970</v>
      </c>
      <c r="N546" s="66">
        <f t="shared" ref="N546:O550" si="260">ROUND(H546+J546+L546,5)</f>
        <v>34200</v>
      </c>
      <c r="O546" s="66">
        <f t="shared" si="260"/>
        <v>35340</v>
      </c>
      <c r="P546" s="69">
        <f t="shared" si="253"/>
        <v>11400</v>
      </c>
      <c r="Q546" s="69">
        <f t="shared" si="253"/>
        <v>11780</v>
      </c>
      <c r="R546" s="54"/>
      <c r="S546" s="49"/>
      <c r="T546" s="49"/>
      <c r="U546" s="49"/>
      <c r="V546" s="49"/>
      <c r="W546" s="49"/>
      <c r="X546" s="49" t="s">
        <v>540</v>
      </c>
      <c r="Y546" s="49"/>
      <c r="Z546" s="66">
        <v>11970</v>
      </c>
      <c r="AA546" s="140"/>
      <c r="AB546" s="66">
        <v>11970</v>
      </c>
      <c r="AC546" s="66">
        <v>11970</v>
      </c>
      <c r="AD546" s="66">
        <v>11970</v>
      </c>
      <c r="AE546" s="66">
        <v>11970</v>
      </c>
      <c r="AF546" s="66">
        <v>11970</v>
      </c>
      <c r="AG546" s="66">
        <v>11970</v>
      </c>
      <c r="AH546" s="66">
        <v>11970</v>
      </c>
      <c r="AI546" s="66">
        <v>11970</v>
      </c>
      <c r="AJ546" s="66">
        <v>11970</v>
      </c>
      <c r="AK546" s="66">
        <v>11970</v>
      </c>
      <c r="AN546"/>
      <c r="AP546"/>
      <c r="AQ546"/>
      <c r="AR546"/>
    </row>
    <row r="547" spans="1:44" x14ac:dyDescent="0.35">
      <c r="A547" s="66"/>
      <c r="B547" s="66"/>
      <c r="C547" s="49"/>
      <c r="D547" s="49"/>
      <c r="E547" s="49"/>
      <c r="F547" s="49" t="s">
        <v>541</v>
      </c>
      <c r="G547" s="49"/>
      <c r="H547" s="63">
        <v>20000</v>
      </c>
      <c r="I547" s="63">
        <v>20000</v>
      </c>
      <c r="J547" s="64">
        <v>20000.04</v>
      </c>
      <c r="K547" s="64">
        <v>20000</v>
      </c>
      <c r="L547" s="65">
        <v>20000.04</v>
      </c>
      <c r="M547" s="65">
        <v>20000</v>
      </c>
      <c r="N547" s="66">
        <f t="shared" si="260"/>
        <v>60000.08</v>
      </c>
      <c r="O547" s="66">
        <f t="shared" si="260"/>
        <v>60000</v>
      </c>
      <c r="P547" s="69">
        <f t="shared" si="253"/>
        <v>20000.026666666668</v>
      </c>
      <c r="Q547" s="69">
        <f t="shared" si="253"/>
        <v>20000</v>
      </c>
      <c r="R547" s="54"/>
      <c r="S547" s="49"/>
      <c r="T547" s="49"/>
      <c r="U547" s="49"/>
      <c r="V547" s="49"/>
      <c r="W547" s="49"/>
      <c r="X547" s="49" t="s">
        <v>541</v>
      </c>
      <c r="Y547" s="49"/>
      <c r="Z547" s="66">
        <v>21000</v>
      </c>
      <c r="AA547" s="140"/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H547" s="66">
        <v>0</v>
      </c>
      <c r="AI547" s="66">
        <v>0</v>
      </c>
      <c r="AJ547" s="66">
        <v>0</v>
      </c>
      <c r="AK547" s="66">
        <v>0</v>
      </c>
      <c r="AM547" s="220" t="s">
        <v>946</v>
      </c>
      <c r="AN547"/>
      <c r="AP547"/>
      <c r="AQ547"/>
      <c r="AR547"/>
    </row>
    <row r="548" spans="1:44" ht="16" thickBot="1" x14ac:dyDescent="0.4">
      <c r="A548" s="66"/>
      <c r="B548" s="66"/>
      <c r="C548" s="49"/>
      <c r="D548" s="49"/>
      <c r="E548" s="49"/>
      <c r="F548" s="49" t="s">
        <v>542</v>
      </c>
      <c r="G548" s="49"/>
      <c r="H548" s="70">
        <v>34792.800000000003</v>
      </c>
      <c r="I548" s="70">
        <v>34464</v>
      </c>
      <c r="J548" s="71">
        <v>36880.32</v>
      </c>
      <c r="K548" s="71">
        <v>32823.360000000001</v>
      </c>
      <c r="L548" s="72">
        <v>39093.120000000003</v>
      </c>
      <c r="M548" s="72">
        <v>38724.339999999997</v>
      </c>
      <c r="N548" s="73">
        <f t="shared" si="260"/>
        <v>110766.24</v>
      </c>
      <c r="O548" s="73">
        <f t="shared" si="260"/>
        <v>106011.7</v>
      </c>
      <c r="P548" s="74">
        <f t="shared" si="253"/>
        <v>36922.080000000002</v>
      </c>
      <c r="Q548" s="74">
        <f t="shared" si="253"/>
        <v>35337.23333333333</v>
      </c>
      <c r="R548" s="54"/>
      <c r="S548" s="49"/>
      <c r="T548" s="49"/>
      <c r="U548" s="49"/>
      <c r="V548" s="49"/>
      <c r="W548" s="49"/>
      <c r="X548" s="49" t="s">
        <v>542</v>
      </c>
      <c r="Y548" s="49"/>
      <c r="Z548" s="73">
        <v>41048</v>
      </c>
      <c r="AA548" s="140"/>
      <c r="AB548" s="73">
        <v>75353.289999999994</v>
      </c>
      <c r="AC548" s="73">
        <v>75353.289999999994</v>
      </c>
      <c r="AD548" s="73">
        <v>75353.289999999994</v>
      </c>
      <c r="AE548" s="73">
        <v>75353.289999999994</v>
      </c>
      <c r="AF548" s="73">
        <v>75353.289999999994</v>
      </c>
      <c r="AG548" s="73">
        <v>43000</v>
      </c>
      <c r="AH548" s="73">
        <v>43000</v>
      </c>
      <c r="AI548" s="73">
        <v>43000</v>
      </c>
      <c r="AJ548" s="73">
        <v>43000</v>
      </c>
      <c r="AK548" s="73">
        <v>43000</v>
      </c>
      <c r="AN548"/>
      <c r="AP548"/>
      <c r="AQ548"/>
      <c r="AR548"/>
    </row>
    <row r="549" spans="1:44" ht="16" thickBot="1" x14ac:dyDescent="0.4">
      <c r="A549" s="66"/>
      <c r="B549" s="66"/>
      <c r="C549" s="49"/>
      <c r="D549" s="49"/>
      <c r="E549" s="49" t="s">
        <v>543</v>
      </c>
      <c r="F549" s="49"/>
      <c r="G549" s="49"/>
      <c r="H549" s="63">
        <f t="shared" ref="H549:M549" si="261">ROUND(SUM(H545:H548),5)</f>
        <v>66192.800000000003</v>
      </c>
      <c r="I549" s="63">
        <f t="shared" si="261"/>
        <v>66434</v>
      </c>
      <c r="J549" s="64">
        <f t="shared" si="261"/>
        <v>68280.36</v>
      </c>
      <c r="K549" s="64">
        <f t="shared" si="261"/>
        <v>64223.360000000001</v>
      </c>
      <c r="L549" s="65">
        <f t="shared" si="261"/>
        <v>70493.16</v>
      </c>
      <c r="M549" s="65">
        <f t="shared" si="261"/>
        <v>70694.34</v>
      </c>
      <c r="N549" s="66">
        <f t="shared" si="260"/>
        <v>204966.32</v>
      </c>
      <c r="O549" s="66">
        <f t="shared" si="260"/>
        <v>201351.7</v>
      </c>
      <c r="P549" s="69">
        <f t="shared" si="253"/>
        <v>68322.106666666674</v>
      </c>
      <c r="Q549" s="69">
        <f t="shared" si="253"/>
        <v>67117.233333333337</v>
      </c>
      <c r="R549" s="54"/>
      <c r="S549" s="49"/>
      <c r="T549" s="49"/>
      <c r="U549" s="49"/>
      <c r="V549" s="49"/>
      <c r="W549" s="49" t="s">
        <v>543</v>
      </c>
      <c r="X549" s="49"/>
      <c r="Y549" s="49"/>
      <c r="Z549" s="66">
        <f>ROUND(SUM(Z545:Z548),5)</f>
        <v>74018</v>
      </c>
      <c r="AA549" s="140"/>
      <c r="AB549" s="66">
        <f t="shared" ref="AB549:AJ549" si="262">ROUND(SUM(AB545:AB548),5)</f>
        <v>87323.29</v>
      </c>
      <c r="AC549" s="66">
        <f t="shared" si="262"/>
        <v>87323.29</v>
      </c>
      <c r="AD549" s="66">
        <f t="shared" si="262"/>
        <v>87323.29</v>
      </c>
      <c r="AE549" s="66">
        <f t="shared" si="262"/>
        <v>87323.29</v>
      </c>
      <c r="AF549" s="66">
        <f t="shared" si="262"/>
        <v>87323.29</v>
      </c>
      <c r="AG549" s="66">
        <f t="shared" si="262"/>
        <v>54970</v>
      </c>
      <c r="AH549" s="66">
        <f t="shared" si="262"/>
        <v>54970</v>
      </c>
      <c r="AI549" s="66">
        <f t="shared" si="262"/>
        <v>54970</v>
      </c>
      <c r="AJ549" s="66">
        <f t="shared" si="262"/>
        <v>54970</v>
      </c>
      <c r="AK549" s="66">
        <f t="shared" ref="AK549" si="263">ROUND(SUM(AK545:AK548),5)</f>
        <v>54970</v>
      </c>
      <c r="AN549"/>
      <c r="AP549"/>
      <c r="AQ549"/>
      <c r="AR549"/>
    </row>
    <row r="550" spans="1:44" x14ac:dyDescent="0.35">
      <c r="A550" s="66"/>
      <c r="B550" s="66"/>
      <c r="C550" s="49"/>
      <c r="D550" s="49" t="s">
        <v>544</v>
      </c>
      <c r="E550" s="49"/>
      <c r="F550" s="49"/>
      <c r="G550" s="49"/>
      <c r="H550" s="63">
        <f t="shared" ref="H550:M550" si="264">ROUND(SUM(H490:H514)+SUM(H520:H544)+SUM(H549:H549),5)</f>
        <v>820827.03</v>
      </c>
      <c r="I550" s="63">
        <f t="shared" si="264"/>
        <v>933251.5</v>
      </c>
      <c r="J550" s="64">
        <f t="shared" si="264"/>
        <v>885822.56</v>
      </c>
      <c r="K550" s="64">
        <f t="shared" si="264"/>
        <v>789393.59</v>
      </c>
      <c r="L550" s="65">
        <f t="shared" si="264"/>
        <v>1006470.26</v>
      </c>
      <c r="M550" s="65">
        <f t="shared" si="264"/>
        <v>900551.6</v>
      </c>
      <c r="N550" s="66">
        <f t="shared" si="260"/>
        <v>2713119.85</v>
      </c>
      <c r="O550" s="66">
        <f t="shared" si="260"/>
        <v>2623196.69</v>
      </c>
      <c r="P550" s="69">
        <f t="shared" si="253"/>
        <v>904373.28333333333</v>
      </c>
      <c r="Q550" s="69">
        <f t="shared" si="253"/>
        <v>874398.89666666661</v>
      </c>
      <c r="R550" s="54"/>
      <c r="S550" s="49"/>
      <c r="T550" s="49"/>
      <c r="U550" s="49"/>
      <c r="V550" s="49" t="s">
        <v>544</v>
      </c>
      <c r="W550" s="49"/>
      <c r="X550" s="49"/>
      <c r="Y550" s="49"/>
      <c r="Z550" s="78">
        <f>ROUND(SUM(Z490:Z514)+SUM(Z520:Z544)+SUM(Z549:Z549),5)</f>
        <v>979664.82</v>
      </c>
      <c r="AA550" s="140"/>
      <c r="AB550" s="91">
        <f t="shared" ref="AB550:AG550" si="265">ROUND(SUM(AB490:AB514)+SUM(AB520:AB544)+SUM(AB549:AB549),5)</f>
        <v>1013580.17</v>
      </c>
      <c r="AC550" s="91">
        <f t="shared" si="265"/>
        <v>983580.17</v>
      </c>
      <c r="AD550" s="91">
        <f t="shared" si="265"/>
        <v>986099.17</v>
      </c>
      <c r="AE550" s="91">
        <f t="shared" si="265"/>
        <v>985787.17</v>
      </c>
      <c r="AF550" s="91">
        <f t="shared" si="265"/>
        <v>1047700.03</v>
      </c>
      <c r="AG550" s="91">
        <f t="shared" si="265"/>
        <v>1086582</v>
      </c>
      <c r="AH550" s="91">
        <f t="shared" ref="AH550:AJ550" si="266">ROUND(SUM(AH490:AH514)+SUM(AH520:AH544)+SUM(AH549:AH549),5)</f>
        <v>1068876.6299999999</v>
      </c>
      <c r="AI550" s="91">
        <f t="shared" si="266"/>
        <v>1066329.6299999999</v>
      </c>
      <c r="AJ550" s="91">
        <f t="shared" si="266"/>
        <v>1066465</v>
      </c>
      <c r="AK550" s="266">
        <f t="shared" ref="AK550" si="267">ROUND(SUM(AK490:AK514)+SUM(AK520:AK544)+SUM(AK549:AK549),5)</f>
        <v>1074475</v>
      </c>
      <c r="AN550"/>
      <c r="AP550"/>
      <c r="AQ550"/>
      <c r="AR550"/>
    </row>
    <row r="551" spans="1:44" x14ac:dyDescent="0.35">
      <c r="A551" s="66"/>
      <c r="B551" s="66"/>
      <c r="C551" s="49"/>
      <c r="D551" s="49" t="s">
        <v>545</v>
      </c>
      <c r="E551" s="49"/>
      <c r="F551" s="49"/>
      <c r="G551" s="49"/>
      <c r="H551" s="63"/>
      <c r="I551" s="63"/>
      <c r="J551" s="64"/>
      <c r="K551" s="64"/>
      <c r="L551" s="65"/>
      <c r="M551" s="65"/>
      <c r="N551" s="66"/>
      <c r="O551" s="66"/>
      <c r="P551" s="69"/>
      <c r="Q551" s="69"/>
      <c r="R551" s="54"/>
      <c r="S551" s="49"/>
      <c r="T551" s="49"/>
      <c r="U551" s="49"/>
      <c r="V551" s="49" t="s">
        <v>545</v>
      </c>
      <c r="W551" s="49"/>
      <c r="X551" s="49"/>
      <c r="Y551" s="49"/>
      <c r="Z551" s="66"/>
      <c r="AA551" s="140"/>
      <c r="AB551" s="66"/>
      <c r="AC551" s="66"/>
      <c r="AD551" s="66"/>
      <c r="AE551" s="66"/>
      <c r="AF551" s="66"/>
      <c r="AG551" s="66"/>
      <c r="AH551" s="66"/>
      <c r="AI551" s="66"/>
      <c r="AJ551" s="66"/>
      <c r="AK551" s="66"/>
    </row>
    <row r="552" spans="1:44" ht="16" thickBot="1" x14ac:dyDescent="0.4">
      <c r="A552" s="66"/>
      <c r="B552" s="66"/>
      <c r="C552" s="49"/>
      <c r="D552" s="49"/>
      <c r="E552" s="49" t="s">
        <v>546</v>
      </c>
      <c r="F552" s="49"/>
      <c r="G552" s="49"/>
      <c r="H552" s="63">
        <v>4568.2</v>
      </c>
      <c r="I552" s="63">
        <v>20000</v>
      </c>
      <c r="J552" s="64">
        <v>4000.49</v>
      </c>
      <c r="K552" s="64">
        <v>30000</v>
      </c>
      <c r="L552" s="65">
        <v>22812.77</v>
      </c>
      <c r="M552" s="65">
        <v>10000</v>
      </c>
      <c r="N552" s="66">
        <f t="shared" ref="N552:O555" si="268">ROUND(H552+J552+L552,5)</f>
        <v>31381.46</v>
      </c>
      <c r="O552" s="66">
        <f t="shared" si="268"/>
        <v>60000</v>
      </c>
      <c r="P552" s="69">
        <f t="shared" si="253"/>
        <v>10460.486666666666</v>
      </c>
      <c r="Q552" s="69">
        <f t="shared" si="253"/>
        <v>20000</v>
      </c>
      <c r="R552" s="54"/>
      <c r="S552" s="49"/>
      <c r="T552" s="49"/>
      <c r="U552" s="49"/>
      <c r="V552" s="49"/>
      <c r="W552" s="49" t="s">
        <v>546</v>
      </c>
      <c r="X552" s="49"/>
      <c r="Y552" s="49"/>
      <c r="Z552" s="66">
        <v>15000</v>
      </c>
      <c r="AA552" s="140"/>
      <c r="AB552" s="66">
        <v>10000</v>
      </c>
      <c r="AC552" s="66">
        <v>10000</v>
      </c>
      <c r="AD552" s="66">
        <v>10000</v>
      </c>
      <c r="AE552" s="66">
        <v>10000</v>
      </c>
      <c r="AF552" s="66">
        <v>10000</v>
      </c>
      <c r="AG552" s="66">
        <v>10000</v>
      </c>
      <c r="AH552" s="66">
        <v>10000</v>
      </c>
      <c r="AI552" s="66">
        <v>10000</v>
      </c>
      <c r="AJ552" s="66">
        <v>10000</v>
      </c>
      <c r="AK552" s="66">
        <v>10000</v>
      </c>
    </row>
    <row r="553" spans="1:44" ht="16" thickBot="1" x14ac:dyDescent="0.4">
      <c r="A553" s="66"/>
      <c r="B553" s="66"/>
      <c r="C553" s="49"/>
      <c r="D553" s="49" t="s">
        <v>547</v>
      </c>
      <c r="E553" s="49"/>
      <c r="F553" s="49"/>
      <c r="G553" s="49"/>
      <c r="H553" s="75">
        <f t="shared" ref="H553:M553" si="269">ROUND(SUM(H551:H552),5)</f>
        <v>4568.2</v>
      </c>
      <c r="I553" s="75">
        <f t="shared" si="269"/>
        <v>20000</v>
      </c>
      <c r="J553" s="76">
        <f t="shared" si="269"/>
        <v>4000.49</v>
      </c>
      <c r="K553" s="76">
        <f t="shared" si="269"/>
        <v>30000</v>
      </c>
      <c r="L553" s="77">
        <f t="shared" si="269"/>
        <v>22812.77</v>
      </c>
      <c r="M553" s="77">
        <f t="shared" si="269"/>
        <v>10000</v>
      </c>
      <c r="N553" s="78">
        <f t="shared" si="268"/>
        <v>31381.46</v>
      </c>
      <c r="O553" s="78">
        <f t="shared" si="268"/>
        <v>60000</v>
      </c>
      <c r="P553" s="79">
        <f t="shared" si="253"/>
        <v>10460.486666666666</v>
      </c>
      <c r="Q553" s="79">
        <f t="shared" si="253"/>
        <v>20000</v>
      </c>
      <c r="R553" s="54"/>
      <c r="S553" s="49"/>
      <c r="T553" s="49"/>
      <c r="U553" s="49"/>
      <c r="V553" s="49" t="s">
        <v>547</v>
      </c>
      <c r="W553" s="49"/>
      <c r="X553" s="49"/>
      <c r="Y553" s="49"/>
      <c r="Z553" s="78">
        <f>ROUND(SUM(Z551:Z552),5)</f>
        <v>15000</v>
      </c>
      <c r="AA553" s="140"/>
      <c r="AB553" s="91">
        <f t="shared" ref="AB553:AJ553" si="270">ROUND(SUM(AB551:AB552),5)</f>
        <v>10000</v>
      </c>
      <c r="AC553" s="91">
        <f t="shared" si="270"/>
        <v>10000</v>
      </c>
      <c r="AD553" s="91">
        <f t="shared" si="270"/>
        <v>10000</v>
      </c>
      <c r="AE553" s="91">
        <f t="shared" si="270"/>
        <v>10000</v>
      </c>
      <c r="AF553" s="91">
        <f t="shared" si="270"/>
        <v>10000</v>
      </c>
      <c r="AG553" s="91">
        <f t="shared" si="270"/>
        <v>10000</v>
      </c>
      <c r="AH553" s="91">
        <f t="shared" si="270"/>
        <v>10000</v>
      </c>
      <c r="AI553" s="91">
        <f t="shared" si="270"/>
        <v>10000</v>
      </c>
      <c r="AJ553" s="91">
        <f t="shared" si="270"/>
        <v>10000</v>
      </c>
      <c r="AK553" s="266">
        <f t="shared" ref="AK553" si="271">ROUND(SUM(AK551:AK552),5)</f>
        <v>10000</v>
      </c>
    </row>
    <row r="554" spans="1:44" ht="16" thickBot="1" x14ac:dyDescent="0.4">
      <c r="A554" s="66"/>
      <c r="B554" s="66"/>
      <c r="C554" s="49" t="s">
        <v>548</v>
      </c>
      <c r="D554" s="49"/>
      <c r="E554" s="49"/>
      <c r="F554" s="49"/>
      <c r="G554" s="49"/>
      <c r="H554" s="83">
        <f t="shared" ref="H554:M554" si="272">ROUND(H221+H225+H364+H371+H376+H428+H489+H550+H553,5)</f>
        <v>4602596.84</v>
      </c>
      <c r="I554" s="83">
        <f t="shared" si="272"/>
        <v>4826439.17</v>
      </c>
      <c r="J554" s="84">
        <f t="shared" si="272"/>
        <v>5124859.8899999997</v>
      </c>
      <c r="K554" s="84">
        <f t="shared" si="272"/>
        <v>4876753.51</v>
      </c>
      <c r="L554" s="85">
        <f t="shared" si="272"/>
        <v>5236566.88</v>
      </c>
      <c r="M554" s="85">
        <f t="shared" si="272"/>
        <v>5167354.4800000004</v>
      </c>
      <c r="N554" s="86">
        <f t="shared" si="268"/>
        <v>14964023.609999999</v>
      </c>
      <c r="O554" s="86">
        <f t="shared" si="268"/>
        <v>14870547.16</v>
      </c>
      <c r="P554" s="87">
        <f t="shared" si="253"/>
        <v>4988007.87</v>
      </c>
      <c r="Q554" s="87">
        <f t="shared" si="253"/>
        <v>4956849.0533333337</v>
      </c>
      <c r="R554" s="54"/>
      <c r="S554" s="49"/>
      <c r="T554" s="49"/>
      <c r="U554" s="49" t="s">
        <v>548</v>
      </c>
      <c r="V554" s="49"/>
      <c r="W554" s="49"/>
      <c r="X554" s="49"/>
      <c r="Y554" s="49"/>
      <c r="Z554" s="86">
        <f>ROUND(Z221+Z225+Z364+Z371+Z376+Z428+Z489+Z550+Z553,5)</f>
        <v>5275555.82</v>
      </c>
      <c r="AA554" s="140"/>
      <c r="AB554" s="86">
        <f t="shared" ref="AB554:AI554" si="273">ROUND(AB221+AB225+AB364+AB371+AB376+AB428+AB489+AB550+AB553,5)</f>
        <v>5504831.5764199998</v>
      </c>
      <c r="AC554" s="86">
        <f t="shared" si="273"/>
        <v>5320349.5814199997</v>
      </c>
      <c r="AD554" s="86">
        <f t="shared" si="273"/>
        <v>5361614.52202</v>
      </c>
      <c r="AE554" s="86">
        <f t="shared" si="273"/>
        <v>5353153.41</v>
      </c>
      <c r="AF554" s="86">
        <f t="shared" si="273"/>
        <v>5504490.165</v>
      </c>
      <c r="AG554" s="86">
        <f t="shared" si="273"/>
        <v>5616355.9950000001</v>
      </c>
      <c r="AH554" s="86">
        <f t="shared" si="273"/>
        <v>5723650.625</v>
      </c>
      <c r="AI554" s="86">
        <f t="shared" si="273"/>
        <v>5695203.625</v>
      </c>
      <c r="AJ554" s="86">
        <f>ROUND(AJ221+AJ225+AJ364+AJ371+AJ376+AJ428+AJ489+AJ550+AJ553,0)</f>
        <v>5626839</v>
      </c>
      <c r="AK554" s="86">
        <f>ROUND(AK221+AK225+AK364+AK371+AK376+AK428+AK489+AK550+AK553,0)</f>
        <v>5621369</v>
      </c>
    </row>
    <row r="555" spans="1:44" x14ac:dyDescent="0.35">
      <c r="A555" s="66"/>
      <c r="B555" s="66" t="s">
        <v>549</v>
      </c>
      <c r="C555" s="49"/>
      <c r="D555" s="49"/>
      <c r="E555" s="49"/>
      <c r="F555" s="49"/>
      <c r="G555" s="49"/>
      <c r="H555" s="63">
        <f t="shared" ref="H555:M555" si="274">ROUND(H5+H220-H554,5)</f>
        <v>-92592.2</v>
      </c>
      <c r="I555" s="63">
        <f t="shared" si="274"/>
        <v>8714.58</v>
      </c>
      <c r="J555" s="64">
        <f t="shared" si="274"/>
        <v>-187378.98</v>
      </c>
      <c r="K555" s="64">
        <f t="shared" si="274"/>
        <v>826.41</v>
      </c>
      <c r="L555" s="65">
        <f t="shared" si="274"/>
        <v>-21575.47</v>
      </c>
      <c r="M555" s="65">
        <f t="shared" si="274"/>
        <v>354.02</v>
      </c>
      <c r="N555" s="66">
        <f t="shared" si="268"/>
        <v>-301546.65000000002</v>
      </c>
      <c r="O555" s="66">
        <f t="shared" si="268"/>
        <v>9895.01</v>
      </c>
      <c r="P555" s="69">
        <f t="shared" si="253"/>
        <v>-100515.55</v>
      </c>
      <c r="Q555" s="69">
        <f t="shared" si="253"/>
        <v>3298.3366666666666</v>
      </c>
      <c r="R555" s="54"/>
      <c r="S555" s="49"/>
      <c r="T555" s="49" t="s">
        <v>549</v>
      </c>
      <c r="U555" s="49"/>
      <c r="V555" s="49"/>
      <c r="W555" s="49"/>
      <c r="X555" s="49"/>
      <c r="Y555" s="49"/>
      <c r="Z555" s="66">
        <f>ROUND(Z5+Z220-Z554,5)</f>
        <v>811.37</v>
      </c>
      <c r="AA555" s="140"/>
      <c r="AB555" s="66">
        <f t="shared" ref="AB555:AF555" si="275">ROUND(AB5+AB220-AB554,5)</f>
        <v>-193160.46642000001</v>
      </c>
      <c r="AC555" s="66">
        <f t="shared" si="275"/>
        <v>-8678.4714199999999</v>
      </c>
      <c r="AD555" s="66">
        <f t="shared" si="275"/>
        <v>15325.98798</v>
      </c>
      <c r="AE555" s="66">
        <f t="shared" si="275"/>
        <v>3787.1</v>
      </c>
      <c r="AF555" s="66">
        <f t="shared" si="275"/>
        <v>5642.0349999999999</v>
      </c>
      <c r="AG555" s="66">
        <f>ROUND(AG5+AG220-AG554,0)</f>
        <v>-17387</v>
      </c>
      <c r="AH555" s="66">
        <f>ROUND(AH5+AH220-AH554,0)</f>
        <v>20318</v>
      </c>
      <c r="AI555" s="66">
        <f>ROUND(AI5+AI220-AI554,0)</f>
        <v>-17235</v>
      </c>
      <c r="AJ555" s="66">
        <f>ROUND(AJ5+AJ220-AJ554,0)</f>
        <v>54630</v>
      </c>
      <c r="AK555" s="66">
        <f>ROUND(AK5+AK220-AK554,0)</f>
        <v>102200</v>
      </c>
    </row>
    <row r="556" spans="1:44" x14ac:dyDescent="0.35">
      <c r="A556" s="66"/>
      <c r="B556" s="66" t="s">
        <v>550</v>
      </c>
      <c r="C556" s="49"/>
      <c r="D556" s="49"/>
      <c r="E556" s="49"/>
      <c r="F556" s="49"/>
      <c r="G556" s="49"/>
      <c r="H556" s="63"/>
      <c r="I556" s="63"/>
      <c r="J556" s="64"/>
      <c r="K556" s="64"/>
      <c r="L556" s="65"/>
      <c r="M556" s="65"/>
      <c r="N556" s="66"/>
      <c r="O556" s="66"/>
      <c r="P556" s="69"/>
      <c r="Q556" s="69"/>
      <c r="R556" s="54"/>
      <c r="S556" s="49"/>
      <c r="T556" s="49" t="s">
        <v>550</v>
      </c>
      <c r="U556" s="49"/>
      <c r="V556" s="49"/>
      <c r="W556" s="49"/>
      <c r="X556" s="49"/>
      <c r="Y556" s="49"/>
      <c r="Z556" s="66"/>
      <c r="AA556" s="140"/>
      <c r="AB556" s="66"/>
      <c r="AC556" s="66"/>
      <c r="AD556" s="66"/>
      <c r="AE556" s="66"/>
      <c r="AF556" s="66"/>
      <c r="AG556" s="66"/>
      <c r="AH556" s="66"/>
      <c r="AI556" s="66"/>
      <c r="AJ556" s="66"/>
      <c r="AK556" s="66"/>
    </row>
    <row r="557" spans="1:44" x14ac:dyDescent="0.35">
      <c r="A557" s="66"/>
      <c r="B557" s="66"/>
      <c r="C557" s="49" t="s">
        <v>551</v>
      </c>
      <c r="D557" s="49"/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54"/>
      <c r="S557" s="49"/>
      <c r="T557" s="49"/>
      <c r="U557" s="49" t="s">
        <v>551</v>
      </c>
      <c r="V557" s="49"/>
      <c r="W557" s="49"/>
      <c r="X557" s="49"/>
      <c r="Y557" s="49"/>
      <c r="Z557" s="66"/>
      <c r="AA557" s="140"/>
      <c r="AB557" s="66"/>
      <c r="AC557" s="66"/>
      <c r="AD557" s="66"/>
      <c r="AE557" s="66"/>
      <c r="AF557" s="66"/>
      <c r="AG557" s="66"/>
      <c r="AH557" s="66"/>
      <c r="AI557" s="66"/>
      <c r="AJ557" s="66"/>
      <c r="AK557" s="66"/>
    </row>
    <row r="558" spans="1:44" x14ac:dyDescent="0.35">
      <c r="A558" s="66"/>
      <c r="B558" s="66"/>
      <c r="C558" s="49"/>
      <c r="D558" s="49" t="s">
        <v>552</v>
      </c>
      <c r="E558" s="49"/>
      <c r="F558" s="49"/>
      <c r="G558" s="49"/>
      <c r="H558" s="63">
        <v>288386.05</v>
      </c>
      <c r="I558" s="63">
        <v>0</v>
      </c>
      <c r="J558" s="64">
        <v>313714.26</v>
      </c>
      <c r="K558" s="64">
        <v>0</v>
      </c>
      <c r="L558" s="65">
        <v>363433.03</v>
      </c>
      <c r="M558" s="65">
        <v>0</v>
      </c>
      <c r="N558" s="66">
        <f>ROUND(H558+J558+L558,5)</f>
        <v>965533.34</v>
      </c>
      <c r="O558" s="66">
        <f>ROUND(I558+K558+M558,5)</f>
        <v>0</v>
      </c>
      <c r="P558" s="69">
        <f t="shared" si="253"/>
        <v>321844.44666666666</v>
      </c>
      <c r="Q558" s="69">
        <f t="shared" si="253"/>
        <v>0</v>
      </c>
      <c r="R558" s="54"/>
      <c r="S558" s="49"/>
      <c r="T558" s="49"/>
      <c r="U558" s="49"/>
      <c r="V558" s="49" t="s">
        <v>552</v>
      </c>
      <c r="W558" s="49"/>
      <c r="X558" s="49"/>
      <c r="Y558" s="49"/>
      <c r="Z558" s="66"/>
      <c r="AA558" s="140"/>
      <c r="AB558" s="66"/>
      <c r="AC558" s="66"/>
      <c r="AD558" s="66"/>
      <c r="AE558" s="66"/>
      <c r="AF558" s="66"/>
      <c r="AG558" s="66"/>
      <c r="AH558" s="66"/>
      <c r="AI558" s="66"/>
      <c r="AJ558" s="66"/>
      <c r="AK558" s="66"/>
    </row>
    <row r="559" spans="1:44" x14ac:dyDescent="0.35">
      <c r="A559" s="66"/>
      <c r="B559" s="66"/>
      <c r="C559" s="49"/>
      <c r="D559" s="49" t="s">
        <v>553</v>
      </c>
      <c r="E559" s="49"/>
      <c r="F559" s="49"/>
      <c r="G559" s="49"/>
      <c r="H559" s="63"/>
      <c r="I559" s="63"/>
      <c r="J559" s="64"/>
      <c r="K559" s="64"/>
      <c r="L559" s="65"/>
      <c r="M559" s="65"/>
      <c r="N559" s="66"/>
      <c r="O559" s="66"/>
      <c r="P559" s="69"/>
      <c r="Q559" s="69"/>
      <c r="R559" s="54"/>
      <c r="S559" s="49"/>
      <c r="T559" s="49"/>
      <c r="U559" s="49"/>
      <c r="V559" s="49" t="s">
        <v>553</v>
      </c>
      <c r="W559" s="49"/>
      <c r="X559" s="49"/>
      <c r="Y559" s="49"/>
      <c r="Z559" s="66"/>
      <c r="AA559" s="140"/>
      <c r="AB559" s="66"/>
      <c r="AC559" s="66"/>
      <c r="AD559" s="66"/>
      <c r="AE559" s="66"/>
      <c r="AF559" s="66"/>
      <c r="AG559" s="66"/>
      <c r="AH559" s="66"/>
      <c r="AI559" s="66"/>
      <c r="AJ559" s="66"/>
      <c r="AK559" s="66"/>
    </row>
    <row r="560" spans="1:44" x14ac:dyDescent="0.35">
      <c r="A560" s="66"/>
      <c r="B560" s="66"/>
      <c r="C560" s="49"/>
      <c r="D560" s="49"/>
      <c r="E560" s="49" t="s">
        <v>554</v>
      </c>
      <c r="F560" s="49"/>
      <c r="G560" s="49"/>
      <c r="H560" s="63">
        <v>0</v>
      </c>
      <c r="I560" s="63">
        <v>0</v>
      </c>
      <c r="J560" s="64">
        <v>0</v>
      </c>
      <c r="K560" s="64">
        <v>0</v>
      </c>
      <c r="L560" s="65">
        <v>0</v>
      </c>
      <c r="M560" s="65">
        <v>0</v>
      </c>
      <c r="N560" s="66">
        <f t="shared" ref="N560:O565" si="276">ROUND(H560+J560+L560,5)</f>
        <v>0</v>
      </c>
      <c r="O560" s="66">
        <f t="shared" si="276"/>
        <v>0</v>
      </c>
      <c r="P560" s="69">
        <f t="shared" si="253"/>
        <v>0</v>
      </c>
      <c r="Q560" s="69">
        <f t="shared" si="253"/>
        <v>0</v>
      </c>
      <c r="R560" s="54"/>
      <c r="S560" s="49"/>
      <c r="T560" s="49"/>
      <c r="U560" s="49"/>
      <c r="V560" s="49"/>
      <c r="W560" s="49" t="s">
        <v>554</v>
      </c>
      <c r="X560" s="49"/>
      <c r="Y560" s="49"/>
      <c r="Z560" s="66"/>
      <c r="AA560" s="140"/>
      <c r="AB560" s="66"/>
      <c r="AC560" s="66"/>
      <c r="AD560" s="66"/>
      <c r="AE560" s="66"/>
      <c r="AF560" s="66"/>
      <c r="AG560" s="66"/>
      <c r="AH560" s="66"/>
      <c r="AI560" s="66"/>
      <c r="AJ560" s="66"/>
      <c r="AK560" s="66"/>
    </row>
    <row r="561" spans="1:37" x14ac:dyDescent="0.35">
      <c r="A561" s="66"/>
      <c r="B561" s="66"/>
      <c r="C561" s="49"/>
      <c r="D561" s="49"/>
      <c r="E561" s="49" t="s">
        <v>555</v>
      </c>
      <c r="F561" s="49"/>
      <c r="G561" s="49"/>
      <c r="H561" s="63">
        <v>0</v>
      </c>
      <c r="I561" s="63">
        <v>0</v>
      </c>
      <c r="J561" s="64">
        <v>0</v>
      </c>
      <c r="K561" s="64">
        <v>0</v>
      </c>
      <c r="L561" s="65">
        <v>0</v>
      </c>
      <c r="M561" s="65">
        <v>0</v>
      </c>
      <c r="N561" s="66">
        <f t="shared" si="276"/>
        <v>0</v>
      </c>
      <c r="O561" s="66">
        <f t="shared" si="276"/>
        <v>0</v>
      </c>
      <c r="P561" s="69">
        <f t="shared" si="253"/>
        <v>0</v>
      </c>
      <c r="Q561" s="69">
        <f t="shared" si="253"/>
        <v>0</v>
      </c>
      <c r="R561" s="54"/>
      <c r="S561" s="49"/>
      <c r="T561" s="49"/>
      <c r="U561" s="49"/>
      <c r="V561" s="49"/>
      <c r="W561" s="49" t="s">
        <v>555</v>
      </c>
      <c r="X561" s="49"/>
      <c r="Y561" s="49"/>
      <c r="Z561" s="66"/>
      <c r="AA561" s="140"/>
      <c r="AB561" s="66"/>
      <c r="AC561" s="66"/>
      <c r="AD561" s="66"/>
      <c r="AE561" s="66"/>
      <c r="AF561" s="66"/>
      <c r="AG561" s="66"/>
      <c r="AH561" s="66"/>
      <c r="AI561" s="66"/>
      <c r="AJ561" s="66"/>
      <c r="AK561" s="66"/>
    </row>
    <row r="562" spans="1:37" x14ac:dyDescent="0.35">
      <c r="A562" s="66"/>
      <c r="B562" s="66"/>
      <c r="C562" s="49"/>
      <c r="D562" s="49"/>
      <c r="E562" s="49" t="s">
        <v>556</v>
      </c>
      <c r="F562" s="49"/>
      <c r="G562" s="49"/>
      <c r="H562" s="63">
        <v>10930.61</v>
      </c>
      <c r="I562" s="63">
        <v>0</v>
      </c>
      <c r="J562" s="64">
        <v>16392.32</v>
      </c>
      <c r="K562" s="64">
        <v>0</v>
      </c>
      <c r="L562" s="65">
        <v>17337.490000000002</v>
      </c>
      <c r="M562" s="65">
        <v>0</v>
      </c>
      <c r="N562" s="66">
        <f t="shared" si="276"/>
        <v>44660.42</v>
      </c>
      <c r="O562" s="66">
        <f t="shared" si="276"/>
        <v>0</v>
      </c>
      <c r="P562" s="69">
        <f t="shared" si="253"/>
        <v>14886.806666666665</v>
      </c>
      <c r="Q562" s="69">
        <f t="shared" si="253"/>
        <v>0</v>
      </c>
      <c r="R562" s="54"/>
      <c r="S562" s="49"/>
      <c r="T562" s="49"/>
      <c r="U562" s="49"/>
      <c r="V562" s="49"/>
      <c r="W562" s="49" t="s">
        <v>556</v>
      </c>
      <c r="X562" s="49"/>
      <c r="Y562" s="49"/>
      <c r="Z562" s="66"/>
      <c r="AA562" s="140"/>
      <c r="AB562" s="66"/>
      <c r="AC562" s="66"/>
      <c r="AD562" s="66"/>
      <c r="AE562" s="66"/>
      <c r="AF562" s="66"/>
      <c r="AG562" s="66"/>
      <c r="AH562" s="66"/>
      <c r="AI562" s="66"/>
      <c r="AJ562" s="66"/>
      <c r="AK562" s="66"/>
    </row>
    <row r="563" spans="1:37" x14ac:dyDescent="0.35">
      <c r="A563" s="66"/>
      <c r="B563" s="66"/>
      <c r="C563" s="49"/>
      <c r="D563" s="49"/>
      <c r="E563" s="49" t="s">
        <v>557</v>
      </c>
      <c r="F563" s="49"/>
      <c r="G563" s="49"/>
      <c r="H563" s="63">
        <v>12442.84</v>
      </c>
      <c r="I563" s="63">
        <v>0</v>
      </c>
      <c r="J563" s="64">
        <v>10602.84</v>
      </c>
      <c r="K563" s="64">
        <v>0</v>
      </c>
      <c r="L563" s="65">
        <v>10395.5</v>
      </c>
      <c r="M563" s="65">
        <v>0</v>
      </c>
      <c r="N563" s="66">
        <f t="shared" si="276"/>
        <v>33441.18</v>
      </c>
      <c r="O563" s="66">
        <f t="shared" si="276"/>
        <v>0</v>
      </c>
      <c r="P563" s="69">
        <f t="shared" si="253"/>
        <v>11147.06</v>
      </c>
      <c r="Q563" s="69">
        <f t="shared" si="253"/>
        <v>0</v>
      </c>
      <c r="R563" s="54"/>
      <c r="S563" s="49"/>
      <c r="T563" s="49"/>
      <c r="U563" s="49"/>
      <c r="V563" s="49"/>
      <c r="W563" s="49" t="s">
        <v>557</v>
      </c>
      <c r="X563" s="49"/>
      <c r="Y563" s="49"/>
      <c r="Z563" s="66"/>
      <c r="AA563" s="140"/>
      <c r="AB563" s="66"/>
      <c r="AC563" s="66"/>
      <c r="AD563" s="66"/>
      <c r="AE563" s="66"/>
      <c r="AF563" s="66"/>
      <c r="AG563" s="66"/>
      <c r="AH563" s="66"/>
      <c r="AI563" s="66"/>
      <c r="AJ563" s="66"/>
      <c r="AK563" s="66"/>
    </row>
    <row r="564" spans="1:37" ht="16" thickBot="1" x14ac:dyDescent="0.4">
      <c r="A564" s="66"/>
      <c r="B564" s="66"/>
      <c r="C564" s="49"/>
      <c r="D564" s="49"/>
      <c r="E564" s="49" t="s">
        <v>558</v>
      </c>
      <c r="F564" s="49"/>
      <c r="G564" s="49"/>
      <c r="H564" s="70">
        <v>1000</v>
      </c>
      <c r="I564" s="70">
        <v>0</v>
      </c>
      <c r="J564" s="71">
        <v>1000</v>
      </c>
      <c r="K564" s="64">
        <v>0</v>
      </c>
      <c r="L564" s="72">
        <v>1000</v>
      </c>
      <c r="M564" s="65">
        <v>0</v>
      </c>
      <c r="N564" s="73">
        <f t="shared" si="276"/>
        <v>3000</v>
      </c>
      <c r="O564" s="73">
        <f t="shared" si="276"/>
        <v>0</v>
      </c>
      <c r="P564" s="74">
        <f t="shared" si="253"/>
        <v>1000</v>
      </c>
      <c r="Q564" s="74">
        <f t="shared" si="253"/>
        <v>0</v>
      </c>
      <c r="R564" s="54"/>
      <c r="S564" s="49"/>
      <c r="T564" s="49"/>
      <c r="U564" s="49"/>
      <c r="V564" s="49"/>
      <c r="W564" s="49" t="s">
        <v>558</v>
      </c>
      <c r="X564" s="49"/>
      <c r="Y564" s="49"/>
      <c r="Z564" s="66"/>
      <c r="AA564" s="140"/>
      <c r="AB564" s="66"/>
      <c r="AC564" s="66"/>
      <c r="AD564" s="66"/>
      <c r="AE564" s="66"/>
      <c r="AF564" s="66"/>
      <c r="AG564" s="66"/>
      <c r="AH564" s="66"/>
      <c r="AI564" s="66"/>
      <c r="AJ564" s="66"/>
      <c r="AK564" s="66"/>
    </row>
    <row r="565" spans="1:37" x14ac:dyDescent="0.35">
      <c r="A565" s="66"/>
      <c r="B565" s="66"/>
      <c r="C565" s="49"/>
      <c r="D565" s="49" t="s">
        <v>559</v>
      </c>
      <c r="E565" s="49"/>
      <c r="F565" s="49"/>
      <c r="G565" s="49"/>
      <c r="H565" s="63">
        <f t="shared" ref="H565:M565" si="277">ROUND(SUM(H559:H564),5)</f>
        <v>24373.45</v>
      </c>
      <c r="I565" s="63">
        <f t="shared" si="277"/>
        <v>0</v>
      </c>
      <c r="J565" s="64">
        <f t="shared" si="277"/>
        <v>27995.16</v>
      </c>
      <c r="K565" s="76">
        <f t="shared" si="277"/>
        <v>0</v>
      </c>
      <c r="L565" s="65">
        <f t="shared" si="277"/>
        <v>28732.99</v>
      </c>
      <c r="M565" s="77">
        <f t="shared" si="277"/>
        <v>0</v>
      </c>
      <c r="N565" s="66">
        <f t="shared" si="276"/>
        <v>81101.600000000006</v>
      </c>
      <c r="O565" s="66">
        <f t="shared" si="276"/>
        <v>0</v>
      </c>
      <c r="P565" s="69">
        <f t="shared" si="253"/>
        <v>27033.866666666669</v>
      </c>
      <c r="Q565" s="69">
        <f t="shared" si="253"/>
        <v>0</v>
      </c>
      <c r="R565" s="54"/>
      <c r="S565" s="49"/>
      <c r="T565" s="49"/>
      <c r="U565" s="49"/>
      <c r="V565" s="49" t="s">
        <v>559</v>
      </c>
      <c r="W565" s="49"/>
      <c r="X565" s="49"/>
      <c r="Y565" s="49"/>
      <c r="Z565" s="66"/>
      <c r="AA565" s="140"/>
      <c r="AB565" s="66"/>
      <c r="AC565" s="66"/>
      <c r="AD565" s="66"/>
      <c r="AE565" s="66"/>
      <c r="AF565" s="66"/>
      <c r="AG565" s="66"/>
      <c r="AH565" s="66"/>
      <c r="AI565" s="66"/>
      <c r="AJ565" s="66"/>
      <c r="AK565" s="66"/>
    </row>
    <row r="566" spans="1:37" x14ac:dyDescent="0.35">
      <c r="A566" s="66"/>
      <c r="B566" s="66"/>
      <c r="C566" s="49"/>
      <c r="D566" s="49" t="s">
        <v>560</v>
      </c>
      <c r="E566" s="49"/>
      <c r="F566" s="49"/>
      <c r="G566" s="49"/>
      <c r="H566" s="63"/>
      <c r="I566" s="63"/>
      <c r="J566" s="64"/>
      <c r="K566" s="64"/>
      <c r="L566" s="65"/>
      <c r="M566" s="65"/>
      <c r="N566" s="66"/>
      <c r="O566" s="66"/>
      <c r="P566" s="69"/>
      <c r="Q566" s="69"/>
      <c r="R566" s="54"/>
      <c r="S566" s="49"/>
      <c r="T566" s="49"/>
      <c r="U566" s="49"/>
      <c r="V566" s="49" t="s">
        <v>560</v>
      </c>
      <c r="W566" s="49"/>
      <c r="X566" s="49"/>
      <c r="Y566" s="49"/>
      <c r="Z566" s="66"/>
      <c r="AA566" s="140"/>
      <c r="AB566" s="66"/>
      <c r="AC566" s="66"/>
      <c r="AD566" s="66"/>
      <c r="AE566" s="66"/>
      <c r="AF566" s="66"/>
      <c r="AG566" s="66"/>
      <c r="AH566" s="66"/>
      <c r="AI566" s="66"/>
      <c r="AJ566" s="66"/>
      <c r="AK566" s="66"/>
    </row>
    <row r="567" spans="1:37" x14ac:dyDescent="0.35">
      <c r="A567" s="66"/>
      <c r="B567" s="66"/>
      <c r="C567" s="49"/>
      <c r="D567" s="49"/>
      <c r="E567" s="49" t="s">
        <v>561</v>
      </c>
      <c r="F567" s="49"/>
      <c r="G567" s="49"/>
      <c r="H567" s="63">
        <v>558.27</v>
      </c>
      <c r="I567" s="63">
        <v>0</v>
      </c>
      <c r="J567" s="64">
        <v>-985.85</v>
      </c>
      <c r="K567" s="64">
        <v>0</v>
      </c>
      <c r="L567" s="65">
        <v>6774.89</v>
      </c>
      <c r="M567" s="65">
        <v>0</v>
      </c>
      <c r="N567" s="66">
        <f t="shared" ref="N567:O571" si="278">ROUND(H567+J567+L567,5)</f>
        <v>6347.31</v>
      </c>
      <c r="O567" s="66">
        <f t="shared" si="278"/>
        <v>0</v>
      </c>
      <c r="P567" s="69">
        <f t="shared" si="253"/>
        <v>2115.77</v>
      </c>
      <c r="Q567" s="69">
        <f t="shared" si="253"/>
        <v>0</v>
      </c>
      <c r="R567" s="54"/>
      <c r="S567" s="49"/>
      <c r="T567" s="49"/>
      <c r="U567" s="49"/>
      <c r="V567" s="49"/>
      <c r="W567" s="49" t="s">
        <v>561</v>
      </c>
      <c r="X567" s="49"/>
      <c r="Y567" s="49"/>
      <c r="Z567" s="66"/>
      <c r="AA567" s="140"/>
      <c r="AB567" s="66"/>
      <c r="AC567" s="66"/>
      <c r="AD567" s="66"/>
      <c r="AE567" s="66"/>
      <c r="AF567" s="66"/>
      <c r="AG567" s="66"/>
      <c r="AH567" s="66"/>
      <c r="AI567" s="66"/>
      <c r="AJ567" s="66"/>
      <c r="AK567" s="66"/>
    </row>
    <row r="568" spans="1:37" x14ac:dyDescent="0.35">
      <c r="A568" s="66"/>
      <c r="B568" s="66"/>
      <c r="C568" s="49"/>
      <c r="D568" s="49"/>
      <c r="E568" s="49" t="s">
        <v>562</v>
      </c>
      <c r="F568" s="49"/>
      <c r="G568" s="49"/>
      <c r="H568" s="63">
        <v>0</v>
      </c>
      <c r="I568" s="63">
        <v>0</v>
      </c>
      <c r="J568" s="64">
        <v>0</v>
      </c>
      <c r="K568" s="64">
        <v>0</v>
      </c>
      <c r="L568" s="65">
        <v>-58.71</v>
      </c>
      <c r="M568" s="65">
        <v>0</v>
      </c>
      <c r="N568" s="66">
        <f t="shared" si="278"/>
        <v>-58.71</v>
      </c>
      <c r="O568" s="66">
        <f t="shared" si="278"/>
        <v>0</v>
      </c>
      <c r="P568" s="69">
        <f t="shared" si="253"/>
        <v>-19.57</v>
      </c>
      <c r="Q568" s="69">
        <f t="shared" si="253"/>
        <v>0</v>
      </c>
      <c r="R568" s="54"/>
      <c r="S568" s="49"/>
      <c r="T568" s="49"/>
      <c r="U568" s="49"/>
      <c r="V568" s="49"/>
      <c r="W568" s="49" t="s">
        <v>562</v>
      </c>
      <c r="X568" s="49"/>
      <c r="Y568" s="49"/>
      <c r="Z568" s="66"/>
      <c r="AA568" s="140"/>
      <c r="AB568" s="66"/>
      <c r="AC568" s="66"/>
      <c r="AD568" s="66"/>
      <c r="AE568" s="66"/>
      <c r="AF568" s="66"/>
      <c r="AG568" s="66"/>
      <c r="AH568" s="66"/>
      <c r="AI568" s="66"/>
      <c r="AJ568" s="66"/>
      <c r="AK568" s="66"/>
    </row>
    <row r="569" spans="1:37" ht="16" thickBot="1" x14ac:dyDescent="0.4">
      <c r="A569" s="66"/>
      <c r="B569" s="66"/>
      <c r="C569" s="49"/>
      <c r="D569" s="49"/>
      <c r="E569" s="49" t="s">
        <v>563</v>
      </c>
      <c r="F569" s="49"/>
      <c r="G569" s="49"/>
      <c r="H569" s="63">
        <v>136732.6</v>
      </c>
      <c r="I569" s="63">
        <v>0</v>
      </c>
      <c r="J569" s="64">
        <v>235676.86</v>
      </c>
      <c r="K569" s="64">
        <v>0</v>
      </c>
      <c r="L569" s="65">
        <v>195303.78</v>
      </c>
      <c r="M569" s="65">
        <v>0</v>
      </c>
      <c r="N569" s="66">
        <f t="shared" si="278"/>
        <v>567713.24</v>
      </c>
      <c r="O569" s="66">
        <f t="shared" si="278"/>
        <v>0</v>
      </c>
      <c r="P569" s="69">
        <f t="shared" si="253"/>
        <v>189237.74666666667</v>
      </c>
      <c r="Q569" s="69">
        <f t="shared" si="253"/>
        <v>0</v>
      </c>
      <c r="R569" s="54"/>
      <c r="S569" s="49"/>
      <c r="T569" s="49"/>
      <c r="U569" s="49"/>
      <c r="V569" s="49"/>
      <c r="W569" s="49" t="s">
        <v>563</v>
      </c>
      <c r="X569" s="49"/>
      <c r="Y569" s="49"/>
      <c r="Z569" s="66"/>
      <c r="AA569" s="140"/>
      <c r="AB569" s="66"/>
      <c r="AC569" s="66"/>
      <c r="AD569" s="66"/>
      <c r="AE569" s="66"/>
      <c r="AF569" s="66"/>
      <c r="AG569" s="66"/>
      <c r="AH569" s="66"/>
      <c r="AI569" s="66"/>
      <c r="AJ569" s="66"/>
      <c r="AK569" s="66"/>
    </row>
    <row r="570" spans="1:37" ht="16" thickBot="1" x14ac:dyDescent="0.4">
      <c r="A570" s="66"/>
      <c r="B570" s="66"/>
      <c r="C570" s="49"/>
      <c r="D570" s="49" t="s">
        <v>564</v>
      </c>
      <c r="E570" s="49"/>
      <c r="F570" s="49"/>
      <c r="G570" s="49"/>
      <c r="H570" s="83">
        <f t="shared" ref="H570:M570" si="279">ROUND(SUM(H566:H569),5)</f>
        <v>137290.87</v>
      </c>
      <c r="I570" s="83">
        <f t="shared" si="279"/>
        <v>0</v>
      </c>
      <c r="J570" s="84">
        <f t="shared" si="279"/>
        <v>234691.01</v>
      </c>
      <c r="K570" s="84">
        <f t="shared" si="279"/>
        <v>0</v>
      </c>
      <c r="L570" s="85">
        <f t="shared" si="279"/>
        <v>202019.96</v>
      </c>
      <c r="M570" s="85">
        <f t="shared" si="279"/>
        <v>0</v>
      </c>
      <c r="N570" s="86">
        <f t="shared" si="278"/>
        <v>574001.84</v>
      </c>
      <c r="O570" s="86">
        <f t="shared" si="278"/>
        <v>0</v>
      </c>
      <c r="P570" s="87">
        <f t="shared" si="253"/>
        <v>191333.94666666666</v>
      </c>
      <c r="Q570" s="87">
        <f t="shared" si="253"/>
        <v>0</v>
      </c>
      <c r="R570" s="54"/>
      <c r="S570" s="49"/>
      <c r="T570" s="49"/>
      <c r="U570" s="49"/>
      <c r="V570" s="49" t="s">
        <v>564</v>
      </c>
      <c r="W570" s="49"/>
      <c r="X570" s="49"/>
      <c r="Y570" s="49"/>
      <c r="Z570" s="66"/>
      <c r="AA570" s="140"/>
      <c r="AB570" s="66"/>
      <c r="AC570" s="66"/>
      <c r="AD570" s="66"/>
      <c r="AE570" s="66"/>
      <c r="AF570" s="66"/>
      <c r="AG570" s="66"/>
      <c r="AH570" s="66"/>
      <c r="AI570" s="66"/>
      <c r="AJ570" s="66"/>
      <c r="AK570" s="66"/>
    </row>
    <row r="571" spans="1:37" x14ac:dyDescent="0.35">
      <c r="A571" s="66"/>
      <c r="B571" s="66"/>
      <c r="C571" s="49" t="s">
        <v>565</v>
      </c>
      <c r="D571" s="49"/>
      <c r="E571" s="49"/>
      <c r="F571" s="49"/>
      <c r="G571" s="49"/>
      <c r="H571" s="63">
        <f t="shared" ref="H571:M571" si="280">ROUND(SUM(H557:H558)+H565+H570,5)</f>
        <v>450050.37</v>
      </c>
      <c r="I571" s="63">
        <f t="shared" si="280"/>
        <v>0</v>
      </c>
      <c r="J571" s="64">
        <f t="shared" si="280"/>
        <v>576400.43000000005</v>
      </c>
      <c r="K571" s="64">
        <f t="shared" si="280"/>
        <v>0</v>
      </c>
      <c r="L571" s="65">
        <f t="shared" si="280"/>
        <v>594185.98</v>
      </c>
      <c r="M571" s="65">
        <f t="shared" si="280"/>
        <v>0</v>
      </c>
      <c r="N571" s="66">
        <f t="shared" si="278"/>
        <v>1620636.78</v>
      </c>
      <c r="O571" s="66">
        <f t="shared" si="278"/>
        <v>0</v>
      </c>
      <c r="P571" s="69">
        <f t="shared" si="253"/>
        <v>540212.26</v>
      </c>
      <c r="Q571" s="69">
        <f t="shared" si="253"/>
        <v>0</v>
      </c>
      <c r="R571" s="54"/>
      <c r="S571" s="49"/>
      <c r="T571" s="49"/>
      <c r="U571" s="49" t="s">
        <v>565</v>
      </c>
      <c r="V571" s="49"/>
      <c r="W571" s="49"/>
      <c r="X571" s="49"/>
      <c r="Y571" s="49"/>
      <c r="Z571" s="66"/>
      <c r="AA571" s="140"/>
      <c r="AB571" s="66"/>
      <c r="AC571" s="66"/>
      <c r="AD571" s="66"/>
      <c r="AE571" s="66"/>
      <c r="AF571" s="66"/>
      <c r="AG571" s="66"/>
      <c r="AH571" s="66"/>
      <c r="AI571" s="66"/>
      <c r="AJ571" s="66"/>
      <c r="AK571" s="66"/>
    </row>
    <row r="572" spans="1:37" x14ac:dyDescent="0.35">
      <c r="A572" s="66"/>
      <c r="B572" s="66"/>
      <c r="C572" s="49" t="s">
        <v>566</v>
      </c>
      <c r="D572" s="49"/>
      <c r="E572" s="49"/>
      <c r="F572" s="49"/>
      <c r="G572" s="49"/>
      <c r="H572" s="63"/>
      <c r="I572" s="63"/>
      <c r="J572" s="64"/>
      <c r="K572" s="64"/>
      <c r="L572" s="65"/>
      <c r="M572" s="65"/>
      <c r="N572" s="66"/>
      <c r="O572" s="66"/>
      <c r="P572" s="69"/>
      <c r="Q572" s="69"/>
      <c r="R572" s="54"/>
      <c r="S572" s="49"/>
      <c r="T572" s="49"/>
      <c r="U572" s="49" t="s">
        <v>566</v>
      </c>
      <c r="V572" s="49"/>
      <c r="W572" s="49"/>
      <c r="X572" s="49"/>
      <c r="Y572" s="49"/>
      <c r="Z572" s="66"/>
      <c r="AA572" s="140"/>
      <c r="AB572" s="66"/>
      <c r="AC572" s="66"/>
      <c r="AD572" s="66"/>
      <c r="AE572" s="66"/>
      <c r="AF572" s="66"/>
      <c r="AG572" s="66"/>
      <c r="AH572" s="66"/>
      <c r="AI572" s="66"/>
      <c r="AJ572" s="66"/>
      <c r="AK572" s="66"/>
    </row>
    <row r="573" spans="1:37" x14ac:dyDescent="0.35">
      <c r="A573" s="66"/>
      <c r="B573" s="66"/>
      <c r="C573" s="49"/>
      <c r="D573" s="49" t="s">
        <v>567</v>
      </c>
      <c r="E573" s="49"/>
      <c r="F573" s="49"/>
      <c r="G573" s="49"/>
      <c r="H573" s="63"/>
      <c r="I573" s="63"/>
      <c r="J573" s="64"/>
      <c r="K573" s="64"/>
      <c r="L573" s="65"/>
      <c r="M573" s="65"/>
      <c r="N573" s="66"/>
      <c r="O573" s="66"/>
      <c r="P573" s="69"/>
      <c r="Q573" s="69"/>
      <c r="R573" s="54"/>
      <c r="S573" s="49"/>
      <c r="T573" s="49"/>
      <c r="U573" s="49"/>
      <c r="V573" s="49" t="s">
        <v>567</v>
      </c>
      <c r="W573" s="49"/>
      <c r="X573" s="49"/>
      <c r="Y573" s="49"/>
      <c r="Z573" s="66"/>
      <c r="AA573" s="140"/>
      <c r="AB573" s="66"/>
      <c r="AC573" s="66"/>
      <c r="AD573" s="66"/>
      <c r="AE573" s="66"/>
      <c r="AF573" s="66"/>
      <c r="AG573" s="66"/>
      <c r="AH573" s="66"/>
      <c r="AI573" s="66"/>
      <c r="AJ573" s="66"/>
      <c r="AK573" s="66"/>
    </row>
    <row r="574" spans="1:37" x14ac:dyDescent="0.35">
      <c r="A574" s="66"/>
      <c r="B574" s="66"/>
      <c r="C574" s="49"/>
      <c r="D574" s="49"/>
      <c r="E574" s="49" t="s">
        <v>568</v>
      </c>
      <c r="F574" s="49"/>
      <c r="G574" s="49"/>
      <c r="H574" s="63">
        <v>541.88</v>
      </c>
      <c r="I574" s="63">
        <v>0</v>
      </c>
      <c r="J574" s="64">
        <v>554.29999999999995</v>
      </c>
      <c r="K574" s="64">
        <v>0</v>
      </c>
      <c r="L574" s="65">
        <v>645.24</v>
      </c>
      <c r="M574" s="65">
        <v>0</v>
      </c>
      <c r="N574" s="66">
        <f t="shared" ref="N574:O582" si="281">ROUND(H574+J574+L574,5)</f>
        <v>1741.42</v>
      </c>
      <c r="O574" s="66">
        <f t="shared" si="281"/>
        <v>0</v>
      </c>
      <c r="P574" s="69">
        <f t="shared" ref="P574:Q582" si="282">N574/3</f>
        <v>580.47333333333336</v>
      </c>
      <c r="Q574" s="69">
        <f t="shared" si="282"/>
        <v>0</v>
      </c>
      <c r="R574" s="54"/>
      <c r="S574" s="49"/>
      <c r="T574" s="49"/>
      <c r="U574" s="49"/>
      <c r="V574" s="49"/>
      <c r="W574" s="49" t="s">
        <v>568</v>
      </c>
      <c r="X574" s="49"/>
      <c r="Y574" s="49"/>
      <c r="Z574" s="66"/>
      <c r="AA574" s="140"/>
      <c r="AB574" s="66"/>
      <c r="AC574" s="66"/>
      <c r="AD574" s="66"/>
      <c r="AE574" s="66"/>
      <c r="AF574" s="66"/>
      <c r="AG574" s="66"/>
      <c r="AH574" s="66"/>
      <c r="AI574" s="66"/>
      <c r="AJ574" s="66"/>
      <c r="AK574" s="66"/>
    </row>
    <row r="575" spans="1:37" x14ac:dyDescent="0.35">
      <c r="A575" s="66"/>
      <c r="B575" s="66"/>
      <c r="C575" s="49"/>
      <c r="D575" s="49"/>
      <c r="E575" s="49" t="s">
        <v>569</v>
      </c>
      <c r="F575" s="49"/>
      <c r="G575" s="49"/>
      <c r="H575" s="63">
        <v>0</v>
      </c>
      <c r="I575" s="63">
        <v>0</v>
      </c>
      <c r="J575" s="64">
        <v>0</v>
      </c>
      <c r="K575" s="64">
        <v>0</v>
      </c>
      <c r="L575" s="65">
        <v>0</v>
      </c>
      <c r="M575" s="65">
        <v>0</v>
      </c>
      <c r="N575" s="66">
        <f t="shared" si="281"/>
        <v>0</v>
      </c>
      <c r="O575" s="66">
        <f t="shared" si="281"/>
        <v>0</v>
      </c>
      <c r="P575" s="69">
        <f t="shared" si="282"/>
        <v>0</v>
      </c>
      <c r="Q575" s="69">
        <f t="shared" si="282"/>
        <v>0</v>
      </c>
      <c r="R575" s="54"/>
      <c r="S575" s="49"/>
      <c r="T575" s="49"/>
      <c r="U575" s="49"/>
      <c r="V575" s="49"/>
      <c r="W575" s="49" t="s">
        <v>569</v>
      </c>
      <c r="X575" s="49"/>
      <c r="Y575" s="49"/>
      <c r="Z575" s="66"/>
      <c r="AA575" s="143"/>
      <c r="AB575" s="66"/>
      <c r="AC575" s="66"/>
      <c r="AD575" s="66"/>
      <c r="AE575" s="66"/>
      <c r="AF575" s="66"/>
      <c r="AG575" s="66"/>
      <c r="AH575" s="66"/>
      <c r="AI575" s="66"/>
      <c r="AJ575" s="66"/>
      <c r="AK575" s="66"/>
    </row>
    <row r="576" spans="1:37" x14ac:dyDescent="0.35">
      <c r="A576" s="66"/>
      <c r="B576" s="66"/>
      <c r="C576" s="49"/>
      <c r="D576" s="49"/>
      <c r="E576" s="49" t="s">
        <v>570</v>
      </c>
      <c r="F576" s="49"/>
      <c r="G576" s="49"/>
      <c r="H576" s="63">
        <v>2500</v>
      </c>
      <c r="I576" s="63">
        <v>0</v>
      </c>
      <c r="J576" s="64">
        <v>4000</v>
      </c>
      <c r="K576" s="64">
        <v>0</v>
      </c>
      <c r="L576" s="65">
        <v>4500</v>
      </c>
      <c r="M576" s="65">
        <v>0</v>
      </c>
      <c r="N576" s="66">
        <f t="shared" si="281"/>
        <v>11000</v>
      </c>
      <c r="O576" s="66">
        <f t="shared" si="281"/>
        <v>0</v>
      </c>
      <c r="P576" s="69">
        <f t="shared" si="282"/>
        <v>3666.6666666666665</v>
      </c>
      <c r="Q576" s="69">
        <f t="shared" si="282"/>
        <v>0</v>
      </c>
      <c r="R576" s="54"/>
      <c r="S576" s="49"/>
      <c r="T576" s="49"/>
      <c r="U576" s="49"/>
      <c r="V576" s="49"/>
      <c r="W576" s="49" t="s">
        <v>570</v>
      </c>
      <c r="X576" s="49"/>
      <c r="Y576" s="49"/>
      <c r="Z576" s="66"/>
      <c r="AA576" s="140"/>
      <c r="AB576" s="66"/>
      <c r="AC576" s="66"/>
      <c r="AD576" s="66"/>
      <c r="AE576" s="66"/>
      <c r="AF576" s="66"/>
      <c r="AG576" s="66"/>
      <c r="AH576" s="66"/>
      <c r="AI576" s="66"/>
      <c r="AJ576" s="66"/>
      <c r="AK576" s="66"/>
    </row>
    <row r="577" spans="1:46" ht="16" thickBot="1" x14ac:dyDescent="0.4">
      <c r="A577" s="66"/>
      <c r="B577" s="66"/>
      <c r="C577" s="49"/>
      <c r="D577" s="49"/>
      <c r="E577" s="49" t="s">
        <v>571</v>
      </c>
      <c r="F577" s="49"/>
      <c r="G577" s="49"/>
      <c r="H577" s="70">
        <v>21487.599999999999</v>
      </c>
      <c r="I577" s="70">
        <v>0</v>
      </c>
      <c r="J577" s="71">
        <v>19409.990000000002</v>
      </c>
      <c r="K577" s="64">
        <v>0</v>
      </c>
      <c r="L577" s="72">
        <v>19578.830000000002</v>
      </c>
      <c r="M577" s="65">
        <v>0</v>
      </c>
      <c r="N577" s="73">
        <f t="shared" si="281"/>
        <v>60476.42</v>
      </c>
      <c r="O577" s="73">
        <f t="shared" si="281"/>
        <v>0</v>
      </c>
      <c r="P577" s="74">
        <f t="shared" si="282"/>
        <v>20158.806666666667</v>
      </c>
      <c r="Q577" s="74">
        <f t="shared" si="282"/>
        <v>0</v>
      </c>
      <c r="R577" s="54"/>
      <c r="S577" s="49"/>
      <c r="T577" s="49"/>
      <c r="U577" s="49"/>
      <c r="V577" s="49"/>
      <c r="W577" s="49" t="s">
        <v>571</v>
      </c>
      <c r="X577" s="49"/>
      <c r="Y577" s="49"/>
      <c r="Z577" s="66"/>
      <c r="AA577" s="140"/>
      <c r="AB577" s="66"/>
      <c r="AC577" s="66"/>
      <c r="AD577" s="66"/>
      <c r="AE577" s="66"/>
      <c r="AF577" s="66"/>
      <c r="AG577" s="66"/>
      <c r="AH577" s="66"/>
      <c r="AI577" s="66"/>
      <c r="AJ577" s="66"/>
      <c r="AK577" s="66"/>
    </row>
    <row r="578" spans="1:46" x14ac:dyDescent="0.35">
      <c r="A578" s="66"/>
      <c r="B578" s="66"/>
      <c r="C578" s="49"/>
      <c r="D578" s="49" t="s">
        <v>572</v>
      </c>
      <c r="E578" s="49"/>
      <c r="F578" s="49"/>
      <c r="G578" s="49"/>
      <c r="H578" s="63">
        <f t="shared" ref="H578:M578" si="283">ROUND(SUM(H573:H577),5)</f>
        <v>24529.48</v>
      </c>
      <c r="I578" s="63">
        <f t="shared" si="283"/>
        <v>0</v>
      </c>
      <c r="J578" s="64">
        <f t="shared" si="283"/>
        <v>23964.29</v>
      </c>
      <c r="K578" s="76">
        <f t="shared" si="283"/>
        <v>0</v>
      </c>
      <c r="L578" s="65">
        <f t="shared" si="283"/>
        <v>24724.07</v>
      </c>
      <c r="M578" s="77">
        <f t="shared" si="283"/>
        <v>0</v>
      </c>
      <c r="N578" s="66">
        <f t="shared" si="281"/>
        <v>73217.84</v>
      </c>
      <c r="O578" s="66">
        <f t="shared" si="281"/>
        <v>0</v>
      </c>
      <c r="P578" s="69">
        <f t="shared" si="282"/>
        <v>24405.946666666667</v>
      </c>
      <c r="Q578" s="69">
        <f t="shared" si="282"/>
        <v>0</v>
      </c>
      <c r="R578" s="54"/>
      <c r="S578" s="49"/>
      <c r="T578" s="49"/>
      <c r="U578" s="49"/>
      <c r="V578" s="49" t="s">
        <v>572</v>
      </c>
      <c r="W578" s="49"/>
      <c r="X578" s="49"/>
      <c r="Y578" s="49"/>
      <c r="Z578" s="66"/>
      <c r="AA578" s="140"/>
      <c r="AB578" s="66"/>
      <c r="AC578" s="66"/>
      <c r="AD578" s="66"/>
      <c r="AE578" s="66"/>
      <c r="AF578" s="66"/>
      <c r="AG578" s="66"/>
      <c r="AH578" s="66"/>
      <c r="AI578" s="66"/>
      <c r="AJ578" s="66"/>
      <c r="AK578" s="66"/>
    </row>
    <row r="579" spans="1:46" ht="16" thickBot="1" x14ac:dyDescent="0.4">
      <c r="A579" s="66"/>
      <c r="B579" s="66"/>
      <c r="C579" s="49"/>
      <c r="D579" s="49" t="s">
        <v>573</v>
      </c>
      <c r="E579" s="49"/>
      <c r="F579" s="49"/>
      <c r="G579" s="49"/>
      <c r="H579" s="63">
        <v>288386.05</v>
      </c>
      <c r="I579" s="63">
        <v>0</v>
      </c>
      <c r="J579" s="64">
        <v>313714.26</v>
      </c>
      <c r="K579" s="64">
        <v>0</v>
      </c>
      <c r="L579" s="65">
        <v>363433.03</v>
      </c>
      <c r="M579" s="65">
        <v>0</v>
      </c>
      <c r="N579" s="66">
        <f t="shared" si="281"/>
        <v>965533.34</v>
      </c>
      <c r="O579" s="66">
        <f t="shared" si="281"/>
        <v>0</v>
      </c>
      <c r="P579" s="69">
        <f t="shared" si="282"/>
        <v>321844.44666666666</v>
      </c>
      <c r="Q579" s="69">
        <f t="shared" si="282"/>
        <v>0</v>
      </c>
      <c r="R579" s="54"/>
      <c r="S579" s="49"/>
      <c r="T579" s="49"/>
      <c r="U579" s="49"/>
      <c r="V579" s="49" t="s">
        <v>573</v>
      </c>
      <c r="W579" s="49"/>
      <c r="X579" s="49"/>
      <c r="Y579" s="49"/>
      <c r="Z579" s="66"/>
      <c r="AA579" s="140"/>
      <c r="AB579" s="66"/>
      <c r="AC579" s="66"/>
      <c r="AD579" s="66"/>
      <c r="AE579" s="66"/>
      <c r="AF579" s="66"/>
      <c r="AG579" s="66"/>
      <c r="AH579" s="66"/>
      <c r="AI579" s="66"/>
      <c r="AJ579" s="66"/>
      <c r="AK579" s="66"/>
    </row>
    <row r="580" spans="1:46" ht="16" thickBot="1" x14ac:dyDescent="0.4">
      <c r="A580" s="66"/>
      <c r="B580" s="66"/>
      <c r="C580" s="49" t="s">
        <v>574</v>
      </c>
      <c r="D580" s="49"/>
      <c r="E580" s="49"/>
      <c r="F580" s="49"/>
      <c r="G580" s="49"/>
      <c r="H580" s="75">
        <f t="shared" ref="H580:M580" si="284">ROUND(H572+SUM(H578:H579),5)</f>
        <v>312915.53000000003</v>
      </c>
      <c r="I580" s="75">
        <f t="shared" si="284"/>
        <v>0</v>
      </c>
      <c r="J580" s="76">
        <f t="shared" si="284"/>
        <v>337678.55</v>
      </c>
      <c r="K580" s="76">
        <f t="shared" si="284"/>
        <v>0</v>
      </c>
      <c r="L580" s="77">
        <f t="shared" si="284"/>
        <v>388157.1</v>
      </c>
      <c r="M580" s="77">
        <f t="shared" si="284"/>
        <v>0</v>
      </c>
      <c r="N580" s="78">
        <f t="shared" si="281"/>
        <v>1038751.18</v>
      </c>
      <c r="O580" s="78">
        <f t="shared" si="281"/>
        <v>0</v>
      </c>
      <c r="P580" s="79">
        <f t="shared" si="282"/>
        <v>346250.39333333337</v>
      </c>
      <c r="Q580" s="79">
        <f t="shared" si="282"/>
        <v>0</v>
      </c>
      <c r="R580" s="54"/>
      <c r="S580" s="49"/>
      <c r="T580" s="49"/>
      <c r="U580" s="49" t="s">
        <v>574</v>
      </c>
      <c r="V580" s="49"/>
      <c r="W580" s="49"/>
      <c r="X580" s="49"/>
      <c r="Y580" s="49"/>
      <c r="Z580" s="66"/>
      <c r="AA580" s="140"/>
      <c r="AB580" s="66"/>
      <c r="AC580" s="66"/>
      <c r="AD580" s="66"/>
      <c r="AE580" s="66"/>
      <c r="AF580" s="66"/>
      <c r="AG580" s="66"/>
      <c r="AH580" s="66"/>
      <c r="AI580" s="66"/>
      <c r="AJ580" s="66"/>
      <c r="AK580" s="66"/>
      <c r="AM580" s="194"/>
    </row>
    <row r="581" spans="1:46" ht="16" thickBot="1" x14ac:dyDescent="0.4">
      <c r="A581" s="66"/>
      <c r="B581" s="66" t="s">
        <v>575</v>
      </c>
      <c r="C581" s="49"/>
      <c r="D581" s="49"/>
      <c r="E581" s="49"/>
      <c r="F581" s="49"/>
      <c r="G581" s="49"/>
      <c r="H581" s="75">
        <f t="shared" ref="H581:M581" si="285">ROUND(H556+H571-H580,5)</f>
        <v>137134.84</v>
      </c>
      <c r="I581" s="75">
        <f t="shared" si="285"/>
        <v>0</v>
      </c>
      <c r="J581" s="76">
        <f t="shared" si="285"/>
        <v>238721.88</v>
      </c>
      <c r="K581" s="76">
        <f t="shared" si="285"/>
        <v>0</v>
      </c>
      <c r="L581" s="77">
        <f t="shared" si="285"/>
        <v>206028.88</v>
      </c>
      <c r="M581" s="77">
        <f t="shared" si="285"/>
        <v>0</v>
      </c>
      <c r="N581" s="78">
        <f t="shared" si="281"/>
        <v>581885.6</v>
      </c>
      <c r="O581" s="78">
        <f t="shared" si="281"/>
        <v>0</v>
      </c>
      <c r="P581" s="79">
        <f t="shared" si="282"/>
        <v>193961.86666666667</v>
      </c>
      <c r="Q581" s="79">
        <f t="shared" si="282"/>
        <v>0</v>
      </c>
      <c r="R581" s="54"/>
      <c r="S581" s="49"/>
      <c r="T581" s="49" t="s">
        <v>575</v>
      </c>
      <c r="U581" s="49"/>
      <c r="V581" s="49"/>
      <c r="W581" s="49"/>
      <c r="X581" s="49"/>
      <c r="Y581" s="49"/>
      <c r="Z581" s="66"/>
      <c r="AA581" s="140"/>
      <c r="AB581" s="66"/>
      <c r="AC581" s="66"/>
      <c r="AD581" s="66"/>
      <c r="AE581" s="66"/>
      <c r="AF581" s="66"/>
      <c r="AG581" s="66"/>
      <c r="AH581" s="66"/>
      <c r="AI581" s="66"/>
      <c r="AJ581" s="66"/>
      <c r="AK581" s="66"/>
    </row>
    <row r="582" spans="1:46" s="45" customFormat="1" ht="16" thickBot="1" x14ac:dyDescent="0.4">
      <c r="A582" s="95" t="s">
        <v>576</v>
      </c>
      <c r="B582" s="95"/>
      <c r="C582" s="49"/>
      <c r="D582" s="49"/>
      <c r="E582" s="49"/>
      <c r="F582" s="49"/>
      <c r="G582" s="49"/>
      <c r="H582" s="96">
        <f t="shared" ref="H582:M582" si="286">ROUND(H555+H581,5)</f>
        <v>44542.64</v>
      </c>
      <c r="I582" s="96">
        <f t="shared" si="286"/>
        <v>8714.58</v>
      </c>
      <c r="J582" s="97">
        <f t="shared" si="286"/>
        <v>51342.9</v>
      </c>
      <c r="K582" s="97">
        <f t="shared" si="286"/>
        <v>826.41</v>
      </c>
      <c r="L582" s="98">
        <f t="shared" si="286"/>
        <v>184453.41</v>
      </c>
      <c r="M582" s="98">
        <f t="shared" si="286"/>
        <v>354.02</v>
      </c>
      <c r="N582" s="99">
        <f t="shared" si="281"/>
        <v>280338.95</v>
      </c>
      <c r="O582" s="99">
        <f t="shared" si="281"/>
        <v>9895.01</v>
      </c>
      <c r="P582" s="100">
        <f t="shared" si="282"/>
        <v>93446.316666666666</v>
      </c>
      <c r="Q582" s="100">
        <f t="shared" si="282"/>
        <v>3298.3366666666666</v>
      </c>
      <c r="R582" s="101"/>
      <c r="S582" s="49" t="s">
        <v>576</v>
      </c>
      <c r="T582" s="49"/>
      <c r="U582" s="49"/>
      <c r="V582" s="49"/>
      <c r="W582" s="49"/>
      <c r="X582" s="49"/>
      <c r="Y582" s="49"/>
      <c r="Z582" s="99">
        <f>ROUND(Z555+Z581,5)</f>
        <v>811.37</v>
      </c>
      <c r="AA582" s="140"/>
      <c r="AB582" s="99">
        <f t="shared" ref="AB582:AJ582" si="287">ROUND(AB555+AB581,5)</f>
        <v>-193160.46642000001</v>
      </c>
      <c r="AC582" s="99">
        <f t="shared" si="287"/>
        <v>-8678.4714199999999</v>
      </c>
      <c r="AD582" s="99">
        <f t="shared" si="287"/>
        <v>15325.98798</v>
      </c>
      <c r="AE582" s="99">
        <f t="shared" si="287"/>
        <v>3787.1</v>
      </c>
      <c r="AF582" s="99">
        <f t="shared" si="287"/>
        <v>5642.0349999999999</v>
      </c>
      <c r="AG582" s="99">
        <f t="shared" si="287"/>
        <v>-17387</v>
      </c>
      <c r="AH582" s="99">
        <f t="shared" si="287"/>
        <v>20318</v>
      </c>
      <c r="AI582" s="99">
        <f t="shared" si="287"/>
        <v>-17235</v>
      </c>
      <c r="AJ582" s="99">
        <f t="shared" si="287"/>
        <v>54630</v>
      </c>
      <c r="AK582" s="266">
        <f t="shared" ref="AK582" si="288">ROUND(AK555+AK581,5)</f>
        <v>102200</v>
      </c>
      <c r="AL582" s="110"/>
      <c r="AM582" s="110"/>
      <c r="AO582" s="215"/>
      <c r="AT582" s="246"/>
    </row>
    <row r="583" spans="1:46" ht="16" thickTop="1" x14ac:dyDescent="0.35"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</row>
  </sheetData>
  <mergeCells count="1">
    <mergeCell ref="P3:Q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5DE1-71D5-4A7B-82AB-FAF05D6B2036}">
  <sheetPr>
    <tabColor theme="6" tint="-0.249977111117893"/>
  </sheetPr>
  <dimension ref="A1:AU583"/>
  <sheetViews>
    <sheetView tabSelected="1" zoomScaleNormal="100" workbookViewId="0">
      <pane ySplit="4" topLeftCell="A5" activePane="bottomLeft" state="frozen"/>
      <selection pane="bottomLeft" activeCell="BB455" sqref="BB455"/>
    </sheetView>
  </sheetViews>
  <sheetFormatPr defaultColWidth="8.81640625" defaultRowHeight="15.5" x14ac:dyDescent="0.35"/>
  <cols>
    <col min="1" max="6" width="0.6328125" style="45" customWidth="1"/>
    <col min="7" max="7" width="56.81640625" style="45" customWidth="1"/>
    <col min="8" max="8" width="16.81640625" style="46" hidden="1" customWidth="1"/>
    <col min="9" max="9" width="14.1796875" style="46" hidden="1" customWidth="1"/>
    <col min="10" max="10" width="16.81640625" style="46" hidden="1" customWidth="1"/>
    <col min="11" max="11" width="14.1796875" style="46" hidden="1" customWidth="1"/>
    <col min="12" max="12" width="16.81640625" style="277" hidden="1" customWidth="1"/>
    <col min="13" max="13" width="14.1796875" style="277" hidden="1" customWidth="1"/>
    <col min="14" max="14" width="16.81640625" style="277" hidden="1" customWidth="1"/>
    <col min="15" max="15" width="14.81640625" style="277" hidden="1" customWidth="1"/>
    <col min="16" max="16" width="16.81640625" style="277" hidden="1" customWidth="1"/>
    <col min="17" max="17" width="14.1796875" style="277" hidden="1" customWidth="1"/>
    <col min="18" max="18" width="0.81640625" style="277" hidden="1" customWidth="1"/>
    <col min="19" max="24" width="0.90625" style="45" hidden="1" customWidth="1"/>
    <col min="25" max="25" width="49.36328125" style="45" hidden="1" customWidth="1"/>
    <col min="26" max="26" width="22.54296875" style="47" customWidth="1"/>
    <col min="27" max="27" width="0.6328125" style="277" customWidth="1"/>
    <col min="28" max="37" width="17.1796875" style="277" hidden="1" customWidth="1"/>
    <col min="38" max="38" width="22.90625" style="279" hidden="1" customWidth="1"/>
    <col min="39" max="39" width="17.1796875" style="277" customWidth="1"/>
    <col min="40" max="40" width="39" style="110" customWidth="1"/>
    <col min="41" max="41" width="29" style="46" hidden="1" customWidth="1"/>
    <col min="42" max="42" width="29" style="111" hidden="1" customWidth="1"/>
    <col min="43" max="44" width="29" style="46" hidden="1" customWidth="1"/>
    <col min="45" max="45" width="29" style="46" customWidth="1"/>
    <col min="46" max="46" width="12.1796875" style="46" bestFit="1" customWidth="1"/>
    <col min="47" max="47" width="12.6328125" style="159" bestFit="1" customWidth="1"/>
    <col min="48" max="16384" width="8.81640625" style="46"/>
  </cols>
  <sheetData>
    <row r="1" spans="1:47" ht="25" customHeight="1" thickBot="1" x14ac:dyDescent="0.4">
      <c r="H1" s="103">
        <f t="shared" ref="H1:Q1" si="0">H582</f>
        <v>44542.64</v>
      </c>
      <c r="I1" s="103">
        <f t="shared" si="0"/>
        <v>8714.58</v>
      </c>
      <c r="J1" s="103">
        <f t="shared" si="0"/>
        <v>51342.9</v>
      </c>
      <c r="K1" s="103">
        <f t="shared" si="0"/>
        <v>826.41</v>
      </c>
      <c r="L1" s="211">
        <f t="shared" si="0"/>
        <v>184453.41</v>
      </c>
      <c r="M1" s="103">
        <f t="shared" si="0"/>
        <v>354.02</v>
      </c>
      <c r="N1" s="103">
        <f t="shared" si="0"/>
        <v>280338.95</v>
      </c>
      <c r="O1" s="103">
        <f t="shared" si="0"/>
        <v>9895.01</v>
      </c>
      <c r="P1" s="103">
        <f t="shared" si="0"/>
        <v>93446.316666666666</v>
      </c>
      <c r="Q1" s="103">
        <f t="shared" si="0"/>
        <v>3298.3366666666666</v>
      </c>
      <c r="Z1" s="104">
        <f>Z582</f>
        <v>811.37</v>
      </c>
      <c r="AA1" s="278"/>
      <c r="AB1" s="106">
        <f t="shared" ref="AB1:AK1" si="1">AB582</f>
        <v>-193160.46642000001</v>
      </c>
      <c r="AC1" s="129">
        <f t="shared" si="1"/>
        <v>-8678.4714199999999</v>
      </c>
      <c r="AD1" s="132">
        <f t="shared" si="1"/>
        <v>15325.98798</v>
      </c>
      <c r="AE1" s="153">
        <f t="shared" si="1"/>
        <v>3787.1</v>
      </c>
      <c r="AF1" s="161">
        <f t="shared" si="1"/>
        <v>5642.0349999999999</v>
      </c>
      <c r="AG1" s="106">
        <f t="shared" si="1"/>
        <v>-17387</v>
      </c>
      <c r="AH1" s="208">
        <f t="shared" si="1"/>
        <v>20318</v>
      </c>
      <c r="AI1" s="267">
        <f t="shared" si="1"/>
        <v>-17235</v>
      </c>
      <c r="AJ1" s="262">
        <f t="shared" si="1"/>
        <v>54630</v>
      </c>
      <c r="AK1" s="263">
        <f t="shared" si="1"/>
        <v>119600</v>
      </c>
      <c r="AM1" s="269">
        <f t="shared" ref="AM1" si="2">AM582</f>
        <v>49977</v>
      </c>
      <c r="AN1" s="173"/>
    </row>
    <row r="2" spans="1:47" ht="16" thickBot="1" x14ac:dyDescent="0.4">
      <c r="AA2" s="280"/>
      <c r="AB2" s="281" t="s">
        <v>583</v>
      </c>
      <c r="AC2" s="282" t="s">
        <v>894</v>
      </c>
      <c r="AD2" s="283" t="s">
        <v>896</v>
      </c>
      <c r="AE2" s="284" t="s">
        <v>909</v>
      </c>
      <c r="AF2" s="285" t="s">
        <v>944</v>
      </c>
      <c r="AG2" s="286" t="s">
        <v>958</v>
      </c>
      <c r="AH2" s="287" t="s">
        <v>1004</v>
      </c>
      <c r="AI2" s="288" t="s">
        <v>1008</v>
      </c>
      <c r="AJ2" s="289" t="s">
        <v>1013</v>
      </c>
      <c r="AK2" s="290" t="s">
        <v>1022</v>
      </c>
      <c r="AM2" s="291" t="s">
        <v>1035</v>
      </c>
    </row>
    <row r="3" spans="1:47" ht="26.5" customHeight="1" thickTop="1" thickBot="1" x14ac:dyDescent="0.4">
      <c r="A3" s="48"/>
      <c r="B3" s="48"/>
      <c r="C3" s="49"/>
      <c r="D3" s="49"/>
      <c r="E3" s="49"/>
      <c r="F3" s="49"/>
      <c r="G3" s="49"/>
      <c r="H3" s="50"/>
      <c r="I3" s="50"/>
      <c r="J3" s="51"/>
      <c r="K3" s="51"/>
      <c r="L3" s="58" t="s">
        <v>4</v>
      </c>
      <c r="M3" s="292"/>
      <c r="N3" s="53" t="s">
        <v>0</v>
      </c>
      <c r="O3" s="293"/>
      <c r="P3" s="317" t="s">
        <v>577</v>
      </c>
      <c r="Q3" s="317"/>
      <c r="R3" s="294"/>
      <c r="S3" s="49"/>
      <c r="T3" s="49"/>
      <c r="U3" s="49"/>
      <c r="V3" s="49"/>
      <c r="W3" s="49"/>
      <c r="X3" s="49"/>
      <c r="Y3" s="49"/>
      <c r="Z3" s="237" t="s">
        <v>578</v>
      </c>
      <c r="AA3" s="280"/>
      <c r="AB3" s="239" t="s">
        <v>582</v>
      </c>
      <c r="AC3" s="235" t="s">
        <v>582</v>
      </c>
      <c r="AD3" s="235" t="s">
        <v>582</v>
      </c>
      <c r="AE3" s="235" t="s">
        <v>582</v>
      </c>
      <c r="AF3" s="235" t="s">
        <v>582</v>
      </c>
      <c r="AG3" s="235" t="s">
        <v>582</v>
      </c>
      <c r="AH3" s="235" t="s">
        <v>582</v>
      </c>
      <c r="AI3" s="235" t="s">
        <v>582</v>
      </c>
      <c r="AJ3" s="235" t="s">
        <v>582</v>
      </c>
      <c r="AK3" s="235" t="s">
        <v>582</v>
      </c>
      <c r="AM3" s="235" t="s">
        <v>582</v>
      </c>
    </row>
    <row r="4" spans="1:47" s="62" customFormat="1" ht="16.5" thickTop="1" thickBot="1" x14ac:dyDescent="0.4">
      <c r="A4" s="55"/>
      <c r="B4" s="55"/>
      <c r="C4" s="55"/>
      <c r="D4" s="55"/>
      <c r="E4" s="55"/>
      <c r="F4" s="55"/>
      <c r="G4" s="55"/>
      <c r="H4" s="56" t="s">
        <v>1</v>
      </c>
      <c r="I4" s="56" t="s">
        <v>2</v>
      </c>
      <c r="J4" s="57" t="s">
        <v>3</v>
      </c>
      <c r="K4" s="57" t="s">
        <v>2</v>
      </c>
      <c r="L4" s="238" t="s">
        <v>1033</v>
      </c>
      <c r="M4" s="58" t="s">
        <v>2</v>
      </c>
      <c r="N4" s="59" t="s">
        <v>5</v>
      </c>
      <c r="O4" s="59" t="s">
        <v>2</v>
      </c>
      <c r="P4" s="60" t="s">
        <v>5</v>
      </c>
      <c r="Q4" s="60" t="s">
        <v>2</v>
      </c>
      <c r="R4" s="295"/>
      <c r="S4" s="55"/>
      <c r="T4" s="55"/>
      <c r="U4" s="55"/>
      <c r="V4" s="55"/>
      <c r="W4" s="55"/>
      <c r="X4" s="55"/>
      <c r="Y4" s="55"/>
      <c r="Z4" s="238" t="s">
        <v>2</v>
      </c>
      <c r="AA4" s="296"/>
      <c r="AB4" s="240" t="s">
        <v>2</v>
      </c>
      <c r="AC4" s="236" t="s">
        <v>2</v>
      </c>
      <c r="AD4" s="236" t="s">
        <v>2</v>
      </c>
      <c r="AE4" s="236" t="s">
        <v>2</v>
      </c>
      <c r="AF4" s="236" t="s">
        <v>2</v>
      </c>
      <c r="AG4" s="236" t="s">
        <v>2</v>
      </c>
      <c r="AH4" s="236" t="s">
        <v>2</v>
      </c>
      <c r="AI4" s="236" t="s">
        <v>2</v>
      </c>
      <c r="AJ4" s="236" t="s">
        <v>2</v>
      </c>
      <c r="AK4" s="236" t="s">
        <v>2</v>
      </c>
      <c r="AL4" s="279"/>
      <c r="AM4" s="236" t="s">
        <v>2</v>
      </c>
      <c r="AN4" s="174"/>
      <c r="AP4" s="214"/>
      <c r="AU4" s="245"/>
    </row>
    <row r="5" spans="1:47" s="49" customFormat="1" ht="16" thickTop="1" x14ac:dyDescent="0.35">
      <c r="B5" s="49" t="s">
        <v>6</v>
      </c>
      <c r="H5" s="63"/>
      <c r="I5" s="63"/>
      <c r="J5" s="64"/>
      <c r="K5" s="64"/>
      <c r="L5" s="65"/>
      <c r="M5" s="65"/>
      <c r="N5" s="66"/>
      <c r="O5" s="66"/>
      <c r="P5" s="297"/>
      <c r="Q5" s="297"/>
      <c r="R5" s="68"/>
      <c r="T5" s="49" t="s">
        <v>6</v>
      </c>
      <c r="Z5" s="66"/>
      <c r="AA5" s="142"/>
      <c r="AL5" s="279"/>
      <c r="AN5" s="175"/>
      <c r="AP5" s="215"/>
      <c r="AU5" s="246"/>
    </row>
    <row r="6" spans="1:47" x14ac:dyDescent="0.35">
      <c r="A6" s="66"/>
      <c r="B6" s="66"/>
      <c r="C6" s="49" t="s">
        <v>7</v>
      </c>
      <c r="D6" s="49"/>
      <c r="E6" s="49"/>
      <c r="F6" s="49"/>
      <c r="G6" s="49"/>
      <c r="H6" s="63"/>
      <c r="I6" s="63"/>
      <c r="J6" s="64"/>
      <c r="K6" s="64"/>
      <c r="L6" s="65"/>
      <c r="M6" s="65"/>
      <c r="N6" s="66"/>
      <c r="O6" s="66"/>
      <c r="P6" s="297"/>
      <c r="Q6" s="297"/>
      <c r="R6" s="294"/>
      <c r="S6" s="49"/>
      <c r="T6" s="49"/>
      <c r="U6" s="49" t="s">
        <v>7</v>
      </c>
      <c r="V6" s="49"/>
      <c r="W6" s="49"/>
      <c r="X6" s="49"/>
      <c r="Y6" s="49"/>
      <c r="Z6" s="66"/>
      <c r="AA6" s="280"/>
      <c r="AQ6" s="171">
        <f>AQ177+AQ178+AQ179</f>
        <v>142100</v>
      </c>
    </row>
    <row r="7" spans="1:47" x14ac:dyDescent="0.35">
      <c r="A7" s="66"/>
      <c r="B7" s="66"/>
      <c r="C7" s="49"/>
      <c r="D7" s="49" t="s">
        <v>8</v>
      </c>
      <c r="E7" s="49"/>
      <c r="F7" s="49"/>
      <c r="G7" s="49"/>
      <c r="H7" s="63"/>
      <c r="I7" s="63"/>
      <c r="J7" s="64"/>
      <c r="K7" s="64"/>
      <c r="L7" s="65"/>
      <c r="M7" s="65"/>
      <c r="N7" s="66"/>
      <c r="O7" s="66"/>
      <c r="P7" s="297"/>
      <c r="Q7" s="297"/>
      <c r="R7" s="294"/>
      <c r="S7" s="49"/>
      <c r="T7" s="49"/>
      <c r="U7" s="49"/>
      <c r="V7" s="49" t="s">
        <v>8</v>
      </c>
      <c r="W7" s="49"/>
      <c r="X7" s="49"/>
      <c r="Y7" s="49"/>
      <c r="Z7" s="66"/>
      <c r="AA7" s="280"/>
      <c r="AP7" s="131"/>
      <c r="AQ7" s="111"/>
      <c r="AS7"/>
    </row>
    <row r="8" spans="1:47" ht="16" thickBot="1" x14ac:dyDescent="0.4">
      <c r="A8" s="66"/>
      <c r="B8" s="66"/>
      <c r="C8" s="49"/>
      <c r="D8" s="49"/>
      <c r="E8" s="49" t="s">
        <v>9</v>
      </c>
      <c r="F8" s="49"/>
      <c r="G8" s="49"/>
      <c r="H8" s="63"/>
      <c r="I8" s="63"/>
      <c r="J8" s="64"/>
      <c r="K8" s="64"/>
      <c r="L8" s="65"/>
      <c r="M8" s="65"/>
      <c r="N8" s="66"/>
      <c r="O8" s="66"/>
      <c r="P8" s="297"/>
      <c r="Q8" s="297"/>
      <c r="R8" s="294"/>
      <c r="S8" s="49"/>
      <c r="T8" s="49"/>
      <c r="U8" s="49"/>
      <c r="V8" s="49"/>
      <c r="W8" s="49" t="s">
        <v>9</v>
      </c>
      <c r="X8" s="49"/>
      <c r="Y8" s="49"/>
      <c r="Z8" s="66"/>
      <c r="AA8" s="280"/>
      <c r="AP8" s="131"/>
      <c r="AQ8" s="111"/>
      <c r="AS8"/>
    </row>
    <row r="9" spans="1:47" ht="16" hidden="1" thickBot="1" x14ac:dyDescent="0.4">
      <c r="A9" s="66"/>
      <c r="B9" s="66"/>
      <c r="C9" s="49"/>
      <c r="D9" s="49"/>
      <c r="E9" s="49"/>
      <c r="F9" s="49" t="s">
        <v>10</v>
      </c>
      <c r="G9" s="49"/>
      <c r="H9" s="63"/>
      <c r="I9" s="63"/>
      <c r="J9" s="64"/>
      <c r="K9" s="64"/>
      <c r="L9" s="65"/>
      <c r="M9" s="65"/>
      <c r="N9" s="66"/>
      <c r="O9" s="66"/>
      <c r="P9" s="297"/>
      <c r="Q9" s="297"/>
      <c r="R9" s="294"/>
      <c r="S9" s="49"/>
      <c r="T9" s="49"/>
      <c r="U9" s="49"/>
      <c r="V9" s="49"/>
      <c r="W9" s="49"/>
      <c r="X9" s="49" t="s">
        <v>10</v>
      </c>
      <c r="Y9" s="49"/>
      <c r="Z9" s="66"/>
      <c r="AA9" s="280"/>
      <c r="AB9" s="66">
        <v>960784.8</v>
      </c>
      <c r="AC9" s="66">
        <v>960784.8</v>
      </c>
      <c r="AD9" s="66">
        <v>1026054.2</v>
      </c>
      <c r="AE9" s="66">
        <v>1026054.2</v>
      </c>
      <c r="AF9" s="66">
        <v>1026054.2</v>
      </c>
      <c r="AG9" s="66">
        <v>1026054.2</v>
      </c>
      <c r="AH9" s="66">
        <v>1026054.2</v>
      </c>
      <c r="AI9" s="66">
        <v>1026054.2</v>
      </c>
      <c r="AJ9" s="66">
        <v>1026054.2</v>
      </c>
      <c r="AK9" s="66">
        <v>1026054.2</v>
      </c>
      <c r="AM9" s="66">
        <v>1026054.2</v>
      </c>
      <c r="AP9" s="131"/>
      <c r="AQ9" s="111"/>
    </row>
    <row r="10" spans="1:47" ht="16" hidden="1" thickBot="1" x14ac:dyDescent="0.4">
      <c r="A10" s="66"/>
      <c r="B10" s="66"/>
      <c r="C10" s="49"/>
      <c r="D10" s="49"/>
      <c r="E10" s="49"/>
      <c r="F10" s="49"/>
      <c r="G10" s="49" t="s">
        <v>11</v>
      </c>
      <c r="H10" s="63">
        <v>122124.97</v>
      </c>
      <c r="I10" s="63">
        <v>16926</v>
      </c>
      <c r="J10" s="64">
        <v>75082.22</v>
      </c>
      <c r="K10" s="64">
        <v>46872</v>
      </c>
      <c r="L10" s="65">
        <v>73581.05</v>
      </c>
      <c r="M10" s="65">
        <v>110683</v>
      </c>
      <c r="N10" s="66">
        <f t="shared" ref="N10:O15" si="3">ROUND(H10+J10+L10,5)</f>
        <v>270788.24</v>
      </c>
      <c r="O10" s="66">
        <f t="shared" si="3"/>
        <v>174481</v>
      </c>
      <c r="P10" s="69">
        <f>N10/3</f>
        <v>90262.746666666659</v>
      </c>
      <c r="Q10" s="69">
        <f>O10/3</f>
        <v>58160.333333333336</v>
      </c>
      <c r="R10" s="294"/>
      <c r="S10" s="49"/>
      <c r="T10" s="49"/>
      <c r="U10" s="49"/>
      <c r="V10" s="49"/>
      <c r="W10" s="49"/>
      <c r="X10" s="49"/>
      <c r="Y10" s="49" t="s">
        <v>11</v>
      </c>
      <c r="Z10" s="66">
        <v>119709.85</v>
      </c>
      <c r="AA10" s="280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M10" s="66"/>
      <c r="AP10" s="131"/>
      <c r="AQ10" s="111"/>
    </row>
    <row r="11" spans="1:47" ht="16" hidden="1" thickBot="1" x14ac:dyDescent="0.4">
      <c r="A11" s="66"/>
      <c r="B11" s="66"/>
      <c r="C11" s="49"/>
      <c r="D11" s="49"/>
      <c r="E11" s="49"/>
      <c r="F11" s="49"/>
      <c r="G11" s="49" t="s">
        <v>12</v>
      </c>
      <c r="H11" s="63">
        <v>27462.54</v>
      </c>
      <c r="I11" s="63">
        <v>7176</v>
      </c>
      <c r="J11" s="64">
        <v>38915.93</v>
      </c>
      <c r="K11" s="64">
        <v>13248</v>
      </c>
      <c r="L11" s="65">
        <v>37783.370000000003</v>
      </c>
      <c r="M11" s="65">
        <v>26791</v>
      </c>
      <c r="N11" s="66">
        <f t="shared" si="3"/>
        <v>104161.84</v>
      </c>
      <c r="O11" s="66">
        <f t="shared" si="3"/>
        <v>47215</v>
      </c>
      <c r="P11" s="69">
        <f t="shared" ref="P11:Q74" si="4">N11/3</f>
        <v>34720.613333333335</v>
      </c>
      <c r="Q11" s="69">
        <f t="shared" si="4"/>
        <v>15738.333333333334</v>
      </c>
      <c r="R11" s="294"/>
      <c r="S11" s="49"/>
      <c r="T11" s="49"/>
      <c r="U11" s="49"/>
      <c r="V11" s="49"/>
      <c r="W11" s="49"/>
      <c r="X11" s="49"/>
      <c r="Y11" s="49" t="s">
        <v>12</v>
      </c>
      <c r="Z11" s="66">
        <v>47017.15</v>
      </c>
      <c r="AA11" s="280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M11" s="66"/>
      <c r="AP11" s="131"/>
      <c r="AQ11" s="111"/>
    </row>
    <row r="12" spans="1:47" ht="16" hidden="1" thickBot="1" x14ac:dyDescent="0.4">
      <c r="A12" s="66"/>
      <c r="B12" s="66"/>
      <c r="C12" s="49"/>
      <c r="D12" s="49"/>
      <c r="E12" s="49"/>
      <c r="F12" s="49"/>
      <c r="G12" s="49" t="s">
        <v>13</v>
      </c>
      <c r="H12" s="63">
        <v>0</v>
      </c>
      <c r="I12" s="63">
        <v>8970</v>
      </c>
      <c r="J12" s="64">
        <v>0</v>
      </c>
      <c r="K12" s="64">
        <v>0</v>
      </c>
      <c r="L12" s="65">
        <v>0</v>
      </c>
      <c r="M12" s="65"/>
      <c r="N12" s="66">
        <f t="shared" si="3"/>
        <v>0</v>
      </c>
      <c r="O12" s="66">
        <f t="shared" si="3"/>
        <v>8970</v>
      </c>
      <c r="P12" s="69">
        <f t="shared" si="4"/>
        <v>0</v>
      </c>
      <c r="Q12" s="69">
        <f t="shared" si="4"/>
        <v>2990</v>
      </c>
      <c r="R12" s="294"/>
      <c r="S12" s="49"/>
      <c r="T12" s="49"/>
      <c r="U12" s="49"/>
      <c r="V12" s="49"/>
      <c r="W12" s="49"/>
      <c r="X12" s="49"/>
      <c r="Y12" s="49" t="s">
        <v>13</v>
      </c>
      <c r="Z12" s="66">
        <v>0</v>
      </c>
      <c r="AA12" s="280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M12" s="66"/>
      <c r="AP12" s="131"/>
      <c r="AQ12" s="111"/>
    </row>
    <row r="13" spans="1:47" ht="16" hidden="1" thickBot="1" x14ac:dyDescent="0.4">
      <c r="A13" s="66"/>
      <c r="B13" s="66"/>
      <c r="C13" s="49"/>
      <c r="D13" s="49"/>
      <c r="E13" s="49"/>
      <c r="F13" s="49"/>
      <c r="G13" s="49" t="s">
        <v>14</v>
      </c>
      <c r="H13" s="63">
        <v>21585.85</v>
      </c>
      <c r="I13" s="63">
        <v>0</v>
      </c>
      <c r="J13" s="64">
        <v>9798</v>
      </c>
      <c r="K13" s="64">
        <v>1656</v>
      </c>
      <c r="L13" s="65">
        <v>17730</v>
      </c>
      <c r="M13" s="65">
        <v>20620</v>
      </c>
      <c r="N13" s="66">
        <f t="shared" si="3"/>
        <v>49113.85</v>
      </c>
      <c r="O13" s="66">
        <f t="shared" si="3"/>
        <v>22276</v>
      </c>
      <c r="P13" s="69">
        <f t="shared" si="4"/>
        <v>16371.283333333333</v>
      </c>
      <c r="Q13" s="69">
        <f t="shared" si="4"/>
        <v>7425.333333333333</v>
      </c>
      <c r="R13" s="294"/>
      <c r="S13" s="49"/>
      <c r="T13" s="49"/>
      <c r="U13" s="49"/>
      <c r="V13" s="49"/>
      <c r="W13" s="49"/>
      <c r="X13" s="49"/>
      <c r="Y13" s="49" t="s">
        <v>14</v>
      </c>
      <c r="Z13" s="66">
        <v>17741.66</v>
      </c>
      <c r="AA13" s="280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M13" s="66"/>
      <c r="AP13" s="131"/>
      <c r="AQ13" s="111"/>
    </row>
    <row r="14" spans="1:47" ht="16" hidden="1" thickBot="1" x14ac:dyDescent="0.4">
      <c r="A14" s="66"/>
      <c r="B14" s="66"/>
      <c r="C14" s="49"/>
      <c r="D14" s="49"/>
      <c r="E14" s="49"/>
      <c r="F14" s="49"/>
      <c r="G14" s="49" t="s">
        <v>15</v>
      </c>
      <c r="H14" s="70">
        <v>0</v>
      </c>
      <c r="I14" s="70"/>
      <c r="J14" s="71">
        <v>5600</v>
      </c>
      <c r="K14" s="71"/>
      <c r="L14" s="72">
        <v>2190</v>
      </c>
      <c r="M14" s="72">
        <v>1400</v>
      </c>
      <c r="N14" s="73">
        <f t="shared" si="3"/>
        <v>7790</v>
      </c>
      <c r="O14" s="73">
        <f t="shared" si="3"/>
        <v>1400</v>
      </c>
      <c r="P14" s="74">
        <f t="shared" si="4"/>
        <v>2596.6666666666665</v>
      </c>
      <c r="Q14" s="74">
        <f t="shared" si="4"/>
        <v>466.66666666666669</v>
      </c>
      <c r="R14" s="294"/>
      <c r="S14" s="49"/>
      <c r="T14" s="49"/>
      <c r="U14" s="49"/>
      <c r="V14" s="49"/>
      <c r="W14" s="49"/>
      <c r="X14" s="49"/>
      <c r="Y14" s="49" t="s">
        <v>15</v>
      </c>
      <c r="Z14" s="73">
        <v>5634.94</v>
      </c>
      <c r="AA14" s="280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M14" s="73"/>
      <c r="AP14" s="131"/>
      <c r="AQ14" s="111"/>
    </row>
    <row r="15" spans="1:47" ht="16" hidden="1" thickBot="1" x14ac:dyDescent="0.4">
      <c r="A15" s="66"/>
      <c r="B15" s="66"/>
      <c r="C15" s="49"/>
      <c r="D15" s="49"/>
      <c r="E15" s="49"/>
      <c r="F15" s="49" t="s">
        <v>16</v>
      </c>
      <c r="G15" s="49"/>
      <c r="H15" s="63">
        <f t="shared" ref="H15:M15" si="5">ROUND(SUM(H9:H14),5)</f>
        <v>171173.36</v>
      </c>
      <c r="I15" s="63">
        <f t="shared" si="5"/>
        <v>33072</v>
      </c>
      <c r="J15" s="64">
        <f t="shared" si="5"/>
        <v>129396.15</v>
      </c>
      <c r="K15" s="64">
        <f t="shared" si="5"/>
        <v>61776</v>
      </c>
      <c r="L15" s="65">
        <f t="shared" si="5"/>
        <v>131284.42000000001</v>
      </c>
      <c r="M15" s="65">
        <f t="shared" si="5"/>
        <v>159494</v>
      </c>
      <c r="N15" s="66">
        <f t="shared" si="3"/>
        <v>431853.93</v>
      </c>
      <c r="O15" s="66">
        <f t="shared" si="3"/>
        <v>254342</v>
      </c>
      <c r="P15" s="69">
        <f t="shared" si="4"/>
        <v>143951.31</v>
      </c>
      <c r="Q15" s="69">
        <f t="shared" si="4"/>
        <v>84780.666666666672</v>
      </c>
      <c r="R15" s="294"/>
      <c r="S15" s="49"/>
      <c r="T15" s="49"/>
      <c r="U15" s="49"/>
      <c r="V15" s="49"/>
      <c r="W15" s="49"/>
      <c r="X15" s="49" t="s">
        <v>16</v>
      </c>
      <c r="Y15" s="49"/>
      <c r="Z15" s="66">
        <f>ROUND(SUM(Z9:Z14),5)</f>
        <v>190103.6</v>
      </c>
      <c r="AA15" s="280"/>
      <c r="AB15" s="66">
        <f t="shared" ref="AB15:AK15" si="6">ROUND(SUM(AB9:AB14),5)</f>
        <v>960784.8</v>
      </c>
      <c r="AC15" s="66">
        <f t="shared" si="6"/>
        <v>960784.8</v>
      </c>
      <c r="AD15" s="66">
        <f t="shared" si="6"/>
        <v>1026054.2</v>
      </c>
      <c r="AE15" s="66">
        <f t="shared" si="6"/>
        <v>1026054.2</v>
      </c>
      <c r="AF15" s="66">
        <f t="shared" si="6"/>
        <v>1026054.2</v>
      </c>
      <c r="AG15" s="66">
        <f t="shared" si="6"/>
        <v>1026054.2</v>
      </c>
      <c r="AH15" s="66">
        <f t="shared" si="6"/>
        <v>1026054.2</v>
      </c>
      <c r="AI15" s="66">
        <f t="shared" si="6"/>
        <v>1026054.2</v>
      </c>
      <c r="AJ15" s="66">
        <f t="shared" si="6"/>
        <v>1026054.2</v>
      </c>
      <c r="AK15" s="66">
        <f t="shared" si="6"/>
        <v>1026054.2</v>
      </c>
      <c r="AM15" s="66">
        <f t="shared" ref="AM15" si="7">ROUND(SUM(AM9:AM14),5)</f>
        <v>1026054.2</v>
      </c>
      <c r="AP15" s="131"/>
      <c r="AQ15" s="111"/>
    </row>
    <row r="16" spans="1:47" ht="16" hidden="1" thickBot="1" x14ac:dyDescent="0.4">
      <c r="A16" s="66"/>
      <c r="B16" s="66"/>
      <c r="C16" s="49"/>
      <c r="D16" s="49"/>
      <c r="E16" s="49"/>
      <c r="F16" s="49" t="s">
        <v>17</v>
      </c>
      <c r="G16" s="49"/>
      <c r="H16" s="63"/>
      <c r="I16" s="63"/>
      <c r="J16" s="64"/>
      <c r="K16" s="64"/>
      <c r="L16" s="65"/>
      <c r="M16" s="65"/>
      <c r="N16" s="66"/>
      <c r="O16" s="66"/>
      <c r="P16" s="69"/>
      <c r="Q16" s="69"/>
      <c r="R16" s="294"/>
      <c r="S16" s="49"/>
      <c r="T16" s="49"/>
      <c r="U16" s="49"/>
      <c r="V16" s="49"/>
      <c r="W16" s="49"/>
      <c r="X16" s="49" t="s">
        <v>17</v>
      </c>
      <c r="Y16" s="49"/>
      <c r="Z16" s="66"/>
      <c r="AA16" s="280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M16" s="66"/>
      <c r="AP16" s="131"/>
      <c r="AQ16" s="111"/>
    </row>
    <row r="17" spans="1:43" ht="16" hidden="1" thickBot="1" x14ac:dyDescent="0.4">
      <c r="A17" s="66"/>
      <c r="B17" s="66"/>
      <c r="C17" s="49"/>
      <c r="D17" s="49"/>
      <c r="E17" s="49"/>
      <c r="F17" s="49"/>
      <c r="G17" s="49" t="s">
        <v>18</v>
      </c>
      <c r="H17" s="63">
        <v>34864.82</v>
      </c>
      <c r="I17" s="63">
        <v>14105</v>
      </c>
      <c r="J17" s="64">
        <v>38975</v>
      </c>
      <c r="K17" s="64">
        <v>33852</v>
      </c>
      <c r="L17" s="65">
        <v>27970</v>
      </c>
      <c r="M17" s="65">
        <v>32016</v>
      </c>
      <c r="N17" s="66">
        <f t="shared" ref="N17:O35" si="8">ROUND(H17+J17+L17,5)</f>
        <v>101809.82</v>
      </c>
      <c r="O17" s="66">
        <f t="shared" si="8"/>
        <v>79973</v>
      </c>
      <c r="P17" s="69">
        <f t="shared" si="4"/>
        <v>33936.606666666667</v>
      </c>
      <c r="Q17" s="69">
        <f t="shared" si="4"/>
        <v>26657.666666666668</v>
      </c>
      <c r="R17" s="294"/>
      <c r="S17" s="49"/>
      <c r="T17" s="49"/>
      <c r="U17" s="49"/>
      <c r="V17" s="49"/>
      <c r="W17" s="49"/>
      <c r="X17" s="49"/>
      <c r="Y17" s="49" t="s">
        <v>18</v>
      </c>
      <c r="Z17" s="66">
        <v>60529.78</v>
      </c>
      <c r="AA17" s="280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M17" s="66"/>
      <c r="AP17" s="131"/>
      <c r="AQ17" s="111"/>
    </row>
    <row r="18" spans="1:43" ht="16" hidden="1" thickBot="1" x14ac:dyDescent="0.4">
      <c r="A18" s="66"/>
      <c r="B18" s="66"/>
      <c r="C18" s="49"/>
      <c r="D18" s="49"/>
      <c r="E18" s="49"/>
      <c r="F18" s="49"/>
      <c r="G18" s="49" t="s">
        <v>19</v>
      </c>
      <c r="H18" s="63">
        <v>8923.08</v>
      </c>
      <c r="I18" s="63">
        <v>2821</v>
      </c>
      <c r="J18" s="64">
        <v>7378.1</v>
      </c>
      <c r="K18" s="64">
        <v>7812</v>
      </c>
      <c r="L18" s="65">
        <v>10683.11</v>
      </c>
      <c r="M18" s="65">
        <v>12992</v>
      </c>
      <c r="N18" s="66">
        <f t="shared" si="8"/>
        <v>26984.29</v>
      </c>
      <c r="O18" s="66">
        <f t="shared" si="8"/>
        <v>23625</v>
      </c>
      <c r="P18" s="69">
        <f t="shared" si="4"/>
        <v>8994.7633333333342</v>
      </c>
      <c r="Q18" s="69">
        <f t="shared" si="4"/>
        <v>7875</v>
      </c>
      <c r="R18" s="294"/>
      <c r="S18" s="49"/>
      <c r="T18" s="49"/>
      <c r="U18" s="49"/>
      <c r="V18" s="49"/>
      <c r="W18" s="49"/>
      <c r="X18" s="49"/>
      <c r="Y18" s="49" t="s">
        <v>19</v>
      </c>
      <c r="Z18" s="66">
        <v>0</v>
      </c>
      <c r="AA18" s="280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M18" s="66"/>
      <c r="AP18" s="131"/>
      <c r="AQ18" s="111"/>
    </row>
    <row r="19" spans="1:43" ht="16" hidden="1" thickBot="1" x14ac:dyDescent="0.4">
      <c r="A19" s="66"/>
      <c r="B19" s="66"/>
      <c r="C19" s="49"/>
      <c r="D19" s="49"/>
      <c r="E19" s="49"/>
      <c r="F19" s="49"/>
      <c r="G19" s="49" t="s">
        <v>20</v>
      </c>
      <c r="H19" s="63">
        <v>4158</v>
      </c>
      <c r="I19" s="63">
        <v>0</v>
      </c>
      <c r="J19" s="64">
        <v>0</v>
      </c>
      <c r="K19" s="64">
        <v>28512</v>
      </c>
      <c r="L19" s="65">
        <v>13112</v>
      </c>
      <c r="M19" s="65">
        <v>7000</v>
      </c>
      <c r="N19" s="66">
        <f t="shared" si="8"/>
        <v>17270</v>
      </c>
      <c r="O19" s="66">
        <f t="shared" si="8"/>
        <v>35512</v>
      </c>
      <c r="P19" s="69">
        <f t="shared" si="4"/>
        <v>5756.666666666667</v>
      </c>
      <c r="Q19" s="69">
        <f t="shared" si="4"/>
        <v>11837.333333333334</v>
      </c>
      <c r="R19" s="294"/>
      <c r="S19" s="49"/>
      <c r="T19" s="49"/>
      <c r="U19" s="49"/>
      <c r="V19" s="49"/>
      <c r="W19" s="49"/>
      <c r="X19" s="49"/>
      <c r="Y19" s="49" t="s">
        <v>20</v>
      </c>
      <c r="Z19" s="66">
        <v>4448.05</v>
      </c>
      <c r="AA19" s="280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M19" s="66"/>
      <c r="AP19" s="131"/>
      <c r="AQ19" s="111"/>
    </row>
    <row r="20" spans="1:43" ht="16" hidden="1" thickBot="1" x14ac:dyDescent="0.4">
      <c r="A20" s="66"/>
      <c r="B20" s="66"/>
      <c r="C20" s="49"/>
      <c r="D20" s="49"/>
      <c r="E20" s="49"/>
      <c r="F20" s="49"/>
      <c r="G20" s="49" t="s">
        <v>21</v>
      </c>
      <c r="H20" s="63">
        <v>10734.81</v>
      </c>
      <c r="I20" s="63">
        <v>0</v>
      </c>
      <c r="J20" s="64">
        <v>2604</v>
      </c>
      <c r="K20" s="64">
        <v>13020</v>
      </c>
      <c r="L20" s="65">
        <v>9376</v>
      </c>
      <c r="M20" s="65">
        <v>22272</v>
      </c>
      <c r="N20" s="66">
        <f t="shared" si="8"/>
        <v>22714.81</v>
      </c>
      <c r="O20" s="66">
        <f t="shared" si="8"/>
        <v>35292</v>
      </c>
      <c r="P20" s="69">
        <f t="shared" si="4"/>
        <v>7571.6033333333335</v>
      </c>
      <c r="Q20" s="69">
        <f t="shared" si="4"/>
        <v>11764</v>
      </c>
      <c r="R20" s="294"/>
      <c r="S20" s="49"/>
      <c r="T20" s="49"/>
      <c r="U20" s="49"/>
      <c r="V20" s="49"/>
      <c r="W20" s="49"/>
      <c r="X20" s="49"/>
      <c r="Y20" s="49" t="s">
        <v>21</v>
      </c>
      <c r="Z20" s="66">
        <v>8937.2800000000007</v>
      </c>
      <c r="AA20" s="280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M20" s="66"/>
      <c r="AP20" s="131"/>
      <c r="AQ20" s="111"/>
    </row>
    <row r="21" spans="1:43" ht="16" hidden="1" thickBot="1" x14ac:dyDescent="0.4">
      <c r="A21" s="66"/>
      <c r="B21" s="66"/>
      <c r="C21" s="49"/>
      <c r="D21" s="49"/>
      <c r="E21" s="49"/>
      <c r="F21" s="49"/>
      <c r="G21" s="49" t="s">
        <v>22</v>
      </c>
      <c r="H21" s="63">
        <v>651</v>
      </c>
      <c r="I21" s="63">
        <v>0</v>
      </c>
      <c r="J21" s="64">
        <v>2604.0500000000002</v>
      </c>
      <c r="K21" s="64"/>
      <c r="L21" s="65">
        <v>0</v>
      </c>
      <c r="M21" s="65"/>
      <c r="N21" s="66">
        <f t="shared" si="8"/>
        <v>3255.05</v>
      </c>
      <c r="O21" s="66">
        <f t="shared" si="8"/>
        <v>0</v>
      </c>
      <c r="P21" s="69">
        <f t="shared" si="4"/>
        <v>1085.0166666666667</v>
      </c>
      <c r="Q21" s="69">
        <f t="shared" si="4"/>
        <v>0</v>
      </c>
      <c r="R21" s="294"/>
      <c r="S21" s="49"/>
      <c r="T21" s="49"/>
      <c r="U21" s="49"/>
      <c r="V21" s="49"/>
      <c r="W21" s="49"/>
      <c r="X21" s="49"/>
      <c r="Y21" s="49" t="s">
        <v>22</v>
      </c>
      <c r="Z21" s="66">
        <v>0</v>
      </c>
      <c r="AA21" s="280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M21" s="66"/>
      <c r="AP21" s="131"/>
      <c r="AQ21" s="111"/>
    </row>
    <row r="22" spans="1:43" ht="16" hidden="1" thickBot="1" x14ac:dyDescent="0.4">
      <c r="A22" s="66"/>
      <c r="B22" s="66"/>
      <c r="C22" s="49"/>
      <c r="D22" s="49"/>
      <c r="E22" s="49"/>
      <c r="F22" s="49"/>
      <c r="G22" s="49" t="s">
        <v>23</v>
      </c>
      <c r="H22" s="63">
        <v>2979.65</v>
      </c>
      <c r="I22" s="63">
        <v>19747</v>
      </c>
      <c r="J22" s="64">
        <v>13454</v>
      </c>
      <c r="K22" s="64">
        <v>28644</v>
      </c>
      <c r="L22" s="65">
        <v>7903</v>
      </c>
      <c r="M22" s="65">
        <v>9744</v>
      </c>
      <c r="N22" s="66">
        <f t="shared" si="8"/>
        <v>24336.65</v>
      </c>
      <c r="O22" s="66">
        <f t="shared" si="8"/>
        <v>58135</v>
      </c>
      <c r="P22" s="69">
        <f t="shared" si="4"/>
        <v>8112.2166666666672</v>
      </c>
      <c r="Q22" s="69">
        <f t="shared" si="4"/>
        <v>19378.333333333332</v>
      </c>
      <c r="R22" s="294"/>
      <c r="S22" s="49"/>
      <c r="T22" s="49"/>
      <c r="U22" s="49"/>
      <c r="V22" s="49"/>
      <c r="W22" s="49"/>
      <c r="X22" s="49"/>
      <c r="Y22" s="49" t="s">
        <v>23</v>
      </c>
      <c r="Z22" s="66">
        <v>16858.96</v>
      </c>
      <c r="AA22" s="280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M22" s="66"/>
      <c r="AP22" s="131"/>
      <c r="AQ22" s="111"/>
    </row>
    <row r="23" spans="1:43" ht="16" hidden="1" thickBot="1" x14ac:dyDescent="0.4">
      <c r="A23" s="66"/>
      <c r="B23" s="66"/>
      <c r="C23" s="49"/>
      <c r="D23" s="49"/>
      <c r="E23" s="49"/>
      <c r="F23" s="49"/>
      <c r="G23" s="49" t="s">
        <v>24</v>
      </c>
      <c r="H23" s="63">
        <v>2387.04</v>
      </c>
      <c r="I23" s="63">
        <v>0</v>
      </c>
      <c r="J23" s="64">
        <v>0</v>
      </c>
      <c r="K23" s="64">
        <v>0</v>
      </c>
      <c r="L23" s="65">
        <v>1173.01</v>
      </c>
      <c r="M23" s="65">
        <v>0</v>
      </c>
      <c r="N23" s="66">
        <f t="shared" si="8"/>
        <v>3560.05</v>
      </c>
      <c r="O23" s="66">
        <f t="shared" si="8"/>
        <v>0</v>
      </c>
      <c r="P23" s="69">
        <f t="shared" si="4"/>
        <v>1186.6833333333334</v>
      </c>
      <c r="Q23" s="69">
        <f t="shared" si="4"/>
        <v>0</v>
      </c>
      <c r="R23" s="294"/>
      <c r="S23" s="49"/>
      <c r="T23" s="49"/>
      <c r="U23" s="49"/>
      <c r="V23" s="49"/>
      <c r="W23" s="49"/>
      <c r="X23" s="49"/>
      <c r="Y23" s="49" t="s">
        <v>24</v>
      </c>
      <c r="Z23" s="66">
        <v>0</v>
      </c>
      <c r="AA23" s="280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M23" s="66"/>
      <c r="AP23" s="131"/>
      <c r="AQ23" s="111"/>
    </row>
    <row r="24" spans="1:43" ht="16" hidden="1" thickBot="1" x14ac:dyDescent="0.4">
      <c r="A24" s="66"/>
      <c r="B24" s="66"/>
      <c r="C24" s="49"/>
      <c r="D24" s="49"/>
      <c r="E24" s="49"/>
      <c r="F24" s="49"/>
      <c r="G24" s="49" t="s">
        <v>25</v>
      </c>
      <c r="H24" s="63">
        <v>8821.1</v>
      </c>
      <c r="I24" s="63">
        <v>8463</v>
      </c>
      <c r="J24" s="64">
        <v>3689</v>
      </c>
      <c r="K24" s="64">
        <v>20832</v>
      </c>
      <c r="L24" s="65">
        <v>7944</v>
      </c>
      <c r="M24" s="65">
        <v>12992</v>
      </c>
      <c r="N24" s="66">
        <f t="shared" si="8"/>
        <v>20454.099999999999</v>
      </c>
      <c r="O24" s="66">
        <f t="shared" si="8"/>
        <v>42287</v>
      </c>
      <c r="P24" s="69">
        <f t="shared" si="4"/>
        <v>6818.0333333333328</v>
      </c>
      <c r="Q24" s="69">
        <f t="shared" si="4"/>
        <v>14095.666666666666</v>
      </c>
      <c r="R24" s="294"/>
      <c r="S24" s="49"/>
      <c r="T24" s="49"/>
      <c r="U24" s="49"/>
      <c r="V24" s="49"/>
      <c r="W24" s="49"/>
      <c r="X24" s="49"/>
      <c r="Y24" s="49" t="s">
        <v>25</v>
      </c>
      <c r="Z24" s="66">
        <v>8327.92</v>
      </c>
      <c r="AA24" s="280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M24" s="66"/>
      <c r="AP24" s="131"/>
      <c r="AQ24" s="111"/>
    </row>
    <row r="25" spans="1:43" ht="16" hidden="1" thickBot="1" x14ac:dyDescent="0.4">
      <c r="A25" s="66"/>
      <c r="B25" s="66"/>
      <c r="C25" s="49"/>
      <c r="D25" s="49"/>
      <c r="E25" s="49"/>
      <c r="F25" s="49"/>
      <c r="G25" s="49" t="s">
        <v>26</v>
      </c>
      <c r="H25" s="63">
        <v>2232.41</v>
      </c>
      <c r="I25" s="63">
        <v>5642</v>
      </c>
      <c r="J25" s="64">
        <v>0</v>
      </c>
      <c r="K25" s="64">
        <v>2604</v>
      </c>
      <c r="L25" s="65">
        <v>11126</v>
      </c>
      <c r="M25" s="65">
        <v>9512</v>
      </c>
      <c r="N25" s="66">
        <f t="shared" si="8"/>
        <v>13358.41</v>
      </c>
      <c r="O25" s="66">
        <f t="shared" si="8"/>
        <v>17758</v>
      </c>
      <c r="P25" s="69">
        <f t="shared" si="4"/>
        <v>4452.8033333333333</v>
      </c>
      <c r="Q25" s="69">
        <f t="shared" si="4"/>
        <v>5919.333333333333</v>
      </c>
      <c r="R25" s="294"/>
      <c r="S25" s="49"/>
      <c r="T25" s="49"/>
      <c r="U25" s="49"/>
      <c r="V25" s="49"/>
      <c r="W25" s="49"/>
      <c r="X25" s="49"/>
      <c r="Y25" s="49" t="s">
        <v>26</v>
      </c>
      <c r="Z25" s="66">
        <v>3249.92</v>
      </c>
      <c r="AA25" s="280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M25" s="66"/>
      <c r="AP25" s="131"/>
      <c r="AQ25" s="111"/>
    </row>
    <row r="26" spans="1:43" ht="16" hidden="1" thickBot="1" x14ac:dyDescent="0.4">
      <c r="A26" s="66"/>
      <c r="B26" s="66"/>
      <c r="C26" s="49"/>
      <c r="D26" s="49"/>
      <c r="E26" s="49"/>
      <c r="F26" s="49"/>
      <c r="G26" s="49" t="s">
        <v>27</v>
      </c>
      <c r="H26" s="63">
        <v>1085.02</v>
      </c>
      <c r="I26" s="63">
        <v>0</v>
      </c>
      <c r="J26" s="64">
        <v>3255.06</v>
      </c>
      <c r="K26" s="64">
        <v>0</v>
      </c>
      <c r="L26" s="65">
        <v>1302</v>
      </c>
      <c r="M26" s="65">
        <v>0</v>
      </c>
      <c r="N26" s="66">
        <f t="shared" si="8"/>
        <v>5642.08</v>
      </c>
      <c r="O26" s="66">
        <f t="shared" si="8"/>
        <v>0</v>
      </c>
      <c r="P26" s="69">
        <f t="shared" si="4"/>
        <v>1880.6933333333334</v>
      </c>
      <c r="Q26" s="69">
        <f t="shared" si="4"/>
        <v>0</v>
      </c>
      <c r="R26" s="294"/>
      <c r="S26" s="49"/>
      <c r="T26" s="49"/>
      <c r="U26" s="49"/>
      <c r="V26" s="49"/>
      <c r="W26" s="49"/>
      <c r="X26" s="49"/>
      <c r="Y26" s="49" t="s">
        <v>27</v>
      </c>
      <c r="Z26" s="66">
        <v>0</v>
      </c>
      <c r="AA26" s="280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M26" s="66"/>
      <c r="AP26" s="131"/>
      <c r="AQ26" s="111"/>
    </row>
    <row r="27" spans="1:43" ht="16" hidden="1" thickBot="1" x14ac:dyDescent="0.4">
      <c r="A27" s="66"/>
      <c r="B27" s="66"/>
      <c r="C27" s="49"/>
      <c r="D27" s="49"/>
      <c r="E27" s="49"/>
      <c r="F27" s="49"/>
      <c r="G27" s="49" t="s">
        <v>28</v>
      </c>
      <c r="H27" s="63">
        <v>8761.17</v>
      </c>
      <c r="I27" s="63">
        <v>8970</v>
      </c>
      <c r="J27" s="64">
        <v>11868</v>
      </c>
      <c r="K27" s="64">
        <v>0</v>
      </c>
      <c r="L27" s="65">
        <v>8318</v>
      </c>
      <c r="M27" s="65">
        <v>14599</v>
      </c>
      <c r="N27" s="66">
        <f t="shared" si="8"/>
        <v>28947.17</v>
      </c>
      <c r="O27" s="66">
        <f t="shared" si="8"/>
        <v>23569</v>
      </c>
      <c r="P27" s="69">
        <f t="shared" si="4"/>
        <v>9649.0566666666655</v>
      </c>
      <c r="Q27" s="69">
        <f t="shared" si="4"/>
        <v>7856.333333333333</v>
      </c>
      <c r="R27" s="294"/>
      <c r="S27" s="49"/>
      <c r="T27" s="49"/>
      <c r="U27" s="49"/>
      <c r="V27" s="49"/>
      <c r="W27" s="49"/>
      <c r="X27" s="49"/>
      <c r="Y27" s="49" t="s">
        <v>28</v>
      </c>
      <c r="Z27" s="66">
        <v>15886.42</v>
      </c>
      <c r="AA27" s="280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M27" s="66"/>
      <c r="AP27" s="131"/>
      <c r="AQ27" s="111"/>
    </row>
    <row r="28" spans="1:43" ht="16" hidden="1" thickBot="1" x14ac:dyDescent="0.4">
      <c r="A28" s="66"/>
      <c r="B28" s="66"/>
      <c r="C28" s="49"/>
      <c r="D28" s="49"/>
      <c r="E28" s="49"/>
      <c r="F28" s="49"/>
      <c r="G28" s="49" t="s">
        <v>29</v>
      </c>
      <c r="H28" s="63">
        <v>4830</v>
      </c>
      <c r="I28" s="63">
        <v>1794</v>
      </c>
      <c r="J28" s="64">
        <v>827.99</v>
      </c>
      <c r="K28" s="64">
        <v>0</v>
      </c>
      <c r="L28" s="65">
        <v>734</v>
      </c>
      <c r="M28" s="65">
        <v>4064</v>
      </c>
      <c r="N28" s="66">
        <f t="shared" si="8"/>
        <v>6391.99</v>
      </c>
      <c r="O28" s="66">
        <f t="shared" si="8"/>
        <v>5858</v>
      </c>
      <c r="P28" s="69">
        <f t="shared" si="4"/>
        <v>2130.6633333333334</v>
      </c>
      <c r="Q28" s="69">
        <f t="shared" si="4"/>
        <v>1952.6666666666667</v>
      </c>
      <c r="R28" s="294"/>
      <c r="S28" s="49"/>
      <c r="T28" s="49"/>
      <c r="U28" s="49"/>
      <c r="V28" s="49"/>
      <c r="W28" s="49"/>
      <c r="X28" s="49"/>
      <c r="Y28" s="49" t="s">
        <v>29</v>
      </c>
      <c r="Z28" s="66">
        <v>645.87</v>
      </c>
      <c r="AA28" s="280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M28" s="66"/>
      <c r="AP28" s="131"/>
      <c r="AQ28" s="111"/>
    </row>
    <row r="29" spans="1:43" ht="16" hidden="1" thickBot="1" x14ac:dyDescent="0.4">
      <c r="A29" s="66"/>
      <c r="B29" s="66"/>
      <c r="C29" s="49"/>
      <c r="D29" s="49"/>
      <c r="E29" s="49"/>
      <c r="F29" s="49"/>
      <c r="G29" s="49" t="s">
        <v>30</v>
      </c>
      <c r="H29" s="63">
        <v>8392.76</v>
      </c>
      <c r="I29" s="63">
        <v>22568</v>
      </c>
      <c r="J29" s="64">
        <v>8680.0300000000007</v>
      </c>
      <c r="K29" s="64">
        <v>31248</v>
      </c>
      <c r="L29" s="65">
        <v>16885.09</v>
      </c>
      <c r="M29" s="65">
        <v>12992</v>
      </c>
      <c r="N29" s="66">
        <f t="shared" si="8"/>
        <v>33957.879999999997</v>
      </c>
      <c r="O29" s="66">
        <f t="shared" si="8"/>
        <v>66808</v>
      </c>
      <c r="P29" s="69">
        <f t="shared" si="4"/>
        <v>11319.293333333333</v>
      </c>
      <c r="Q29" s="69">
        <f t="shared" si="4"/>
        <v>22269.333333333332</v>
      </c>
      <c r="R29" s="294"/>
      <c r="S29" s="49"/>
      <c r="T29" s="49"/>
      <c r="U29" s="49"/>
      <c r="V29" s="49"/>
      <c r="W29" s="49"/>
      <c r="X29" s="49"/>
      <c r="Y29" s="49" t="s">
        <v>30</v>
      </c>
      <c r="Z29" s="66">
        <v>11171.61</v>
      </c>
      <c r="AA29" s="280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M29" s="66"/>
      <c r="AP29" s="131"/>
      <c r="AQ29" s="111"/>
    </row>
    <row r="30" spans="1:43" ht="16" hidden="1" thickBot="1" x14ac:dyDescent="0.4">
      <c r="A30" s="66"/>
      <c r="B30" s="66"/>
      <c r="C30" s="49"/>
      <c r="D30" s="49"/>
      <c r="E30" s="49"/>
      <c r="F30" s="49"/>
      <c r="G30" s="49" t="s">
        <v>31</v>
      </c>
      <c r="H30" s="63">
        <v>21528.44</v>
      </c>
      <c r="I30" s="63">
        <v>5642</v>
      </c>
      <c r="J30" s="64">
        <v>6510</v>
      </c>
      <c r="K30" s="64">
        <v>18228</v>
      </c>
      <c r="L30" s="65">
        <v>15979.04</v>
      </c>
      <c r="M30" s="65">
        <v>25984</v>
      </c>
      <c r="N30" s="66">
        <f t="shared" si="8"/>
        <v>44017.48</v>
      </c>
      <c r="O30" s="66">
        <f t="shared" si="8"/>
        <v>49854</v>
      </c>
      <c r="P30" s="69">
        <f t="shared" si="4"/>
        <v>14672.493333333334</v>
      </c>
      <c r="Q30" s="69">
        <f t="shared" si="4"/>
        <v>16618</v>
      </c>
      <c r="R30" s="294"/>
      <c r="S30" s="49"/>
      <c r="T30" s="49"/>
      <c r="U30" s="49"/>
      <c r="V30" s="49"/>
      <c r="W30" s="49"/>
      <c r="X30" s="49"/>
      <c r="Y30" s="49" t="s">
        <v>31</v>
      </c>
      <c r="Z30" s="66">
        <v>10562.25</v>
      </c>
      <c r="AA30" s="280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M30" s="66"/>
      <c r="AP30" s="131"/>
      <c r="AQ30" s="111"/>
    </row>
    <row r="31" spans="1:43" ht="16" hidden="1" thickBot="1" x14ac:dyDescent="0.4">
      <c r="A31" s="66"/>
      <c r="B31" s="66"/>
      <c r="C31" s="49"/>
      <c r="D31" s="49"/>
      <c r="E31" s="49"/>
      <c r="F31" s="49"/>
      <c r="G31" s="49" t="s">
        <v>32</v>
      </c>
      <c r="H31" s="63">
        <v>4941.8100000000004</v>
      </c>
      <c r="I31" s="63">
        <v>5642</v>
      </c>
      <c r="J31" s="64">
        <v>24087</v>
      </c>
      <c r="K31" s="64">
        <v>5208</v>
      </c>
      <c r="L31" s="65">
        <v>35550</v>
      </c>
      <c r="M31" s="65">
        <v>16240</v>
      </c>
      <c r="N31" s="66">
        <f t="shared" si="8"/>
        <v>64578.81</v>
      </c>
      <c r="O31" s="66">
        <f t="shared" si="8"/>
        <v>27090</v>
      </c>
      <c r="P31" s="69">
        <f t="shared" si="4"/>
        <v>21526.27</v>
      </c>
      <c r="Q31" s="69">
        <f t="shared" si="4"/>
        <v>9030</v>
      </c>
      <c r="R31" s="294"/>
      <c r="S31" s="49"/>
      <c r="T31" s="49"/>
      <c r="U31" s="49"/>
      <c r="V31" s="49"/>
      <c r="W31" s="49"/>
      <c r="X31" s="49"/>
      <c r="Y31" s="49" t="s">
        <v>32</v>
      </c>
      <c r="Z31" s="66">
        <v>42248.99</v>
      </c>
      <c r="AA31" s="280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M31" s="66"/>
      <c r="AP31" s="131"/>
      <c r="AQ31" s="111"/>
    </row>
    <row r="32" spans="1:43" ht="16" hidden="1" thickBot="1" x14ac:dyDescent="0.4">
      <c r="A32" s="66"/>
      <c r="B32" s="66"/>
      <c r="C32" s="49"/>
      <c r="D32" s="49"/>
      <c r="E32" s="49"/>
      <c r="F32" s="49"/>
      <c r="G32" s="49" t="s">
        <v>33</v>
      </c>
      <c r="H32" s="63">
        <v>0</v>
      </c>
      <c r="I32" s="63">
        <v>0</v>
      </c>
      <c r="J32" s="64">
        <v>7378.07</v>
      </c>
      <c r="K32" s="64">
        <v>0</v>
      </c>
      <c r="L32" s="65">
        <v>7422.09</v>
      </c>
      <c r="M32" s="65">
        <v>0</v>
      </c>
      <c r="N32" s="66">
        <f t="shared" si="8"/>
        <v>14800.16</v>
      </c>
      <c r="O32" s="66">
        <f t="shared" si="8"/>
        <v>0</v>
      </c>
      <c r="P32" s="69">
        <f t="shared" si="4"/>
        <v>4933.3866666666663</v>
      </c>
      <c r="Q32" s="69">
        <f t="shared" si="4"/>
        <v>0</v>
      </c>
      <c r="R32" s="294"/>
      <c r="S32" s="49"/>
      <c r="T32" s="49"/>
      <c r="U32" s="49"/>
      <c r="V32" s="49"/>
      <c r="W32" s="49"/>
      <c r="X32" s="49"/>
      <c r="Y32" s="49" t="s">
        <v>33</v>
      </c>
      <c r="Z32" s="66">
        <v>0</v>
      </c>
      <c r="AA32" s="280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M32" s="66"/>
      <c r="AP32" s="131"/>
      <c r="AQ32" s="111"/>
    </row>
    <row r="33" spans="1:43" ht="16" hidden="1" thickBot="1" x14ac:dyDescent="0.4">
      <c r="A33" s="66"/>
      <c r="B33" s="66"/>
      <c r="C33" s="49"/>
      <c r="D33" s="49"/>
      <c r="E33" s="49"/>
      <c r="F33" s="49"/>
      <c r="G33" s="49" t="s">
        <v>34</v>
      </c>
      <c r="H33" s="63">
        <v>638.11</v>
      </c>
      <c r="I33" s="63">
        <v>14105</v>
      </c>
      <c r="J33" s="64">
        <v>966</v>
      </c>
      <c r="K33" s="64">
        <v>5208</v>
      </c>
      <c r="L33" s="65">
        <v>0</v>
      </c>
      <c r="M33" s="65">
        <v>3248</v>
      </c>
      <c r="N33" s="66">
        <f t="shared" si="8"/>
        <v>1604.11</v>
      </c>
      <c r="O33" s="66">
        <f t="shared" si="8"/>
        <v>22561</v>
      </c>
      <c r="P33" s="69">
        <f t="shared" si="4"/>
        <v>534.70333333333326</v>
      </c>
      <c r="Q33" s="69">
        <f t="shared" si="4"/>
        <v>7520.333333333333</v>
      </c>
      <c r="R33" s="294"/>
      <c r="S33" s="49"/>
      <c r="T33" s="49"/>
      <c r="U33" s="49"/>
      <c r="V33" s="49"/>
      <c r="W33" s="49"/>
      <c r="X33" s="49"/>
      <c r="Y33" s="49" t="s">
        <v>34</v>
      </c>
      <c r="Z33" s="66">
        <v>1033.3900000000001</v>
      </c>
      <c r="AA33" s="280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M33" s="66"/>
      <c r="AP33" s="131"/>
      <c r="AQ33" s="111"/>
    </row>
    <row r="34" spans="1:43" ht="16" hidden="1" thickBot="1" x14ac:dyDescent="0.4">
      <c r="A34" s="66"/>
      <c r="B34" s="66"/>
      <c r="C34" s="49"/>
      <c r="D34" s="49"/>
      <c r="E34" s="49"/>
      <c r="F34" s="49"/>
      <c r="G34" s="49" t="s">
        <v>35</v>
      </c>
      <c r="H34" s="63">
        <v>0</v>
      </c>
      <c r="I34" s="63">
        <v>5382</v>
      </c>
      <c r="J34" s="64">
        <v>1104</v>
      </c>
      <c r="K34" s="64">
        <v>1656</v>
      </c>
      <c r="L34" s="65">
        <v>0</v>
      </c>
      <c r="M34" s="65">
        <v>0</v>
      </c>
      <c r="N34" s="66">
        <f t="shared" si="8"/>
        <v>1104</v>
      </c>
      <c r="O34" s="66">
        <f t="shared" si="8"/>
        <v>7038</v>
      </c>
      <c r="P34" s="69">
        <f t="shared" si="4"/>
        <v>368</v>
      </c>
      <c r="Q34" s="69">
        <f t="shared" si="4"/>
        <v>2346</v>
      </c>
      <c r="R34" s="294"/>
      <c r="S34" s="49"/>
      <c r="T34" s="49"/>
      <c r="U34" s="49"/>
      <c r="V34" s="49"/>
      <c r="W34" s="49"/>
      <c r="X34" s="49"/>
      <c r="Y34" s="49" t="s">
        <v>35</v>
      </c>
      <c r="Z34" s="66">
        <v>1503.28</v>
      </c>
      <c r="AA34" s="280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M34" s="66"/>
      <c r="AP34" s="131"/>
      <c r="AQ34" s="111"/>
    </row>
    <row r="35" spans="1:43" ht="16" hidden="1" thickBot="1" x14ac:dyDescent="0.4">
      <c r="A35" s="66"/>
      <c r="B35" s="66"/>
      <c r="C35" s="49"/>
      <c r="D35" s="49"/>
      <c r="E35" s="49"/>
      <c r="F35" s="49"/>
      <c r="G35" s="49" t="s">
        <v>36</v>
      </c>
      <c r="H35" s="63">
        <v>0</v>
      </c>
      <c r="I35" s="63">
        <v>5382</v>
      </c>
      <c r="J35" s="64">
        <v>0</v>
      </c>
      <c r="K35" s="64">
        <v>6624</v>
      </c>
      <c r="L35" s="65">
        <v>0</v>
      </c>
      <c r="M35" s="65">
        <v>3248</v>
      </c>
      <c r="N35" s="66">
        <f t="shared" si="8"/>
        <v>0</v>
      </c>
      <c r="O35" s="66">
        <f t="shared" si="8"/>
        <v>15254</v>
      </c>
      <c r="P35" s="69">
        <f t="shared" si="4"/>
        <v>0</v>
      </c>
      <c r="Q35" s="69">
        <f t="shared" si="4"/>
        <v>5084.666666666667</v>
      </c>
      <c r="R35" s="294"/>
      <c r="S35" s="49"/>
      <c r="T35" s="49"/>
      <c r="U35" s="49"/>
      <c r="V35" s="49"/>
      <c r="W35" s="49"/>
      <c r="X35" s="49"/>
      <c r="Y35" s="49" t="s">
        <v>36</v>
      </c>
      <c r="Z35" s="66">
        <v>1015.6</v>
      </c>
      <c r="AA35" s="280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M35" s="66"/>
      <c r="AP35" s="131"/>
      <c r="AQ35" s="111"/>
    </row>
    <row r="36" spans="1:43" ht="16" hidden="1" thickBot="1" x14ac:dyDescent="0.4">
      <c r="A36" s="66"/>
      <c r="B36" s="66"/>
      <c r="C36" s="49"/>
      <c r="D36" s="49"/>
      <c r="E36" s="49"/>
      <c r="F36" s="49"/>
      <c r="G36" s="49" t="s">
        <v>37</v>
      </c>
      <c r="H36" s="63">
        <v>0</v>
      </c>
      <c r="I36" s="63">
        <v>0</v>
      </c>
      <c r="J36" s="64">
        <v>3449.96</v>
      </c>
      <c r="K36" s="64">
        <v>0</v>
      </c>
      <c r="L36" s="65">
        <v>2113.96</v>
      </c>
      <c r="M36" s="65">
        <v>0</v>
      </c>
      <c r="N36" s="66">
        <f>ROUND(H36+J36+L36,5)</f>
        <v>5563.92</v>
      </c>
      <c r="O36" s="66">
        <v>0</v>
      </c>
      <c r="P36" s="69">
        <f t="shared" si="4"/>
        <v>1854.64</v>
      </c>
      <c r="Q36" s="69">
        <f t="shared" si="4"/>
        <v>0</v>
      </c>
      <c r="R36" s="294"/>
      <c r="S36" s="49"/>
      <c r="T36" s="49"/>
      <c r="U36" s="49"/>
      <c r="V36" s="49"/>
      <c r="W36" s="49"/>
      <c r="X36" s="49"/>
      <c r="Y36" s="49" t="s">
        <v>37</v>
      </c>
      <c r="Z36" s="66">
        <v>3858.35</v>
      </c>
      <c r="AA36" s="280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M36" s="66"/>
      <c r="AP36" s="131"/>
      <c r="AQ36" s="111"/>
    </row>
    <row r="37" spans="1:43" ht="16" hidden="1" thickBot="1" x14ac:dyDescent="0.4">
      <c r="A37" s="66"/>
      <c r="B37" s="66"/>
      <c r="C37" s="49"/>
      <c r="D37" s="49"/>
      <c r="E37" s="49"/>
      <c r="F37" s="49"/>
      <c r="G37" s="49" t="s">
        <v>38</v>
      </c>
      <c r="H37" s="63">
        <v>0</v>
      </c>
      <c r="I37" s="63">
        <v>0</v>
      </c>
      <c r="J37" s="64">
        <v>0</v>
      </c>
      <c r="K37" s="64">
        <v>0</v>
      </c>
      <c r="L37" s="65">
        <v>0</v>
      </c>
      <c r="M37" s="65">
        <v>0</v>
      </c>
      <c r="N37" s="66">
        <f>ROUND(H37+J37+L37,5)</f>
        <v>0</v>
      </c>
      <c r="O37" s="66">
        <f>ROUND(I37+K37+M37,5)</f>
        <v>0</v>
      </c>
      <c r="P37" s="69">
        <f t="shared" si="4"/>
        <v>0</v>
      </c>
      <c r="Q37" s="69">
        <f t="shared" si="4"/>
        <v>0</v>
      </c>
      <c r="R37" s="294"/>
      <c r="S37" s="49"/>
      <c r="T37" s="49"/>
      <c r="U37" s="49"/>
      <c r="V37" s="49"/>
      <c r="W37" s="49"/>
      <c r="X37" s="49"/>
      <c r="Y37" s="49" t="s">
        <v>38</v>
      </c>
      <c r="Z37" s="66">
        <v>262.08999999999997</v>
      </c>
      <c r="AA37" s="280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M37" s="66"/>
      <c r="AP37" s="131"/>
      <c r="AQ37" s="111"/>
    </row>
    <row r="38" spans="1:43" ht="16" hidden="1" thickBot="1" x14ac:dyDescent="0.4">
      <c r="A38" s="66"/>
      <c r="B38" s="66"/>
      <c r="C38" s="49"/>
      <c r="D38" s="49"/>
      <c r="E38" s="49"/>
      <c r="F38" s="49"/>
      <c r="G38" s="49" t="s">
        <v>39</v>
      </c>
      <c r="H38" s="70">
        <v>0</v>
      </c>
      <c r="I38" s="70">
        <v>0</v>
      </c>
      <c r="J38" s="71">
        <v>0</v>
      </c>
      <c r="K38" s="71">
        <v>0</v>
      </c>
      <c r="L38" s="72">
        <v>0</v>
      </c>
      <c r="M38" s="72">
        <v>0</v>
      </c>
      <c r="N38" s="73">
        <f>ROUND(H38+J38+L38,5)</f>
        <v>0</v>
      </c>
      <c r="O38" s="73">
        <f>ROUND(I38+K38+M38,5)</f>
        <v>0</v>
      </c>
      <c r="P38" s="74">
        <f t="shared" si="4"/>
        <v>0</v>
      </c>
      <c r="Q38" s="74">
        <f t="shared" si="4"/>
        <v>0</v>
      </c>
      <c r="R38" s="294"/>
      <c r="S38" s="49"/>
      <c r="T38" s="49"/>
      <c r="U38" s="49"/>
      <c r="V38" s="49"/>
      <c r="W38" s="49"/>
      <c r="X38" s="49"/>
      <c r="Y38" s="49" t="s">
        <v>39</v>
      </c>
      <c r="Z38" s="73">
        <v>262.08999999999997</v>
      </c>
      <c r="AA38" s="280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M38" s="73"/>
      <c r="AP38" s="131"/>
      <c r="AQ38" s="111"/>
    </row>
    <row r="39" spans="1:43" ht="16" hidden="1" thickBot="1" x14ac:dyDescent="0.4">
      <c r="A39" s="66"/>
      <c r="B39" s="66"/>
      <c r="C39" s="49"/>
      <c r="D39" s="49"/>
      <c r="E39" s="49"/>
      <c r="F39" s="49" t="s">
        <v>40</v>
      </c>
      <c r="G39" s="49"/>
      <c r="H39" s="63">
        <f t="shared" ref="H39:M39" si="9">ROUND(SUM(H16:H38),5)</f>
        <v>125929.22</v>
      </c>
      <c r="I39" s="63">
        <f t="shared" si="9"/>
        <v>120263</v>
      </c>
      <c r="J39" s="64">
        <f t="shared" si="9"/>
        <v>136830.26</v>
      </c>
      <c r="K39" s="64">
        <f t="shared" si="9"/>
        <v>203448</v>
      </c>
      <c r="L39" s="65">
        <f t="shared" si="9"/>
        <v>177591.3</v>
      </c>
      <c r="M39" s="65">
        <f t="shared" si="9"/>
        <v>186903</v>
      </c>
      <c r="N39" s="66">
        <f>ROUND(H39+J39+L39,5)</f>
        <v>440350.78</v>
      </c>
      <c r="O39" s="66">
        <f>ROUND(I39+K39+M39,5)</f>
        <v>510614</v>
      </c>
      <c r="P39" s="69">
        <f t="shared" si="4"/>
        <v>146783.59333333335</v>
      </c>
      <c r="Q39" s="69">
        <f t="shared" si="4"/>
        <v>170204.66666666666</v>
      </c>
      <c r="R39" s="294"/>
      <c r="S39" s="49"/>
      <c r="T39" s="49"/>
      <c r="U39" s="49"/>
      <c r="V39" s="49"/>
      <c r="W39" s="49"/>
      <c r="X39" s="49" t="s">
        <v>40</v>
      </c>
      <c r="Y39" s="49"/>
      <c r="Z39" s="66">
        <f>ROUND(SUM(Z16:Z38),5)</f>
        <v>190801.85</v>
      </c>
      <c r="AA39" s="280"/>
      <c r="AB39" s="66">
        <f t="shared" ref="AB39:AK39" si="10">ROUND(SUM(AB16:AB38),5)</f>
        <v>0</v>
      </c>
      <c r="AC39" s="66">
        <f t="shared" si="10"/>
        <v>0</v>
      </c>
      <c r="AD39" s="66">
        <f t="shared" si="10"/>
        <v>0</v>
      </c>
      <c r="AE39" s="66">
        <f t="shared" si="10"/>
        <v>0</v>
      </c>
      <c r="AF39" s="66">
        <f t="shared" si="10"/>
        <v>0</v>
      </c>
      <c r="AG39" s="66">
        <f t="shared" si="10"/>
        <v>0</v>
      </c>
      <c r="AH39" s="66">
        <f t="shared" si="10"/>
        <v>0</v>
      </c>
      <c r="AI39" s="66">
        <f t="shared" si="10"/>
        <v>0</v>
      </c>
      <c r="AJ39" s="66">
        <f t="shared" si="10"/>
        <v>0</v>
      </c>
      <c r="AK39" s="66">
        <f t="shared" si="10"/>
        <v>0</v>
      </c>
      <c r="AM39" s="66">
        <f t="shared" ref="AM39" si="11">ROUND(SUM(AM16:AM38),5)</f>
        <v>0</v>
      </c>
      <c r="AP39" s="131"/>
      <c r="AQ39" s="111"/>
    </row>
    <row r="40" spans="1:43" ht="16" hidden="1" thickBot="1" x14ac:dyDescent="0.4">
      <c r="A40" s="66"/>
      <c r="B40" s="66"/>
      <c r="C40" s="49"/>
      <c r="D40" s="49"/>
      <c r="E40" s="49"/>
      <c r="F40" s="49" t="s">
        <v>41</v>
      </c>
      <c r="G40" s="49"/>
      <c r="H40" s="63"/>
      <c r="I40" s="63"/>
      <c r="J40" s="64"/>
      <c r="K40" s="64"/>
      <c r="L40" s="65"/>
      <c r="M40" s="65"/>
      <c r="N40" s="66"/>
      <c r="O40" s="66"/>
      <c r="P40" s="69"/>
      <c r="Q40" s="69"/>
      <c r="R40" s="294"/>
      <c r="S40" s="49"/>
      <c r="T40" s="49"/>
      <c r="U40" s="49"/>
      <c r="V40" s="49"/>
      <c r="W40" s="49"/>
      <c r="X40" s="49" t="s">
        <v>41</v>
      </c>
      <c r="Y40" s="49"/>
      <c r="Z40" s="66"/>
      <c r="AA40" s="280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M40" s="66"/>
      <c r="AP40" s="131"/>
      <c r="AQ40" s="111"/>
    </row>
    <row r="41" spans="1:43" ht="16" hidden="1" thickBot="1" x14ac:dyDescent="0.4">
      <c r="A41" s="66"/>
      <c r="B41" s="66"/>
      <c r="C41" s="49"/>
      <c r="D41" s="49"/>
      <c r="E41" s="49"/>
      <c r="F41" s="49"/>
      <c r="G41" s="49" t="s">
        <v>42</v>
      </c>
      <c r="H41" s="63">
        <v>2498.6</v>
      </c>
      <c r="I41" s="63">
        <v>22568</v>
      </c>
      <c r="J41" s="64">
        <v>9765</v>
      </c>
      <c r="K41" s="64">
        <v>15624</v>
      </c>
      <c r="L41" s="65">
        <v>4818</v>
      </c>
      <c r="M41" s="65">
        <v>6496</v>
      </c>
      <c r="N41" s="66">
        <f t="shared" ref="N41:O45" si="12">ROUND(H41+J41+L41,5)</f>
        <v>17081.599999999999</v>
      </c>
      <c r="O41" s="66">
        <f t="shared" si="12"/>
        <v>44688</v>
      </c>
      <c r="P41" s="69">
        <f t="shared" si="4"/>
        <v>5693.8666666666659</v>
      </c>
      <c r="Q41" s="69">
        <f t="shared" si="4"/>
        <v>14896</v>
      </c>
      <c r="R41" s="294"/>
      <c r="S41" s="49"/>
      <c r="T41" s="49"/>
      <c r="U41" s="49"/>
      <c r="V41" s="49"/>
      <c r="W41" s="49"/>
      <c r="X41" s="49"/>
      <c r="Y41" s="49" t="s">
        <v>42</v>
      </c>
      <c r="Z41" s="66">
        <v>11780.97</v>
      </c>
      <c r="AA41" s="280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M41" s="66"/>
      <c r="AP41" s="131"/>
      <c r="AQ41" s="111"/>
    </row>
    <row r="42" spans="1:43" ht="16" hidden="1" thickBot="1" x14ac:dyDescent="0.4">
      <c r="A42" s="66"/>
      <c r="B42" s="66"/>
      <c r="C42" s="49"/>
      <c r="D42" s="49"/>
      <c r="E42" s="49"/>
      <c r="F42" s="49"/>
      <c r="G42" s="49" t="s">
        <v>43</v>
      </c>
      <c r="H42" s="63">
        <v>0</v>
      </c>
      <c r="I42" s="63">
        <v>0</v>
      </c>
      <c r="J42" s="64">
        <v>0</v>
      </c>
      <c r="K42" s="64"/>
      <c r="L42" s="65">
        <v>1953.03</v>
      </c>
      <c r="M42" s="65"/>
      <c r="N42" s="66">
        <f t="shared" si="12"/>
        <v>1953.03</v>
      </c>
      <c r="O42" s="66">
        <f t="shared" si="12"/>
        <v>0</v>
      </c>
      <c r="P42" s="69">
        <f t="shared" si="4"/>
        <v>651.01</v>
      </c>
      <c r="Q42" s="69">
        <f t="shared" si="4"/>
        <v>0</v>
      </c>
      <c r="R42" s="294"/>
      <c r="S42" s="49"/>
      <c r="T42" s="49"/>
      <c r="U42" s="49"/>
      <c r="V42" s="49"/>
      <c r="W42" s="49"/>
      <c r="X42" s="49"/>
      <c r="Y42" s="49" t="s">
        <v>43</v>
      </c>
      <c r="Z42" s="66">
        <v>0</v>
      </c>
      <c r="AA42" s="280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M42" s="66"/>
      <c r="AP42" s="131"/>
      <c r="AQ42" s="111"/>
    </row>
    <row r="43" spans="1:43" ht="16" hidden="1" thickBot="1" x14ac:dyDescent="0.4">
      <c r="A43" s="66"/>
      <c r="B43" s="66"/>
      <c r="C43" s="49"/>
      <c r="D43" s="49"/>
      <c r="E43" s="49"/>
      <c r="F43" s="49"/>
      <c r="G43" s="49" t="s">
        <v>44</v>
      </c>
      <c r="H43" s="63">
        <v>3420</v>
      </c>
      <c r="I43" s="63">
        <v>5382</v>
      </c>
      <c r="J43" s="64">
        <v>690</v>
      </c>
      <c r="K43" s="64">
        <v>6624</v>
      </c>
      <c r="L43" s="65">
        <v>2527.98</v>
      </c>
      <c r="M43" s="65">
        <v>4214</v>
      </c>
      <c r="N43" s="66">
        <f t="shared" si="12"/>
        <v>6637.98</v>
      </c>
      <c r="O43" s="66">
        <f t="shared" si="12"/>
        <v>16220</v>
      </c>
      <c r="P43" s="69">
        <f t="shared" si="4"/>
        <v>2212.66</v>
      </c>
      <c r="Q43" s="69">
        <f t="shared" si="4"/>
        <v>5406.666666666667</v>
      </c>
      <c r="R43" s="294"/>
      <c r="S43" s="49"/>
      <c r="T43" s="49"/>
      <c r="U43" s="49"/>
      <c r="V43" s="49"/>
      <c r="W43" s="49"/>
      <c r="X43" s="49"/>
      <c r="Y43" s="49" t="s">
        <v>44</v>
      </c>
      <c r="Z43" s="66">
        <v>1203.74</v>
      </c>
      <c r="AA43" s="280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M43" s="66"/>
      <c r="AP43" s="131"/>
      <c r="AQ43" s="111"/>
    </row>
    <row r="44" spans="1:43" ht="16" hidden="1" thickBot="1" x14ac:dyDescent="0.4">
      <c r="A44" s="66"/>
      <c r="B44" s="66"/>
      <c r="C44" s="49"/>
      <c r="D44" s="49"/>
      <c r="E44" s="49"/>
      <c r="F44" s="49"/>
      <c r="G44" s="49" t="s">
        <v>45</v>
      </c>
      <c r="H44" s="70">
        <v>0</v>
      </c>
      <c r="I44" s="70"/>
      <c r="J44" s="71">
        <v>0</v>
      </c>
      <c r="K44" s="71"/>
      <c r="L44" s="72">
        <v>0</v>
      </c>
      <c r="M44" s="72">
        <v>0</v>
      </c>
      <c r="N44" s="73">
        <f t="shared" si="12"/>
        <v>0</v>
      </c>
      <c r="O44" s="73">
        <f t="shared" si="12"/>
        <v>0</v>
      </c>
      <c r="P44" s="74">
        <f t="shared" si="4"/>
        <v>0</v>
      </c>
      <c r="Q44" s="74">
        <f t="shared" si="4"/>
        <v>0</v>
      </c>
      <c r="R44" s="294"/>
      <c r="S44" s="49"/>
      <c r="T44" s="49"/>
      <c r="U44" s="49"/>
      <c r="V44" s="49"/>
      <c r="W44" s="49"/>
      <c r="X44" s="49"/>
      <c r="Y44" s="49" t="s">
        <v>45</v>
      </c>
      <c r="Z44" s="73">
        <v>1421.84</v>
      </c>
      <c r="AA44" s="280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M44" s="73"/>
      <c r="AP44" s="131"/>
      <c r="AQ44" s="111"/>
    </row>
    <row r="45" spans="1:43" ht="16" hidden="1" thickBot="1" x14ac:dyDescent="0.4">
      <c r="A45" s="66"/>
      <c r="B45" s="66"/>
      <c r="C45" s="49"/>
      <c r="D45" s="49"/>
      <c r="E45" s="49"/>
      <c r="F45" s="49" t="s">
        <v>46</v>
      </c>
      <c r="G45" s="49"/>
      <c r="H45" s="63">
        <f t="shared" ref="H45:M45" si="13">ROUND(SUM(H40:H44),5)</f>
        <v>5918.6</v>
      </c>
      <c r="I45" s="63">
        <f t="shared" si="13"/>
        <v>27950</v>
      </c>
      <c r="J45" s="64">
        <f t="shared" si="13"/>
        <v>10455</v>
      </c>
      <c r="K45" s="64">
        <f t="shared" si="13"/>
        <v>22248</v>
      </c>
      <c r="L45" s="65">
        <f t="shared" si="13"/>
        <v>9299.01</v>
      </c>
      <c r="M45" s="65">
        <f t="shared" si="13"/>
        <v>10710</v>
      </c>
      <c r="N45" s="66">
        <f t="shared" si="12"/>
        <v>25672.61</v>
      </c>
      <c r="O45" s="66">
        <f t="shared" si="12"/>
        <v>60908</v>
      </c>
      <c r="P45" s="69">
        <f t="shared" si="4"/>
        <v>8557.5366666666669</v>
      </c>
      <c r="Q45" s="69">
        <f t="shared" si="4"/>
        <v>20302.666666666668</v>
      </c>
      <c r="R45" s="294"/>
      <c r="S45" s="49"/>
      <c r="T45" s="49"/>
      <c r="U45" s="49"/>
      <c r="V45" s="49"/>
      <c r="W45" s="49"/>
      <c r="X45" s="49" t="s">
        <v>46</v>
      </c>
      <c r="Y45" s="49"/>
      <c r="Z45" s="66">
        <f>ROUND(SUM(Z40:Z44),5)</f>
        <v>14406.55</v>
      </c>
      <c r="AA45" s="280"/>
      <c r="AB45" s="66">
        <f t="shared" ref="AB45:AK45" si="14">ROUND(SUM(AB40:AB44),5)</f>
        <v>0</v>
      </c>
      <c r="AC45" s="66">
        <f t="shared" si="14"/>
        <v>0</v>
      </c>
      <c r="AD45" s="66">
        <f t="shared" si="14"/>
        <v>0</v>
      </c>
      <c r="AE45" s="66">
        <f t="shared" si="14"/>
        <v>0</v>
      </c>
      <c r="AF45" s="66">
        <f t="shared" si="14"/>
        <v>0</v>
      </c>
      <c r="AG45" s="66">
        <f t="shared" si="14"/>
        <v>0</v>
      </c>
      <c r="AH45" s="66">
        <f t="shared" si="14"/>
        <v>0</v>
      </c>
      <c r="AI45" s="66">
        <f t="shared" si="14"/>
        <v>0</v>
      </c>
      <c r="AJ45" s="66">
        <f t="shared" si="14"/>
        <v>0</v>
      </c>
      <c r="AK45" s="66">
        <f t="shared" si="14"/>
        <v>0</v>
      </c>
      <c r="AM45" s="66">
        <f t="shared" ref="AM45" si="15">ROUND(SUM(AM40:AM44),5)</f>
        <v>0</v>
      </c>
      <c r="AP45" s="131"/>
      <c r="AQ45" s="111"/>
    </row>
    <row r="46" spans="1:43" ht="16" hidden="1" thickBot="1" x14ac:dyDescent="0.4">
      <c r="A46" s="66"/>
      <c r="B46" s="66"/>
      <c r="C46" s="49"/>
      <c r="D46" s="49"/>
      <c r="E46" s="49"/>
      <c r="F46" s="49" t="s">
        <v>47</v>
      </c>
      <c r="G46" s="49"/>
      <c r="H46" s="63"/>
      <c r="I46" s="63"/>
      <c r="J46" s="64"/>
      <c r="K46" s="64"/>
      <c r="L46" s="65"/>
      <c r="M46" s="65"/>
      <c r="N46" s="66"/>
      <c r="O46" s="66"/>
      <c r="P46" s="69"/>
      <c r="Q46" s="69"/>
      <c r="R46" s="294"/>
      <c r="S46" s="49"/>
      <c r="T46" s="49"/>
      <c r="U46" s="49"/>
      <c r="V46" s="49"/>
      <c r="W46" s="49"/>
      <c r="X46" s="49" t="s">
        <v>47</v>
      </c>
      <c r="Y46" s="49"/>
      <c r="Z46" s="66"/>
      <c r="AA46" s="280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M46" s="66"/>
      <c r="AP46" s="131"/>
      <c r="AQ46" s="111"/>
    </row>
    <row r="47" spans="1:43" ht="16" hidden="1" thickBot="1" x14ac:dyDescent="0.4">
      <c r="A47" s="66"/>
      <c r="B47" s="66"/>
      <c r="C47" s="49"/>
      <c r="D47" s="49"/>
      <c r="E47" s="49"/>
      <c r="F47" s="49"/>
      <c r="G47" s="49" t="s">
        <v>48</v>
      </c>
      <c r="H47" s="63">
        <v>36766.120000000003</v>
      </c>
      <c r="I47" s="63">
        <v>16926</v>
      </c>
      <c r="J47" s="64">
        <v>30814</v>
      </c>
      <c r="K47" s="64">
        <v>23436</v>
      </c>
      <c r="L47" s="65">
        <v>19774</v>
      </c>
      <c r="M47" s="65">
        <v>31784</v>
      </c>
      <c r="N47" s="66">
        <f t="shared" ref="N47:O63" si="16">ROUND(H47+J47+L47,5)</f>
        <v>87354.12</v>
      </c>
      <c r="O47" s="66">
        <f t="shared" si="16"/>
        <v>72146</v>
      </c>
      <c r="P47" s="69">
        <f t="shared" si="4"/>
        <v>29118.039999999997</v>
      </c>
      <c r="Q47" s="69">
        <f t="shared" si="4"/>
        <v>24048.666666666668</v>
      </c>
      <c r="R47" s="294"/>
      <c r="S47" s="49"/>
      <c r="T47" s="49"/>
      <c r="U47" s="49"/>
      <c r="V47" s="49"/>
      <c r="W47" s="49"/>
      <c r="X47" s="49"/>
      <c r="Y47" s="49" t="s">
        <v>48</v>
      </c>
      <c r="Z47" s="66">
        <v>35342.9</v>
      </c>
      <c r="AA47" s="280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M47" s="66"/>
      <c r="AP47" s="131"/>
      <c r="AQ47" s="111"/>
    </row>
    <row r="48" spans="1:43" ht="16" hidden="1" thickBot="1" x14ac:dyDescent="0.4">
      <c r="A48" s="66"/>
      <c r="B48" s="66"/>
      <c r="C48" s="49"/>
      <c r="D48" s="49"/>
      <c r="E48" s="49"/>
      <c r="F48" s="49"/>
      <c r="G48" s="49" t="s">
        <v>49</v>
      </c>
      <c r="H48" s="63">
        <v>7526.63</v>
      </c>
      <c r="I48" s="63">
        <v>0</v>
      </c>
      <c r="J48" s="64">
        <v>1953.01</v>
      </c>
      <c r="K48" s="64">
        <v>10416</v>
      </c>
      <c r="L48" s="65">
        <v>3387.04</v>
      </c>
      <c r="M48" s="65">
        <v>12760</v>
      </c>
      <c r="N48" s="66">
        <f t="shared" si="16"/>
        <v>12866.68</v>
      </c>
      <c r="O48" s="66">
        <f t="shared" si="16"/>
        <v>23176</v>
      </c>
      <c r="P48" s="69">
        <f t="shared" si="4"/>
        <v>4288.8933333333334</v>
      </c>
      <c r="Q48" s="69">
        <f t="shared" si="4"/>
        <v>7725.333333333333</v>
      </c>
      <c r="R48" s="294"/>
      <c r="S48" s="49"/>
      <c r="T48" s="49"/>
      <c r="U48" s="49"/>
      <c r="V48" s="49"/>
      <c r="W48" s="49"/>
      <c r="X48" s="49"/>
      <c r="Y48" s="49" t="s">
        <v>49</v>
      </c>
      <c r="Z48" s="66">
        <v>3859.28</v>
      </c>
      <c r="AA48" s="280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M48" s="66"/>
      <c r="AP48" s="131"/>
      <c r="AQ48" s="111"/>
    </row>
    <row r="49" spans="1:43" ht="16" hidden="1" thickBot="1" x14ac:dyDescent="0.4">
      <c r="A49" s="66"/>
      <c r="B49" s="66"/>
      <c r="C49" s="49"/>
      <c r="D49" s="49"/>
      <c r="E49" s="49"/>
      <c r="F49" s="49"/>
      <c r="G49" s="49" t="s">
        <v>50</v>
      </c>
      <c r="H49" s="63">
        <v>552</v>
      </c>
      <c r="I49" s="63">
        <v>7176</v>
      </c>
      <c r="J49" s="64">
        <v>552</v>
      </c>
      <c r="K49" s="64">
        <v>8280</v>
      </c>
      <c r="L49" s="65">
        <v>0</v>
      </c>
      <c r="M49" s="65">
        <v>4214</v>
      </c>
      <c r="N49" s="66">
        <f t="shared" si="16"/>
        <v>1104</v>
      </c>
      <c r="O49" s="66">
        <f t="shared" si="16"/>
        <v>19670</v>
      </c>
      <c r="P49" s="69">
        <f t="shared" si="4"/>
        <v>368</v>
      </c>
      <c r="Q49" s="69">
        <f t="shared" si="4"/>
        <v>6556.666666666667</v>
      </c>
      <c r="R49" s="294"/>
      <c r="S49" s="49"/>
      <c r="T49" s="49"/>
      <c r="U49" s="49"/>
      <c r="V49" s="49"/>
      <c r="W49" s="49"/>
      <c r="X49" s="49"/>
      <c r="Y49" s="49" t="s">
        <v>50</v>
      </c>
      <c r="Z49" s="66">
        <v>645.87</v>
      </c>
      <c r="AA49" s="280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M49" s="66"/>
      <c r="AP49" s="131"/>
      <c r="AQ49" s="111"/>
    </row>
    <row r="50" spans="1:43" ht="16" hidden="1" thickBot="1" x14ac:dyDescent="0.4">
      <c r="A50" s="66"/>
      <c r="B50" s="66"/>
      <c r="C50" s="49"/>
      <c r="D50" s="49"/>
      <c r="E50" s="49"/>
      <c r="F50" s="49"/>
      <c r="G50" s="49" t="s">
        <v>51</v>
      </c>
      <c r="H50" s="63">
        <v>12424.55</v>
      </c>
      <c r="I50" s="63">
        <v>8970</v>
      </c>
      <c r="J50" s="64">
        <v>15594</v>
      </c>
      <c r="K50" s="64">
        <v>1656</v>
      </c>
      <c r="L50" s="65">
        <v>7334</v>
      </c>
      <c r="M50" s="65">
        <v>14599</v>
      </c>
      <c r="N50" s="66">
        <f t="shared" si="16"/>
        <v>35352.550000000003</v>
      </c>
      <c r="O50" s="66">
        <f t="shared" si="16"/>
        <v>25225</v>
      </c>
      <c r="P50" s="69">
        <f t="shared" si="4"/>
        <v>11784.183333333334</v>
      </c>
      <c r="Q50" s="69">
        <f t="shared" si="4"/>
        <v>8408.3333333333339</v>
      </c>
      <c r="R50" s="294"/>
      <c r="S50" s="49"/>
      <c r="T50" s="49"/>
      <c r="U50" s="49"/>
      <c r="V50" s="49"/>
      <c r="W50" s="49"/>
      <c r="X50" s="49"/>
      <c r="Y50" s="49" t="s">
        <v>51</v>
      </c>
      <c r="Z50" s="66">
        <v>18563.490000000002</v>
      </c>
      <c r="AA50" s="280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M50" s="66"/>
      <c r="AP50" s="131"/>
      <c r="AQ50" s="111"/>
    </row>
    <row r="51" spans="1:43" ht="16" hidden="1" thickBot="1" x14ac:dyDescent="0.4">
      <c r="A51" s="66"/>
      <c r="B51" s="66"/>
      <c r="C51" s="49"/>
      <c r="D51" s="49"/>
      <c r="E51" s="49"/>
      <c r="F51" s="49"/>
      <c r="G51" s="49" t="s">
        <v>52</v>
      </c>
      <c r="H51" s="63">
        <v>752.55</v>
      </c>
      <c r="I51" s="63"/>
      <c r="J51" s="64">
        <v>0</v>
      </c>
      <c r="K51" s="64"/>
      <c r="L51" s="65">
        <v>3132</v>
      </c>
      <c r="M51" s="65">
        <v>1190</v>
      </c>
      <c r="N51" s="66">
        <f t="shared" si="16"/>
        <v>3884.55</v>
      </c>
      <c r="O51" s="66">
        <f t="shared" si="16"/>
        <v>1190</v>
      </c>
      <c r="P51" s="69">
        <f t="shared" si="4"/>
        <v>1294.8500000000001</v>
      </c>
      <c r="Q51" s="69">
        <f t="shared" si="4"/>
        <v>396.66666666666669</v>
      </c>
      <c r="R51" s="294"/>
      <c r="S51" s="49"/>
      <c r="T51" s="49"/>
      <c r="U51" s="49"/>
      <c r="V51" s="49"/>
      <c r="W51" s="49"/>
      <c r="X51" s="49"/>
      <c r="Y51" s="49" t="s">
        <v>52</v>
      </c>
      <c r="Z51" s="66">
        <v>1015.6</v>
      </c>
      <c r="AA51" s="280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M51" s="66"/>
      <c r="AP51" s="131"/>
      <c r="AQ51" s="111"/>
    </row>
    <row r="52" spans="1:43" ht="16" hidden="1" thickBot="1" x14ac:dyDescent="0.4">
      <c r="A52" s="66"/>
      <c r="B52" s="66"/>
      <c r="C52" s="49"/>
      <c r="D52" s="49"/>
      <c r="E52" s="49"/>
      <c r="F52" s="49"/>
      <c r="G52" s="49" t="s">
        <v>53</v>
      </c>
      <c r="H52" s="63">
        <v>0</v>
      </c>
      <c r="I52" s="63">
        <v>4420</v>
      </c>
      <c r="J52" s="64">
        <v>3960</v>
      </c>
      <c r="K52" s="64">
        <v>7140</v>
      </c>
      <c r="L52" s="65">
        <v>0</v>
      </c>
      <c r="M52" s="65">
        <v>0</v>
      </c>
      <c r="N52" s="66">
        <f t="shared" si="16"/>
        <v>3960</v>
      </c>
      <c r="O52" s="66">
        <f t="shared" si="16"/>
        <v>11560</v>
      </c>
      <c r="P52" s="69">
        <f t="shared" si="4"/>
        <v>1320</v>
      </c>
      <c r="Q52" s="69">
        <f t="shared" si="4"/>
        <v>3853.3333333333335</v>
      </c>
      <c r="R52" s="294"/>
      <c r="S52" s="49"/>
      <c r="T52" s="49"/>
      <c r="U52" s="49"/>
      <c r="V52" s="49"/>
      <c r="W52" s="49"/>
      <c r="X52" s="49"/>
      <c r="Y52" s="49" t="s">
        <v>53</v>
      </c>
      <c r="Z52" s="66">
        <v>6043.06</v>
      </c>
      <c r="AA52" s="280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M52" s="66"/>
      <c r="AP52" s="131"/>
      <c r="AQ52" s="111"/>
    </row>
    <row r="53" spans="1:43" ht="16" hidden="1" thickBot="1" x14ac:dyDescent="0.4">
      <c r="A53" s="66"/>
      <c r="B53" s="66"/>
      <c r="C53" s="49"/>
      <c r="D53" s="49"/>
      <c r="E53" s="49"/>
      <c r="F53" s="49"/>
      <c r="G53" s="49" t="s">
        <v>54</v>
      </c>
      <c r="H53" s="63">
        <v>0</v>
      </c>
      <c r="I53" s="63">
        <v>0</v>
      </c>
      <c r="J53" s="64">
        <v>0</v>
      </c>
      <c r="K53" s="64">
        <v>8280</v>
      </c>
      <c r="L53" s="65">
        <v>546</v>
      </c>
      <c r="M53" s="65">
        <v>2107</v>
      </c>
      <c r="N53" s="66">
        <f t="shared" si="16"/>
        <v>546</v>
      </c>
      <c r="O53" s="66">
        <f t="shared" si="16"/>
        <v>10387</v>
      </c>
      <c r="P53" s="69">
        <f t="shared" si="4"/>
        <v>182</v>
      </c>
      <c r="Q53" s="69">
        <f t="shared" si="4"/>
        <v>3462.3333333333335</v>
      </c>
      <c r="R53" s="294"/>
      <c r="S53" s="49"/>
      <c r="T53" s="49"/>
      <c r="U53" s="49"/>
      <c r="V53" s="49"/>
      <c r="W53" s="49"/>
      <c r="X53" s="49"/>
      <c r="Y53" s="49" t="s">
        <v>54</v>
      </c>
      <c r="Z53" s="66">
        <v>645.87</v>
      </c>
      <c r="AA53" s="280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M53" s="66"/>
      <c r="AP53" s="131"/>
      <c r="AQ53" s="111"/>
    </row>
    <row r="54" spans="1:43" ht="16" hidden="1" thickBot="1" x14ac:dyDescent="0.4">
      <c r="A54" s="66"/>
      <c r="B54" s="66"/>
      <c r="C54" s="49"/>
      <c r="D54" s="49"/>
      <c r="E54" s="49"/>
      <c r="F54" s="49"/>
      <c r="G54" s="49" t="s">
        <v>55</v>
      </c>
      <c r="H54" s="63">
        <v>1438.36</v>
      </c>
      <c r="I54" s="63">
        <v>8970</v>
      </c>
      <c r="J54" s="64">
        <v>3312</v>
      </c>
      <c r="K54" s="64">
        <v>6624</v>
      </c>
      <c r="L54" s="65">
        <v>3990</v>
      </c>
      <c r="M54" s="65">
        <v>4214</v>
      </c>
      <c r="N54" s="66">
        <f t="shared" si="16"/>
        <v>8740.36</v>
      </c>
      <c r="O54" s="66">
        <f t="shared" si="16"/>
        <v>19808</v>
      </c>
      <c r="P54" s="69">
        <f t="shared" si="4"/>
        <v>2913.4533333333334</v>
      </c>
      <c r="Q54" s="69">
        <f t="shared" si="4"/>
        <v>6602.666666666667</v>
      </c>
      <c r="R54" s="294"/>
      <c r="S54" s="49"/>
      <c r="T54" s="49"/>
      <c r="U54" s="49"/>
      <c r="V54" s="49"/>
      <c r="W54" s="49"/>
      <c r="X54" s="49"/>
      <c r="Y54" s="49" t="s">
        <v>55</v>
      </c>
      <c r="Z54" s="66">
        <v>6101.09</v>
      </c>
      <c r="AA54" s="280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M54" s="66"/>
      <c r="AP54" s="131"/>
      <c r="AQ54" s="111"/>
    </row>
    <row r="55" spans="1:43" ht="16" hidden="1" thickBot="1" x14ac:dyDescent="0.4">
      <c r="A55" s="66"/>
      <c r="B55" s="66"/>
      <c r="C55" s="49"/>
      <c r="D55" s="49"/>
      <c r="E55" s="49"/>
      <c r="F55" s="49"/>
      <c r="G55" s="49" t="s">
        <v>56</v>
      </c>
      <c r="H55" s="63">
        <v>594</v>
      </c>
      <c r="I55" s="63">
        <v>0</v>
      </c>
      <c r="J55" s="64">
        <v>0</v>
      </c>
      <c r="K55" s="64">
        <v>21384</v>
      </c>
      <c r="L55" s="65">
        <v>0</v>
      </c>
      <c r="M55" s="65">
        <v>3500</v>
      </c>
      <c r="N55" s="66">
        <f t="shared" si="16"/>
        <v>594</v>
      </c>
      <c r="O55" s="66">
        <f t="shared" si="16"/>
        <v>24884</v>
      </c>
      <c r="P55" s="69">
        <f t="shared" si="4"/>
        <v>198</v>
      </c>
      <c r="Q55" s="69">
        <f t="shared" si="4"/>
        <v>8294.6666666666661</v>
      </c>
      <c r="R55" s="294"/>
      <c r="S55" s="49"/>
      <c r="T55" s="49"/>
      <c r="U55" s="49"/>
      <c r="V55" s="49"/>
      <c r="W55" s="49"/>
      <c r="X55" s="49"/>
      <c r="Y55" s="49" t="s">
        <v>56</v>
      </c>
      <c r="Z55" s="66">
        <v>1668.02</v>
      </c>
      <c r="AA55" s="280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M55" s="66"/>
      <c r="AP55" s="131"/>
      <c r="AQ55" s="111"/>
    </row>
    <row r="56" spans="1:43" ht="16" hidden="1" thickBot="1" x14ac:dyDescent="0.4">
      <c r="A56" s="66"/>
      <c r="B56" s="66"/>
      <c r="C56" s="49"/>
      <c r="D56" s="49"/>
      <c r="E56" s="49"/>
      <c r="F56" s="49"/>
      <c r="G56" s="49" t="s">
        <v>57</v>
      </c>
      <c r="H56" s="63">
        <v>0</v>
      </c>
      <c r="I56" s="63">
        <v>0</v>
      </c>
      <c r="J56" s="64">
        <v>0</v>
      </c>
      <c r="K56" s="64">
        <v>3312</v>
      </c>
      <c r="L56" s="65">
        <v>690</v>
      </c>
      <c r="M56" s="65">
        <v>2107</v>
      </c>
      <c r="N56" s="66">
        <f t="shared" si="16"/>
        <v>690</v>
      </c>
      <c r="O56" s="66">
        <f t="shared" si="16"/>
        <v>5419</v>
      </c>
      <c r="P56" s="69">
        <f t="shared" si="4"/>
        <v>230</v>
      </c>
      <c r="Q56" s="69">
        <f t="shared" si="4"/>
        <v>1806.3333333333333</v>
      </c>
      <c r="R56" s="294"/>
      <c r="S56" s="49"/>
      <c r="T56" s="49"/>
      <c r="U56" s="49"/>
      <c r="V56" s="49"/>
      <c r="W56" s="49"/>
      <c r="X56" s="49"/>
      <c r="Y56" s="49" t="s">
        <v>57</v>
      </c>
      <c r="Z56" s="66">
        <v>645.87</v>
      </c>
      <c r="AA56" s="280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M56" s="66"/>
      <c r="AP56" s="131"/>
      <c r="AQ56" s="111"/>
    </row>
    <row r="57" spans="1:43" ht="16" hidden="1" thickBot="1" x14ac:dyDescent="0.4">
      <c r="A57" s="66"/>
      <c r="B57" s="66"/>
      <c r="C57" s="49"/>
      <c r="D57" s="49"/>
      <c r="E57" s="49"/>
      <c r="F57" s="49"/>
      <c r="G57" s="49" t="s">
        <v>58</v>
      </c>
      <c r="H57" s="63">
        <v>1413.6</v>
      </c>
      <c r="I57" s="63">
        <v>11284</v>
      </c>
      <c r="J57" s="64">
        <v>0</v>
      </c>
      <c r="K57" s="64">
        <v>13020</v>
      </c>
      <c r="L57" s="65">
        <v>0</v>
      </c>
      <c r="M57" s="65">
        <v>3248</v>
      </c>
      <c r="N57" s="66">
        <f t="shared" si="16"/>
        <v>1413.6</v>
      </c>
      <c r="O57" s="66">
        <f t="shared" si="16"/>
        <v>27552</v>
      </c>
      <c r="P57" s="69">
        <f t="shared" si="4"/>
        <v>471.2</v>
      </c>
      <c r="Q57" s="69">
        <f t="shared" si="4"/>
        <v>9184</v>
      </c>
      <c r="R57" s="294"/>
      <c r="S57" s="49"/>
      <c r="T57" s="49"/>
      <c r="U57" s="49"/>
      <c r="V57" s="49"/>
      <c r="W57" s="49"/>
      <c r="X57" s="49"/>
      <c r="Y57" s="49" t="s">
        <v>58</v>
      </c>
      <c r="Z57" s="66">
        <v>1015.6</v>
      </c>
      <c r="AA57" s="280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M57" s="66"/>
      <c r="AP57" s="131"/>
      <c r="AQ57" s="111"/>
    </row>
    <row r="58" spans="1:43" ht="16" hidden="1" thickBot="1" x14ac:dyDescent="0.4">
      <c r="A58" s="66"/>
      <c r="B58" s="66"/>
      <c r="C58" s="49"/>
      <c r="D58" s="49"/>
      <c r="E58" s="49"/>
      <c r="F58" s="49"/>
      <c r="G58" s="49" t="s">
        <v>59</v>
      </c>
      <c r="H58" s="63">
        <v>61221.21</v>
      </c>
      <c r="I58" s="63">
        <v>5161</v>
      </c>
      <c r="J58" s="64">
        <v>39303</v>
      </c>
      <c r="K58" s="64">
        <v>76224</v>
      </c>
      <c r="L58" s="65">
        <v>74396</v>
      </c>
      <c r="M58" s="65">
        <v>62361</v>
      </c>
      <c r="N58" s="66">
        <f t="shared" si="16"/>
        <v>174920.21</v>
      </c>
      <c r="O58" s="66">
        <f t="shared" si="16"/>
        <v>143746</v>
      </c>
      <c r="P58" s="69">
        <f t="shared" si="4"/>
        <v>58306.736666666664</v>
      </c>
      <c r="Q58" s="69">
        <f t="shared" si="4"/>
        <v>47915.333333333336</v>
      </c>
      <c r="R58" s="294"/>
      <c r="S58" s="49"/>
      <c r="T58" s="49"/>
      <c r="U58" s="49"/>
      <c r="V58" s="49"/>
      <c r="W58" s="49"/>
      <c r="X58" s="49"/>
      <c r="Y58" s="49" t="s">
        <v>59</v>
      </c>
      <c r="Z58" s="66">
        <v>37252.42</v>
      </c>
      <c r="AA58" s="280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M58" s="66"/>
      <c r="AP58" s="131"/>
      <c r="AQ58" s="111"/>
    </row>
    <row r="59" spans="1:43" ht="16" hidden="1" thickBot="1" x14ac:dyDescent="0.4">
      <c r="A59" s="66"/>
      <c r="B59" s="66"/>
      <c r="C59" s="49"/>
      <c r="D59" s="49"/>
      <c r="E59" s="49"/>
      <c r="F59" s="49"/>
      <c r="G59" s="49" t="s">
        <v>60</v>
      </c>
      <c r="H59" s="63">
        <v>5955.03</v>
      </c>
      <c r="I59" s="63">
        <v>5161</v>
      </c>
      <c r="J59" s="64">
        <v>6352.04</v>
      </c>
      <c r="K59" s="64">
        <v>19056</v>
      </c>
      <c r="L59" s="65">
        <v>0</v>
      </c>
      <c r="M59" s="65">
        <v>0</v>
      </c>
      <c r="N59" s="66">
        <f t="shared" si="16"/>
        <v>12307.07</v>
      </c>
      <c r="O59" s="66">
        <f t="shared" si="16"/>
        <v>24217</v>
      </c>
      <c r="P59" s="69">
        <f t="shared" si="4"/>
        <v>4102.3566666666666</v>
      </c>
      <c r="Q59" s="69">
        <f t="shared" si="4"/>
        <v>8072.333333333333</v>
      </c>
      <c r="R59" s="294"/>
      <c r="S59" s="49"/>
      <c r="T59" s="49"/>
      <c r="U59" s="49"/>
      <c r="V59" s="49"/>
      <c r="W59" s="49"/>
      <c r="X59" s="49"/>
      <c r="Y59" s="49" t="s">
        <v>60</v>
      </c>
      <c r="Z59" s="66">
        <v>6116.07</v>
      </c>
      <c r="AA59" s="280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M59" s="66"/>
      <c r="AP59" s="131"/>
      <c r="AQ59" s="111"/>
    </row>
    <row r="60" spans="1:43" ht="16" hidden="1" thickBot="1" x14ac:dyDescent="0.4">
      <c r="A60" s="66"/>
      <c r="B60" s="66"/>
      <c r="C60" s="49"/>
      <c r="D60" s="49"/>
      <c r="E60" s="49"/>
      <c r="F60" s="49"/>
      <c r="G60" s="49" t="s">
        <v>61</v>
      </c>
      <c r="H60" s="63">
        <v>7762.21</v>
      </c>
      <c r="I60" s="63">
        <v>5382</v>
      </c>
      <c r="J60" s="64">
        <v>7590</v>
      </c>
      <c r="K60" s="64">
        <v>4968</v>
      </c>
      <c r="L60" s="65">
        <v>7970</v>
      </c>
      <c r="M60" s="65">
        <v>12642</v>
      </c>
      <c r="N60" s="66">
        <f t="shared" si="16"/>
        <v>23322.21</v>
      </c>
      <c r="O60" s="66">
        <f t="shared" si="16"/>
        <v>22992</v>
      </c>
      <c r="P60" s="69">
        <f t="shared" si="4"/>
        <v>7774.07</v>
      </c>
      <c r="Q60" s="69">
        <f t="shared" si="4"/>
        <v>7664</v>
      </c>
      <c r="R60" s="294"/>
      <c r="S60" s="49"/>
      <c r="T60" s="49"/>
      <c r="U60" s="49"/>
      <c r="V60" s="49"/>
      <c r="W60" s="49"/>
      <c r="X60" s="49"/>
      <c r="Y60" s="49" t="s">
        <v>61</v>
      </c>
      <c r="Z60" s="66">
        <v>11176.29</v>
      </c>
      <c r="AA60" s="280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M60" s="66"/>
      <c r="AP60" s="131"/>
      <c r="AQ60" s="111"/>
    </row>
    <row r="61" spans="1:43" ht="16" hidden="1" thickBot="1" x14ac:dyDescent="0.4">
      <c r="A61" s="66"/>
      <c r="B61" s="66"/>
      <c r="C61" s="49"/>
      <c r="D61" s="49"/>
      <c r="E61" s="49"/>
      <c r="F61" s="49"/>
      <c r="G61" s="49" t="s">
        <v>62</v>
      </c>
      <c r="H61" s="70">
        <v>966</v>
      </c>
      <c r="I61" s="70"/>
      <c r="J61" s="71">
        <v>2483.98</v>
      </c>
      <c r="K61" s="71"/>
      <c r="L61" s="72">
        <v>1104</v>
      </c>
      <c r="M61" s="72">
        <v>0</v>
      </c>
      <c r="N61" s="73">
        <f t="shared" si="16"/>
        <v>4553.9799999999996</v>
      </c>
      <c r="O61" s="73">
        <f t="shared" si="16"/>
        <v>0</v>
      </c>
      <c r="P61" s="74">
        <f t="shared" si="4"/>
        <v>1517.9933333333331</v>
      </c>
      <c r="Q61" s="74">
        <f t="shared" si="4"/>
        <v>0</v>
      </c>
      <c r="R61" s="294"/>
      <c r="S61" s="49"/>
      <c r="T61" s="49"/>
      <c r="U61" s="49"/>
      <c r="V61" s="49"/>
      <c r="W61" s="49"/>
      <c r="X61" s="49"/>
      <c r="Y61" s="49" t="s">
        <v>62</v>
      </c>
      <c r="Z61" s="73">
        <v>3470.83</v>
      </c>
      <c r="AA61" s="280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M61" s="73"/>
      <c r="AP61" s="131"/>
      <c r="AQ61" s="111"/>
    </row>
    <row r="62" spans="1:43" ht="16" hidden="1" thickBot="1" x14ac:dyDescent="0.4">
      <c r="A62" s="66"/>
      <c r="B62" s="66"/>
      <c r="C62" s="49"/>
      <c r="D62" s="49"/>
      <c r="E62" s="49"/>
      <c r="F62" s="49" t="s">
        <v>63</v>
      </c>
      <c r="G62" s="49"/>
      <c r="H62" s="63">
        <f t="shared" ref="H62:M62" si="17">ROUND(SUM(H46:H61),5)</f>
        <v>137372.26</v>
      </c>
      <c r="I62" s="63">
        <f t="shared" si="17"/>
        <v>73450</v>
      </c>
      <c r="J62" s="64">
        <f t="shared" si="17"/>
        <v>111914.03</v>
      </c>
      <c r="K62" s="64">
        <f t="shared" si="17"/>
        <v>203796</v>
      </c>
      <c r="L62" s="65">
        <f t="shared" si="17"/>
        <v>122323.04</v>
      </c>
      <c r="M62" s="65">
        <f t="shared" si="17"/>
        <v>154726</v>
      </c>
      <c r="N62" s="66">
        <f t="shared" si="16"/>
        <v>371609.33</v>
      </c>
      <c r="O62" s="66">
        <f t="shared" si="16"/>
        <v>431972</v>
      </c>
      <c r="P62" s="69">
        <f t="shared" si="4"/>
        <v>123869.77666666667</v>
      </c>
      <c r="Q62" s="69">
        <f t="shared" si="4"/>
        <v>143990.66666666666</v>
      </c>
      <c r="R62" s="294"/>
      <c r="S62" s="49"/>
      <c r="T62" s="49"/>
      <c r="U62" s="49"/>
      <c r="V62" s="49"/>
      <c r="W62" s="49"/>
      <c r="X62" s="49" t="s">
        <v>63</v>
      </c>
      <c r="Y62" s="49"/>
      <c r="Z62" s="66">
        <f>ROUND(SUM(Z46:Z61),5)</f>
        <v>133562.26</v>
      </c>
      <c r="AA62" s="280"/>
      <c r="AB62" s="66">
        <f t="shared" ref="AB62:AK62" si="18">ROUND(SUM(AB46:AB61),5)</f>
        <v>0</v>
      </c>
      <c r="AC62" s="66">
        <f t="shared" si="18"/>
        <v>0</v>
      </c>
      <c r="AD62" s="66">
        <f t="shared" si="18"/>
        <v>0</v>
      </c>
      <c r="AE62" s="66">
        <f t="shared" si="18"/>
        <v>0</v>
      </c>
      <c r="AF62" s="66">
        <f t="shared" si="18"/>
        <v>0</v>
      </c>
      <c r="AG62" s="66">
        <f t="shared" si="18"/>
        <v>0</v>
      </c>
      <c r="AH62" s="66">
        <f t="shared" si="18"/>
        <v>0</v>
      </c>
      <c r="AI62" s="66">
        <f t="shared" si="18"/>
        <v>0</v>
      </c>
      <c r="AJ62" s="66">
        <f t="shared" si="18"/>
        <v>0</v>
      </c>
      <c r="AK62" s="66">
        <f t="shared" si="18"/>
        <v>0</v>
      </c>
      <c r="AM62" s="66">
        <f t="shared" ref="AM62" si="19">ROUND(SUM(AM46:AM61),5)</f>
        <v>0</v>
      </c>
      <c r="AP62" s="131"/>
      <c r="AQ62" s="111"/>
    </row>
    <row r="63" spans="1:43" ht="16" hidden="1" thickBot="1" x14ac:dyDescent="0.4">
      <c r="A63" s="66"/>
      <c r="B63" s="66"/>
      <c r="C63" s="49"/>
      <c r="D63" s="49"/>
      <c r="E63" s="49"/>
      <c r="F63" s="49" t="s">
        <v>64</v>
      </c>
      <c r="G63" s="49"/>
      <c r="H63" s="63">
        <v>8314.73</v>
      </c>
      <c r="I63" s="63">
        <v>16926</v>
      </c>
      <c r="J63" s="64">
        <v>15190.01</v>
      </c>
      <c r="K63" s="64">
        <v>28447.38</v>
      </c>
      <c r="L63" s="65">
        <v>10677</v>
      </c>
      <c r="M63" s="65">
        <v>20750</v>
      </c>
      <c r="N63" s="66">
        <f t="shared" si="16"/>
        <v>34181.74</v>
      </c>
      <c r="O63" s="66">
        <f t="shared" si="16"/>
        <v>66123.38</v>
      </c>
      <c r="P63" s="69">
        <f t="shared" si="4"/>
        <v>11393.913333333332</v>
      </c>
      <c r="Q63" s="69">
        <f t="shared" si="4"/>
        <v>22041.126666666667</v>
      </c>
      <c r="R63" s="294"/>
      <c r="S63" s="49"/>
      <c r="T63" s="49"/>
      <c r="U63" s="49"/>
      <c r="V63" s="49"/>
      <c r="W63" s="49"/>
      <c r="X63" s="49" t="s">
        <v>64</v>
      </c>
      <c r="Y63" s="49"/>
      <c r="Z63" s="66">
        <v>26202.51</v>
      </c>
      <c r="AA63" s="280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M63" s="66"/>
      <c r="AP63" s="131"/>
      <c r="AQ63" s="111"/>
    </row>
    <row r="64" spans="1:43" ht="16" hidden="1" thickBot="1" x14ac:dyDescent="0.4">
      <c r="A64" s="66"/>
      <c r="B64" s="66"/>
      <c r="C64" s="49"/>
      <c r="D64" s="49"/>
      <c r="E64" s="49"/>
      <c r="F64" s="49" t="s">
        <v>65</v>
      </c>
      <c r="G64" s="49"/>
      <c r="H64" s="63"/>
      <c r="I64" s="63"/>
      <c r="J64" s="64"/>
      <c r="K64" s="64"/>
      <c r="L64" s="65"/>
      <c r="M64" s="65"/>
      <c r="N64" s="66"/>
      <c r="O64" s="66"/>
      <c r="P64" s="69"/>
      <c r="Q64" s="69"/>
      <c r="R64" s="294"/>
      <c r="S64" s="49"/>
      <c r="T64" s="49"/>
      <c r="U64" s="49"/>
      <c r="V64" s="49"/>
      <c r="W64" s="49"/>
      <c r="X64" s="49" t="s">
        <v>65</v>
      </c>
      <c r="Y64" s="49"/>
      <c r="Z64" s="66"/>
      <c r="AA64" s="280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M64" s="66"/>
      <c r="AP64" s="131"/>
      <c r="AQ64" s="111"/>
    </row>
    <row r="65" spans="1:43" ht="16" hidden="1" thickBot="1" x14ac:dyDescent="0.4">
      <c r="A65" s="66"/>
      <c r="B65" s="66"/>
      <c r="C65" s="49"/>
      <c r="D65" s="49"/>
      <c r="E65" s="49"/>
      <c r="F65" s="49"/>
      <c r="G65" s="49" t="s">
        <v>66</v>
      </c>
      <c r="H65" s="63">
        <v>20139.29</v>
      </c>
      <c r="I65" s="63">
        <v>5642</v>
      </c>
      <c r="J65" s="64">
        <v>36456.01</v>
      </c>
      <c r="K65" s="64">
        <v>28644</v>
      </c>
      <c r="L65" s="65">
        <v>50222</v>
      </c>
      <c r="M65" s="65">
        <v>22272</v>
      </c>
      <c r="N65" s="66">
        <f t="shared" ref="N65:O71" si="20">ROUND(H65+J65+L65,5)</f>
        <v>106817.3</v>
      </c>
      <c r="O65" s="66">
        <f t="shared" si="20"/>
        <v>56558</v>
      </c>
      <c r="P65" s="69">
        <f t="shared" si="4"/>
        <v>35605.76666666667</v>
      </c>
      <c r="Q65" s="69">
        <f t="shared" si="4"/>
        <v>18852.666666666668</v>
      </c>
      <c r="R65" s="294"/>
      <c r="S65" s="49"/>
      <c r="T65" s="49"/>
      <c r="U65" s="49"/>
      <c r="V65" s="49"/>
      <c r="W65" s="49"/>
      <c r="X65" s="49"/>
      <c r="Y65" s="49" t="s">
        <v>66</v>
      </c>
      <c r="Z65" s="66">
        <v>39608.42</v>
      </c>
      <c r="AA65" s="280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M65" s="66"/>
      <c r="AP65" s="131"/>
      <c r="AQ65" s="111"/>
    </row>
    <row r="66" spans="1:43" ht="16" hidden="1" thickBot="1" x14ac:dyDescent="0.4">
      <c r="A66" s="66"/>
      <c r="B66" s="66"/>
      <c r="C66" s="49"/>
      <c r="D66" s="49"/>
      <c r="E66" s="49"/>
      <c r="F66" s="49"/>
      <c r="G66" s="49" t="s">
        <v>67</v>
      </c>
      <c r="H66" s="63">
        <v>22335.58</v>
      </c>
      <c r="I66" s="63">
        <v>11284</v>
      </c>
      <c r="J66" s="64">
        <v>24521.05</v>
      </c>
      <c r="K66" s="64">
        <v>31248</v>
      </c>
      <c r="L66" s="65">
        <v>17114.009999999998</v>
      </c>
      <c r="M66" s="65">
        <v>25752</v>
      </c>
      <c r="N66" s="66">
        <f t="shared" si="20"/>
        <v>63970.64</v>
      </c>
      <c r="O66" s="66">
        <f t="shared" si="20"/>
        <v>68284</v>
      </c>
      <c r="P66" s="69">
        <f t="shared" si="4"/>
        <v>21323.546666666665</v>
      </c>
      <c r="Q66" s="69">
        <f t="shared" si="4"/>
        <v>22761.333333333332</v>
      </c>
      <c r="R66" s="294"/>
      <c r="S66" s="49"/>
      <c r="T66" s="49"/>
      <c r="U66" s="49"/>
      <c r="V66" s="49"/>
      <c r="W66" s="49"/>
      <c r="X66" s="49"/>
      <c r="Y66" s="49" t="s">
        <v>67</v>
      </c>
      <c r="Z66" s="66">
        <v>31889.86</v>
      </c>
      <c r="AA66" s="280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M66" s="66"/>
      <c r="AP66" s="131"/>
      <c r="AQ66" s="111"/>
    </row>
    <row r="67" spans="1:43" ht="16" hidden="1" thickBot="1" x14ac:dyDescent="0.4">
      <c r="A67" s="66"/>
      <c r="B67" s="66"/>
      <c r="C67" s="49"/>
      <c r="D67" s="49"/>
      <c r="E67" s="49"/>
      <c r="F67" s="49"/>
      <c r="G67" s="49" t="s">
        <v>68</v>
      </c>
      <c r="H67" s="63">
        <v>966</v>
      </c>
      <c r="I67" s="63">
        <v>7176</v>
      </c>
      <c r="J67" s="64">
        <v>828</v>
      </c>
      <c r="K67" s="64">
        <v>1656</v>
      </c>
      <c r="L67" s="65">
        <v>0</v>
      </c>
      <c r="M67" s="65">
        <v>6321</v>
      </c>
      <c r="N67" s="66">
        <f t="shared" si="20"/>
        <v>1794</v>
      </c>
      <c r="O67" s="66">
        <f t="shared" si="20"/>
        <v>15153</v>
      </c>
      <c r="P67" s="69">
        <f t="shared" si="4"/>
        <v>598</v>
      </c>
      <c r="Q67" s="69">
        <f t="shared" si="4"/>
        <v>5051</v>
      </c>
      <c r="R67" s="294"/>
      <c r="S67" s="49"/>
      <c r="T67" s="49"/>
      <c r="U67" s="49"/>
      <c r="V67" s="49"/>
      <c r="W67" s="49"/>
      <c r="X67" s="49"/>
      <c r="Y67" s="49" t="s">
        <v>68</v>
      </c>
      <c r="Z67" s="66">
        <v>1420.9</v>
      </c>
      <c r="AA67" s="280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M67" s="66"/>
      <c r="AP67" s="131"/>
      <c r="AQ67" s="111"/>
    </row>
    <row r="68" spans="1:43" ht="16" hidden="1" thickBot="1" x14ac:dyDescent="0.4">
      <c r="A68" s="66"/>
      <c r="B68" s="66"/>
      <c r="C68" s="49"/>
      <c r="D68" s="49"/>
      <c r="E68" s="49"/>
      <c r="F68" s="49"/>
      <c r="G68" s="49" t="s">
        <v>69</v>
      </c>
      <c r="H68" s="63">
        <v>5599.29</v>
      </c>
      <c r="I68" s="63">
        <v>16926</v>
      </c>
      <c r="J68" s="64">
        <v>4557</v>
      </c>
      <c r="K68" s="64">
        <v>31248</v>
      </c>
      <c r="L68" s="65">
        <v>12686</v>
      </c>
      <c r="M68" s="65">
        <v>12992</v>
      </c>
      <c r="N68" s="66">
        <f t="shared" si="20"/>
        <v>22842.29</v>
      </c>
      <c r="O68" s="66">
        <f t="shared" si="20"/>
        <v>61166</v>
      </c>
      <c r="P68" s="69">
        <f t="shared" si="4"/>
        <v>7614.0966666666673</v>
      </c>
      <c r="Q68" s="69">
        <f t="shared" si="4"/>
        <v>20388.666666666668</v>
      </c>
      <c r="R68" s="294"/>
      <c r="S68" s="49"/>
      <c r="T68" s="49"/>
      <c r="U68" s="49"/>
      <c r="V68" s="49"/>
      <c r="W68" s="49"/>
      <c r="X68" s="49"/>
      <c r="Y68" s="49" t="s">
        <v>69</v>
      </c>
      <c r="Z68" s="66">
        <v>8124.8</v>
      </c>
      <c r="AA68" s="280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M68" s="66"/>
      <c r="AP68" s="131"/>
      <c r="AQ68" s="111"/>
    </row>
    <row r="69" spans="1:43" ht="16" hidden="1" thickBot="1" x14ac:dyDescent="0.4">
      <c r="A69" s="66"/>
      <c r="B69" s="66"/>
      <c r="C69" s="49"/>
      <c r="D69" s="49"/>
      <c r="E69" s="49"/>
      <c r="F69" s="49"/>
      <c r="G69" s="49" t="s">
        <v>70</v>
      </c>
      <c r="H69" s="63">
        <v>1794</v>
      </c>
      <c r="I69" s="63">
        <v>5382</v>
      </c>
      <c r="J69" s="64">
        <v>2564</v>
      </c>
      <c r="K69" s="64">
        <v>3312</v>
      </c>
      <c r="L69" s="65">
        <v>4874</v>
      </c>
      <c r="M69" s="65">
        <v>8278</v>
      </c>
      <c r="N69" s="66">
        <f t="shared" si="20"/>
        <v>9232</v>
      </c>
      <c r="O69" s="66">
        <f t="shared" si="20"/>
        <v>16972</v>
      </c>
      <c r="P69" s="69">
        <f t="shared" si="4"/>
        <v>3077.3333333333335</v>
      </c>
      <c r="Q69" s="69">
        <f t="shared" si="4"/>
        <v>5657.333333333333</v>
      </c>
      <c r="R69" s="294"/>
      <c r="S69" s="49"/>
      <c r="T69" s="49"/>
      <c r="U69" s="49"/>
      <c r="V69" s="49"/>
      <c r="W69" s="49"/>
      <c r="X69" s="49"/>
      <c r="Y69" s="49" t="s">
        <v>70</v>
      </c>
      <c r="Z69" s="66">
        <v>4886.12</v>
      </c>
      <c r="AA69" s="280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M69" s="66"/>
      <c r="AP69" s="131"/>
      <c r="AQ69" s="111"/>
    </row>
    <row r="70" spans="1:43" ht="16" hidden="1" thickBot="1" x14ac:dyDescent="0.4">
      <c r="A70" s="66"/>
      <c r="B70" s="66"/>
      <c r="C70" s="49"/>
      <c r="D70" s="49"/>
      <c r="E70" s="49"/>
      <c r="F70" s="49"/>
      <c r="G70" s="49" t="s">
        <v>71</v>
      </c>
      <c r="H70" s="70">
        <v>2982.44</v>
      </c>
      <c r="I70" s="70">
        <v>5642</v>
      </c>
      <c r="J70" s="71">
        <v>5859</v>
      </c>
      <c r="K70" s="71">
        <v>31248</v>
      </c>
      <c r="L70" s="72">
        <v>3038</v>
      </c>
      <c r="M70" s="72">
        <v>6496</v>
      </c>
      <c r="N70" s="73">
        <f t="shared" si="20"/>
        <v>11879.44</v>
      </c>
      <c r="O70" s="73">
        <f t="shared" si="20"/>
        <v>43386</v>
      </c>
      <c r="P70" s="74">
        <f t="shared" si="4"/>
        <v>3959.8133333333335</v>
      </c>
      <c r="Q70" s="74">
        <f t="shared" si="4"/>
        <v>14462</v>
      </c>
      <c r="R70" s="294"/>
      <c r="S70" s="49"/>
      <c r="T70" s="49"/>
      <c r="U70" s="49"/>
      <c r="V70" s="49"/>
      <c r="W70" s="49"/>
      <c r="X70" s="49"/>
      <c r="Y70" s="49" t="s">
        <v>71</v>
      </c>
      <c r="Z70" s="73">
        <v>7718.56</v>
      </c>
      <c r="AA70" s="280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M70" s="73"/>
      <c r="AP70" s="131"/>
      <c r="AQ70" s="111"/>
    </row>
    <row r="71" spans="1:43" ht="16" hidden="1" thickBot="1" x14ac:dyDescent="0.4">
      <c r="A71" s="66"/>
      <c r="B71" s="66"/>
      <c r="C71" s="49"/>
      <c r="D71" s="49"/>
      <c r="E71" s="49"/>
      <c r="F71" s="49" t="s">
        <v>72</v>
      </c>
      <c r="G71" s="49"/>
      <c r="H71" s="63">
        <f t="shared" ref="H71:M71" si="21">ROUND(SUM(H64:H70),5)</f>
        <v>53816.6</v>
      </c>
      <c r="I71" s="63">
        <f t="shared" si="21"/>
        <v>52052</v>
      </c>
      <c r="J71" s="64">
        <f t="shared" si="21"/>
        <v>74785.06</v>
      </c>
      <c r="K71" s="64">
        <f t="shared" si="21"/>
        <v>127356</v>
      </c>
      <c r="L71" s="65">
        <f t="shared" si="21"/>
        <v>87934.01</v>
      </c>
      <c r="M71" s="65">
        <f t="shared" si="21"/>
        <v>82111</v>
      </c>
      <c r="N71" s="66">
        <f t="shared" si="20"/>
        <v>216535.67</v>
      </c>
      <c r="O71" s="66">
        <f t="shared" si="20"/>
        <v>261519</v>
      </c>
      <c r="P71" s="69">
        <f t="shared" si="4"/>
        <v>72178.556666666671</v>
      </c>
      <c r="Q71" s="69">
        <f t="shared" si="4"/>
        <v>87173</v>
      </c>
      <c r="R71" s="294"/>
      <c r="S71" s="49"/>
      <c r="T71" s="49"/>
      <c r="U71" s="49"/>
      <c r="V71" s="49"/>
      <c r="W71" s="49"/>
      <c r="X71" s="49" t="s">
        <v>72</v>
      </c>
      <c r="Y71" s="49"/>
      <c r="Z71" s="66">
        <f>ROUND(SUM(Z64:Z70),5)</f>
        <v>93648.66</v>
      </c>
      <c r="AA71" s="280"/>
      <c r="AB71" s="66">
        <f t="shared" ref="AB71:AK71" si="22">ROUND(SUM(AB64:AB70),5)</f>
        <v>0</v>
      </c>
      <c r="AC71" s="66">
        <f t="shared" si="22"/>
        <v>0</v>
      </c>
      <c r="AD71" s="66">
        <f t="shared" si="22"/>
        <v>0</v>
      </c>
      <c r="AE71" s="66">
        <f t="shared" si="22"/>
        <v>0</v>
      </c>
      <c r="AF71" s="66">
        <f t="shared" si="22"/>
        <v>0</v>
      </c>
      <c r="AG71" s="66">
        <f t="shared" si="22"/>
        <v>0</v>
      </c>
      <c r="AH71" s="66">
        <f t="shared" si="22"/>
        <v>0</v>
      </c>
      <c r="AI71" s="66">
        <f t="shared" si="22"/>
        <v>0</v>
      </c>
      <c r="AJ71" s="66">
        <f t="shared" si="22"/>
        <v>0</v>
      </c>
      <c r="AK71" s="66">
        <f t="shared" si="22"/>
        <v>0</v>
      </c>
      <c r="AM71" s="66">
        <f t="shared" ref="AM71" si="23">ROUND(SUM(AM64:AM70),5)</f>
        <v>0</v>
      </c>
      <c r="AP71" s="131"/>
      <c r="AQ71" s="111"/>
    </row>
    <row r="72" spans="1:43" ht="16" hidden="1" thickBot="1" x14ac:dyDescent="0.4">
      <c r="A72" s="66"/>
      <c r="B72" s="66"/>
      <c r="C72" s="49"/>
      <c r="D72" s="49"/>
      <c r="E72" s="49"/>
      <c r="F72" s="49" t="s">
        <v>73</v>
      </c>
      <c r="G72" s="49"/>
      <c r="H72" s="63"/>
      <c r="I72" s="63"/>
      <c r="J72" s="64"/>
      <c r="K72" s="64"/>
      <c r="L72" s="65"/>
      <c r="M72" s="65"/>
      <c r="N72" s="66"/>
      <c r="O72" s="66"/>
      <c r="P72" s="69"/>
      <c r="Q72" s="69"/>
      <c r="R72" s="294"/>
      <c r="S72" s="49"/>
      <c r="T72" s="49"/>
      <c r="U72" s="49"/>
      <c r="V72" s="49"/>
      <c r="W72" s="49"/>
      <c r="X72" s="49" t="s">
        <v>73</v>
      </c>
      <c r="Y72" s="49"/>
      <c r="Z72" s="66"/>
      <c r="AA72" s="280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M72" s="66"/>
      <c r="AP72" s="131"/>
      <c r="AQ72" s="111"/>
    </row>
    <row r="73" spans="1:43" ht="16" hidden="1" thickBot="1" x14ac:dyDescent="0.4">
      <c r="A73" s="66"/>
      <c r="B73" s="66"/>
      <c r="C73" s="49"/>
      <c r="D73" s="49"/>
      <c r="E73" s="49"/>
      <c r="F73" s="49"/>
      <c r="G73" s="49" t="s">
        <v>74</v>
      </c>
      <c r="H73" s="63">
        <v>4536.32</v>
      </c>
      <c r="I73" s="63">
        <v>3588</v>
      </c>
      <c r="J73" s="64">
        <v>827.99</v>
      </c>
      <c r="K73" s="64">
        <v>0</v>
      </c>
      <c r="L73" s="65">
        <v>0</v>
      </c>
      <c r="M73" s="65">
        <v>6321</v>
      </c>
      <c r="N73" s="66">
        <f t="shared" ref="N73:O80" si="24">ROUND(H73+J73+L73,5)</f>
        <v>5364.31</v>
      </c>
      <c r="O73" s="66">
        <f t="shared" si="24"/>
        <v>9909</v>
      </c>
      <c r="P73" s="69">
        <f t="shared" si="4"/>
        <v>1788.1033333333335</v>
      </c>
      <c r="Q73" s="69">
        <f t="shared" si="4"/>
        <v>3303</v>
      </c>
      <c r="R73" s="294"/>
      <c r="S73" s="49"/>
      <c r="T73" s="49"/>
      <c r="U73" s="49"/>
      <c r="V73" s="49"/>
      <c r="W73" s="49"/>
      <c r="X73" s="49"/>
      <c r="Y73" s="49" t="s">
        <v>74</v>
      </c>
      <c r="Z73" s="66">
        <v>0</v>
      </c>
      <c r="AA73" s="280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M73" s="66"/>
      <c r="AP73" s="131"/>
      <c r="AQ73" s="111"/>
    </row>
    <row r="74" spans="1:43" ht="16" hidden="1" thickBot="1" x14ac:dyDescent="0.4">
      <c r="A74" s="66"/>
      <c r="B74" s="66"/>
      <c r="C74" s="49"/>
      <c r="D74" s="49"/>
      <c r="E74" s="49"/>
      <c r="F74" s="49"/>
      <c r="G74" s="49" t="s">
        <v>75</v>
      </c>
      <c r="H74" s="63">
        <v>11173</v>
      </c>
      <c r="I74" s="63">
        <v>7176</v>
      </c>
      <c r="J74" s="64">
        <v>13800</v>
      </c>
      <c r="K74" s="64">
        <v>0</v>
      </c>
      <c r="L74" s="65">
        <v>21027.91</v>
      </c>
      <c r="M74" s="65">
        <v>22727</v>
      </c>
      <c r="N74" s="66">
        <f t="shared" si="24"/>
        <v>46000.91</v>
      </c>
      <c r="O74" s="66">
        <f t="shared" si="24"/>
        <v>29903</v>
      </c>
      <c r="P74" s="69">
        <f t="shared" si="4"/>
        <v>15333.636666666667</v>
      </c>
      <c r="Q74" s="69">
        <f t="shared" si="4"/>
        <v>9967.6666666666661</v>
      </c>
      <c r="R74" s="294"/>
      <c r="S74" s="49"/>
      <c r="T74" s="49"/>
      <c r="U74" s="49"/>
      <c r="V74" s="49"/>
      <c r="W74" s="49"/>
      <c r="X74" s="49"/>
      <c r="Y74" s="49" t="s">
        <v>75</v>
      </c>
      <c r="Z74" s="66">
        <v>20177.22</v>
      </c>
      <c r="AA74" s="280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M74" s="66"/>
      <c r="AP74" s="131"/>
      <c r="AQ74" s="111"/>
    </row>
    <row r="75" spans="1:43" ht="16" hidden="1" thickBot="1" x14ac:dyDescent="0.4">
      <c r="A75" s="66"/>
      <c r="B75" s="66"/>
      <c r="C75" s="49"/>
      <c r="D75" s="49"/>
      <c r="E75" s="49"/>
      <c r="F75" s="49"/>
      <c r="G75" s="49" t="s">
        <v>76</v>
      </c>
      <c r="H75" s="63">
        <v>0</v>
      </c>
      <c r="I75" s="63">
        <v>0</v>
      </c>
      <c r="J75" s="64">
        <v>0</v>
      </c>
      <c r="K75" s="64">
        <v>31248</v>
      </c>
      <c r="L75" s="65">
        <v>0</v>
      </c>
      <c r="M75" s="65">
        <v>0</v>
      </c>
      <c r="N75" s="66">
        <f t="shared" si="24"/>
        <v>0</v>
      </c>
      <c r="O75" s="66">
        <f t="shared" si="24"/>
        <v>31248</v>
      </c>
      <c r="P75" s="69">
        <f t="shared" ref="P75:Q137" si="25">N75/3</f>
        <v>0</v>
      </c>
      <c r="Q75" s="69">
        <f t="shared" si="25"/>
        <v>10416</v>
      </c>
      <c r="R75" s="294"/>
      <c r="S75" s="49"/>
      <c r="T75" s="49"/>
      <c r="U75" s="49"/>
      <c r="V75" s="49"/>
      <c r="W75" s="49"/>
      <c r="X75" s="49"/>
      <c r="Y75" s="49" t="s">
        <v>76</v>
      </c>
      <c r="Z75" s="66">
        <v>0</v>
      </c>
      <c r="AA75" s="280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M75" s="66"/>
      <c r="AP75" s="131"/>
      <c r="AQ75" s="111"/>
    </row>
    <row r="76" spans="1:43" ht="16" hidden="1" thickBot="1" x14ac:dyDescent="0.4">
      <c r="A76" s="66"/>
      <c r="B76" s="66"/>
      <c r="C76" s="49"/>
      <c r="D76" s="49"/>
      <c r="E76" s="49"/>
      <c r="F76" s="49"/>
      <c r="G76" s="49" t="s">
        <v>77</v>
      </c>
      <c r="H76" s="63">
        <v>11607.79</v>
      </c>
      <c r="I76" s="63">
        <v>12558</v>
      </c>
      <c r="J76" s="64">
        <v>12282</v>
      </c>
      <c r="K76" s="64">
        <v>0</v>
      </c>
      <c r="L76" s="65">
        <v>5520</v>
      </c>
      <c r="M76" s="65">
        <v>14449</v>
      </c>
      <c r="N76" s="66">
        <f t="shared" si="24"/>
        <v>29409.79</v>
      </c>
      <c r="O76" s="66">
        <f t="shared" si="24"/>
        <v>27007</v>
      </c>
      <c r="P76" s="69">
        <f t="shared" si="25"/>
        <v>9803.2633333333342</v>
      </c>
      <c r="Q76" s="69">
        <f t="shared" si="25"/>
        <v>9002.3333333333339</v>
      </c>
      <c r="R76" s="294"/>
      <c r="S76" s="49"/>
      <c r="T76" s="49"/>
      <c r="U76" s="49"/>
      <c r="V76" s="49"/>
      <c r="W76" s="49"/>
      <c r="X76" s="49"/>
      <c r="Y76" s="49" t="s">
        <v>77</v>
      </c>
      <c r="Z76" s="66">
        <v>14974.73</v>
      </c>
      <c r="AA76" s="280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M76" s="66"/>
      <c r="AP76" s="131"/>
      <c r="AQ76" s="111"/>
    </row>
    <row r="77" spans="1:43" ht="16" hidden="1" thickBot="1" x14ac:dyDescent="0.4">
      <c r="A77" s="66"/>
      <c r="B77" s="66"/>
      <c r="C77" s="49"/>
      <c r="D77" s="49"/>
      <c r="E77" s="49"/>
      <c r="F77" s="49"/>
      <c r="G77" s="49" t="s">
        <v>78</v>
      </c>
      <c r="H77" s="63">
        <v>3458.77</v>
      </c>
      <c r="I77" s="63">
        <v>1794</v>
      </c>
      <c r="J77" s="64">
        <v>0</v>
      </c>
      <c r="K77" s="64">
        <v>0</v>
      </c>
      <c r="L77" s="65">
        <v>0</v>
      </c>
      <c r="M77" s="65">
        <v>6171</v>
      </c>
      <c r="N77" s="66">
        <f t="shared" si="24"/>
        <v>3458.77</v>
      </c>
      <c r="O77" s="66">
        <f t="shared" si="24"/>
        <v>7965</v>
      </c>
      <c r="P77" s="69">
        <f t="shared" si="25"/>
        <v>1152.9233333333334</v>
      </c>
      <c r="Q77" s="69">
        <f t="shared" si="25"/>
        <v>2655</v>
      </c>
      <c r="R77" s="294"/>
      <c r="S77" s="49"/>
      <c r="T77" s="49"/>
      <c r="U77" s="49"/>
      <c r="V77" s="49"/>
      <c r="W77" s="49"/>
      <c r="X77" s="49"/>
      <c r="Y77" s="49" t="s">
        <v>78</v>
      </c>
      <c r="Z77" s="66">
        <v>945.4</v>
      </c>
      <c r="AA77" s="280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M77" s="66"/>
      <c r="AP77" s="131"/>
      <c r="AQ77" s="111"/>
    </row>
    <row r="78" spans="1:43" ht="16" hidden="1" thickBot="1" x14ac:dyDescent="0.4">
      <c r="A78" s="66"/>
      <c r="B78" s="66"/>
      <c r="C78" s="49"/>
      <c r="D78" s="49"/>
      <c r="E78" s="49"/>
      <c r="F78" s="49"/>
      <c r="G78" s="49" t="s">
        <v>79</v>
      </c>
      <c r="H78" s="63">
        <v>8384.1</v>
      </c>
      <c r="I78" s="63">
        <v>8970</v>
      </c>
      <c r="J78" s="64">
        <v>5382</v>
      </c>
      <c r="K78" s="64">
        <v>0</v>
      </c>
      <c r="L78" s="65">
        <v>7865.97</v>
      </c>
      <c r="M78" s="65">
        <v>16706</v>
      </c>
      <c r="N78" s="66">
        <f t="shared" si="24"/>
        <v>21632.07</v>
      </c>
      <c r="O78" s="66">
        <f t="shared" si="24"/>
        <v>25676</v>
      </c>
      <c r="P78" s="69">
        <f t="shared" si="25"/>
        <v>7210.69</v>
      </c>
      <c r="Q78" s="69">
        <f t="shared" si="25"/>
        <v>8558.6666666666661</v>
      </c>
      <c r="R78" s="294"/>
      <c r="S78" s="49"/>
      <c r="T78" s="49"/>
      <c r="U78" s="49"/>
      <c r="V78" s="49"/>
      <c r="W78" s="49"/>
      <c r="X78" s="49"/>
      <c r="Y78" s="49" t="s">
        <v>79</v>
      </c>
      <c r="Z78" s="66">
        <v>7785.96</v>
      </c>
      <c r="AA78" s="280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M78" s="66"/>
      <c r="AP78" s="131"/>
      <c r="AQ78" s="111"/>
    </row>
    <row r="79" spans="1:43" ht="16" hidden="1" thickBot="1" x14ac:dyDescent="0.4">
      <c r="A79" s="66"/>
      <c r="B79" s="66"/>
      <c r="C79" s="49"/>
      <c r="D79" s="49"/>
      <c r="E79" s="49"/>
      <c r="F79" s="49"/>
      <c r="G79" s="49" t="s">
        <v>80</v>
      </c>
      <c r="H79" s="63">
        <v>0</v>
      </c>
      <c r="I79" s="63">
        <v>3588</v>
      </c>
      <c r="J79" s="64">
        <v>0</v>
      </c>
      <c r="K79" s="64">
        <v>0</v>
      </c>
      <c r="L79" s="65">
        <v>966</v>
      </c>
      <c r="M79" s="65">
        <v>0</v>
      </c>
      <c r="N79" s="66">
        <f t="shared" si="24"/>
        <v>966</v>
      </c>
      <c r="O79" s="66">
        <f t="shared" si="24"/>
        <v>3588</v>
      </c>
      <c r="P79" s="69">
        <f t="shared" si="25"/>
        <v>322</v>
      </c>
      <c r="Q79" s="69">
        <f t="shared" si="25"/>
        <v>1196</v>
      </c>
      <c r="R79" s="294"/>
      <c r="S79" s="49"/>
      <c r="T79" s="49"/>
      <c r="U79" s="49"/>
      <c r="V79" s="49"/>
      <c r="W79" s="49"/>
      <c r="X79" s="49"/>
      <c r="Y79" s="49" t="s">
        <v>80</v>
      </c>
      <c r="Z79" s="66">
        <v>0</v>
      </c>
      <c r="AA79" s="280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M79" s="66"/>
      <c r="AP79" s="131"/>
      <c r="AQ79" s="111"/>
    </row>
    <row r="80" spans="1:43" ht="16" hidden="1" thickBot="1" x14ac:dyDescent="0.4">
      <c r="A80" s="66"/>
      <c r="B80" s="66"/>
      <c r="C80" s="49"/>
      <c r="D80" s="49"/>
      <c r="E80" s="49"/>
      <c r="F80" s="49"/>
      <c r="G80" s="49" t="s">
        <v>81</v>
      </c>
      <c r="H80" s="63">
        <v>0</v>
      </c>
      <c r="I80" s="63">
        <v>1794</v>
      </c>
      <c r="J80" s="64">
        <v>0</v>
      </c>
      <c r="K80" s="64">
        <v>0</v>
      </c>
      <c r="L80" s="65">
        <v>0</v>
      </c>
      <c r="M80" s="65">
        <v>2107</v>
      </c>
      <c r="N80" s="66">
        <f t="shared" si="24"/>
        <v>0</v>
      </c>
      <c r="O80" s="66">
        <f t="shared" si="24"/>
        <v>3901</v>
      </c>
      <c r="P80" s="69">
        <f t="shared" si="25"/>
        <v>0</v>
      </c>
      <c r="Q80" s="69">
        <f t="shared" si="25"/>
        <v>1300.3333333333333</v>
      </c>
      <c r="R80" s="294"/>
      <c r="S80" s="49"/>
      <c r="T80" s="49"/>
      <c r="U80" s="49"/>
      <c r="V80" s="49"/>
      <c r="W80" s="49"/>
      <c r="X80" s="49"/>
      <c r="Y80" s="49" t="s">
        <v>81</v>
      </c>
      <c r="Z80" s="66">
        <v>0</v>
      </c>
      <c r="AA80" s="280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M80" s="66"/>
      <c r="AP80" s="131"/>
      <c r="AQ80" s="111"/>
    </row>
    <row r="81" spans="1:43" ht="16" hidden="1" thickBot="1" x14ac:dyDescent="0.4">
      <c r="A81" s="66"/>
      <c r="B81" s="66"/>
      <c r="C81" s="49"/>
      <c r="D81" s="49"/>
      <c r="E81" s="49"/>
      <c r="F81" s="49"/>
      <c r="G81" s="49" t="s">
        <v>579</v>
      </c>
      <c r="H81" s="63"/>
      <c r="I81" s="63"/>
      <c r="J81" s="64"/>
      <c r="K81" s="64"/>
      <c r="L81" s="65"/>
      <c r="M81" s="65"/>
      <c r="N81" s="66"/>
      <c r="O81" s="66"/>
      <c r="P81" s="69">
        <f t="shared" si="25"/>
        <v>0</v>
      </c>
      <c r="Q81" s="69">
        <f t="shared" si="25"/>
        <v>0</v>
      </c>
      <c r="R81" s="294"/>
      <c r="S81" s="49"/>
      <c r="T81" s="49"/>
      <c r="U81" s="49"/>
      <c r="V81" s="49"/>
      <c r="W81" s="49"/>
      <c r="X81" s="49"/>
      <c r="Y81" s="49" t="s">
        <v>579</v>
      </c>
      <c r="Z81" s="66">
        <v>1441.5</v>
      </c>
      <c r="AA81" s="280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M81" s="66"/>
      <c r="AP81" s="131"/>
      <c r="AQ81" s="111"/>
    </row>
    <row r="82" spans="1:43" ht="16" hidden="1" thickBot="1" x14ac:dyDescent="0.4">
      <c r="A82" s="66"/>
      <c r="B82" s="66"/>
      <c r="C82" s="49"/>
      <c r="D82" s="49"/>
      <c r="E82" s="49"/>
      <c r="F82" s="49"/>
      <c r="G82" s="49" t="s">
        <v>82</v>
      </c>
      <c r="H82" s="63">
        <v>0</v>
      </c>
      <c r="I82" s="63">
        <v>0</v>
      </c>
      <c r="J82" s="64">
        <v>0</v>
      </c>
      <c r="K82" s="64">
        <v>0</v>
      </c>
      <c r="L82" s="65">
        <v>0</v>
      </c>
      <c r="M82" s="65">
        <v>0</v>
      </c>
      <c r="N82" s="66">
        <f t="shared" ref="N82:O84" si="26">ROUND(H82+J82+L82,5)</f>
        <v>0</v>
      </c>
      <c r="O82" s="66">
        <f t="shared" si="26"/>
        <v>0</v>
      </c>
      <c r="P82" s="69">
        <f t="shared" si="25"/>
        <v>0</v>
      </c>
      <c r="Q82" s="69">
        <f t="shared" si="25"/>
        <v>0</v>
      </c>
      <c r="R82" s="294"/>
      <c r="S82" s="49"/>
      <c r="T82" s="49"/>
      <c r="U82" s="49"/>
      <c r="V82" s="49"/>
      <c r="W82" s="49"/>
      <c r="X82" s="49"/>
      <c r="Y82" s="49" t="s">
        <v>82</v>
      </c>
      <c r="Z82" s="66">
        <v>655.23</v>
      </c>
      <c r="AA82" s="280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M82" s="66"/>
      <c r="AP82" s="131"/>
      <c r="AQ82" s="111"/>
    </row>
    <row r="83" spans="1:43" ht="16" hidden="1" thickBot="1" x14ac:dyDescent="0.4">
      <c r="A83" s="66"/>
      <c r="B83" s="66"/>
      <c r="C83" s="49"/>
      <c r="D83" s="49"/>
      <c r="E83" s="49"/>
      <c r="F83" s="49"/>
      <c r="G83" s="49" t="s">
        <v>83</v>
      </c>
      <c r="H83" s="70">
        <v>0</v>
      </c>
      <c r="I83" s="70">
        <v>0</v>
      </c>
      <c r="J83" s="71">
        <v>0</v>
      </c>
      <c r="K83" s="71">
        <v>0</v>
      </c>
      <c r="L83" s="72">
        <v>0</v>
      </c>
      <c r="M83" s="72">
        <v>0</v>
      </c>
      <c r="N83" s="73">
        <f t="shared" si="26"/>
        <v>0</v>
      </c>
      <c r="O83" s="73">
        <f t="shared" si="26"/>
        <v>0</v>
      </c>
      <c r="P83" s="74">
        <f t="shared" si="25"/>
        <v>0</v>
      </c>
      <c r="Q83" s="74">
        <f t="shared" si="25"/>
        <v>0</v>
      </c>
      <c r="R83" s="294"/>
      <c r="S83" s="49"/>
      <c r="T83" s="49"/>
      <c r="U83" s="49"/>
      <c r="V83" s="49"/>
      <c r="W83" s="49"/>
      <c r="X83" s="49"/>
      <c r="Y83" s="49" t="s">
        <v>83</v>
      </c>
      <c r="Z83" s="73">
        <v>655.23</v>
      </c>
      <c r="AA83" s="280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M83" s="73"/>
      <c r="AP83" s="131"/>
      <c r="AQ83" s="111"/>
    </row>
    <row r="84" spans="1:43" ht="16" hidden="1" thickBot="1" x14ac:dyDescent="0.4">
      <c r="A84" s="66"/>
      <c r="B84" s="66"/>
      <c r="C84" s="49"/>
      <c r="D84" s="49"/>
      <c r="E84" s="49"/>
      <c r="F84" s="49" t="s">
        <v>84</v>
      </c>
      <c r="G84" s="49"/>
      <c r="H84" s="63">
        <f t="shared" ref="H84:M84" si="27">ROUND(SUM(H72:H83),5)</f>
        <v>39159.980000000003</v>
      </c>
      <c r="I84" s="63">
        <f t="shared" si="27"/>
        <v>39468</v>
      </c>
      <c r="J84" s="64">
        <f t="shared" si="27"/>
        <v>32291.99</v>
      </c>
      <c r="K84" s="64">
        <f t="shared" si="27"/>
        <v>31248</v>
      </c>
      <c r="L84" s="65">
        <f t="shared" si="27"/>
        <v>35379.879999999997</v>
      </c>
      <c r="M84" s="65">
        <f t="shared" si="27"/>
        <v>68481</v>
      </c>
      <c r="N84" s="66">
        <f t="shared" si="26"/>
        <v>106831.85</v>
      </c>
      <c r="O84" s="66">
        <f t="shared" si="26"/>
        <v>139197</v>
      </c>
      <c r="P84" s="69">
        <f t="shared" si="25"/>
        <v>35610.616666666669</v>
      </c>
      <c r="Q84" s="69">
        <f t="shared" si="25"/>
        <v>46399</v>
      </c>
      <c r="R84" s="294"/>
      <c r="S84" s="49"/>
      <c r="T84" s="49"/>
      <c r="U84" s="49"/>
      <c r="V84" s="49"/>
      <c r="W84" s="49"/>
      <c r="X84" s="49" t="s">
        <v>84</v>
      </c>
      <c r="Y84" s="49"/>
      <c r="Z84" s="66">
        <f>ROUND(SUM(Z72:Z83),5)</f>
        <v>46635.27</v>
      </c>
      <c r="AA84" s="280"/>
      <c r="AB84" s="66">
        <f t="shared" ref="AB84:AK84" si="28">ROUND(SUM(AB72:AB83),5)</f>
        <v>0</v>
      </c>
      <c r="AC84" s="66">
        <f t="shared" si="28"/>
        <v>0</v>
      </c>
      <c r="AD84" s="66">
        <f t="shared" si="28"/>
        <v>0</v>
      </c>
      <c r="AE84" s="66">
        <f t="shared" si="28"/>
        <v>0</v>
      </c>
      <c r="AF84" s="66">
        <f t="shared" si="28"/>
        <v>0</v>
      </c>
      <c r="AG84" s="66">
        <f t="shared" si="28"/>
        <v>0</v>
      </c>
      <c r="AH84" s="66">
        <f t="shared" si="28"/>
        <v>0</v>
      </c>
      <c r="AI84" s="66">
        <f t="shared" si="28"/>
        <v>0</v>
      </c>
      <c r="AJ84" s="66">
        <f t="shared" si="28"/>
        <v>0</v>
      </c>
      <c r="AK84" s="66">
        <f t="shared" si="28"/>
        <v>0</v>
      </c>
      <c r="AM84" s="66">
        <f t="shared" ref="AM84" si="29">ROUND(SUM(AM72:AM83),5)</f>
        <v>0</v>
      </c>
      <c r="AP84" s="131"/>
      <c r="AQ84" s="111"/>
    </row>
    <row r="85" spans="1:43" ht="16" hidden="1" thickBot="1" x14ac:dyDescent="0.4">
      <c r="A85" s="66"/>
      <c r="B85" s="66"/>
      <c r="C85" s="49"/>
      <c r="D85" s="49"/>
      <c r="E85" s="49"/>
      <c r="F85" s="49" t="s">
        <v>85</v>
      </c>
      <c r="G85" s="49"/>
      <c r="H85" s="63"/>
      <c r="I85" s="63"/>
      <c r="J85" s="64"/>
      <c r="K85" s="64"/>
      <c r="L85" s="65"/>
      <c r="M85" s="65"/>
      <c r="N85" s="66"/>
      <c r="O85" s="66"/>
      <c r="P85" s="69"/>
      <c r="Q85" s="69"/>
      <c r="R85" s="294"/>
      <c r="S85" s="49"/>
      <c r="T85" s="49"/>
      <c r="U85" s="49"/>
      <c r="V85" s="49"/>
      <c r="W85" s="49"/>
      <c r="X85" s="49" t="s">
        <v>85</v>
      </c>
      <c r="Y85" s="49"/>
      <c r="Z85" s="66"/>
      <c r="AA85" s="280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M85" s="66"/>
      <c r="AP85" s="131"/>
      <c r="AQ85" s="111"/>
    </row>
    <row r="86" spans="1:43" ht="16" hidden="1" thickBot="1" x14ac:dyDescent="0.4">
      <c r="A86" s="66"/>
      <c r="B86" s="66"/>
      <c r="C86" s="49"/>
      <c r="D86" s="49"/>
      <c r="E86" s="49"/>
      <c r="F86" s="49"/>
      <c r="G86" s="49" t="s">
        <v>86</v>
      </c>
      <c r="H86" s="63">
        <v>11323.36</v>
      </c>
      <c r="I86" s="63">
        <v>14105</v>
      </c>
      <c r="J86" s="64">
        <v>13454</v>
      </c>
      <c r="K86" s="64">
        <v>31248</v>
      </c>
      <c r="L86" s="65">
        <v>16278</v>
      </c>
      <c r="M86" s="65">
        <v>16240</v>
      </c>
      <c r="N86" s="66">
        <f t="shared" ref="N86:O90" si="30">ROUND(H86+J86+L86,5)</f>
        <v>41055.360000000001</v>
      </c>
      <c r="O86" s="66">
        <f t="shared" si="30"/>
        <v>61593</v>
      </c>
      <c r="P86" s="69">
        <f t="shared" si="25"/>
        <v>13685.12</v>
      </c>
      <c r="Q86" s="69">
        <f t="shared" si="25"/>
        <v>20531</v>
      </c>
      <c r="R86" s="294"/>
      <c r="S86" s="49"/>
      <c r="T86" s="49"/>
      <c r="U86" s="49"/>
      <c r="V86" s="49"/>
      <c r="W86" s="49"/>
      <c r="X86" s="49"/>
      <c r="Y86" s="49" t="s">
        <v>86</v>
      </c>
      <c r="Z86" s="66">
        <v>20921.37</v>
      </c>
      <c r="AA86" s="280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M86" s="66"/>
      <c r="AP86" s="131"/>
      <c r="AQ86" s="111"/>
    </row>
    <row r="87" spans="1:43" ht="16" hidden="1" thickBot="1" x14ac:dyDescent="0.4">
      <c r="A87" s="66"/>
      <c r="B87" s="66"/>
      <c r="C87" s="49"/>
      <c r="D87" s="49"/>
      <c r="E87" s="49"/>
      <c r="F87" s="49"/>
      <c r="G87" s="49" t="s">
        <v>87</v>
      </c>
      <c r="H87" s="63">
        <v>1519.02</v>
      </c>
      <c r="I87" s="63">
        <v>0</v>
      </c>
      <c r="J87" s="64">
        <v>1519.03</v>
      </c>
      <c r="K87" s="64">
        <v>2604</v>
      </c>
      <c r="L87" s="65">
        <v>1519.02</v>
      </c>
      <c r="M87" s="65">
        <v>3248</v>
      </c>
      <c r="N87" s="66">
        <f t="shared" si="30"/>
        <v>4557.07</v>
      </c>
      <c r="O87" s="66">
        <f t="shared" si="30"/>
        <v>5852</v>
      </c>
      <c r="P87" s="69">
        <f t="shared" si="25"/>
        <v>1519.0233333333333</v>
      </c>
      <c r="Q87" s="69">
        <f t="shared" si="25"/>
        <v>1950.6666666666667</v>
      </c>
      <c r="R87" s="294"/>
      <c r="S87" s="49"/>
      <c r="T87" s="49"/>
      <c r="U87" s="49"/>
      <c r="V87" s="49"/>
      <c r="W87" s="49"/>
      <c r="X87" s="49"/>
      <c r="Y87" s="49" t="s">
        <v>87</v>
      </c>
      <c r="Z87" s="66">
        <v>0</v>
      </c>
      <c r="AA87" s="280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M87" s="66"/>
      <c r="AP87" s="131"/>
      <c r="AQ87" s="111"/>
    </row>
    <row r="88" spans="1:43" ht="16" hidden="1" thickBot="1" x14ac:dyDescent="0.4">
      <c r="A88" s="66"/>
      <c r="B88" s="66"/>
      <c r="C88" s="49"/>
      <c r="D88" s="49"/>
      <c r="E88" s="49"/>
      <c r="F88" s="49"/>
      <c r="G88" s="49" t="s">
        <v>88</v>
      </c>
      <c r="H88" s="63">
        <v>5359</v>
      </c>
      <c r="I88" s="63">
        <v>22568</v>
      </c>
      <c r="J88" s="64">
        <v>0</v>
      </c>
      <c r="K88" s="64">
        <v>23436</v>
      </c>
      <c r="L88" s="65">
        <v>4340</v>
      </c>
      <c r="M88" s="65">
        <v>12992</v>
      </c>
      <c r="N88" s="66">
        <f t="shared" si="30"/>
        <v>9699</v>
      </c>
      <c r="O88" s="66">
        <f t="shared" si="30"/>
        <v>58996</v>
      </c>
      <c r="P88" s="69">
        <f t="shared" si="25"/>
        <v>3233</v>
      </c>
      <c r="Q88" s="69">
        <f t="shared" si="25"/>
        <v>19665.333333333332</v>
      </c>
      <c r="R88" s="294"/>
      <c r="S88" s="49"/>
      <c r="T88" s="49"/>
      <c r="U88" s="49"/>
      <c r="V88" s="49"/>
      <c r="W88" s="49"/>
      <c r="X88" s="49"/>
      <c r="Y88" s="49" t="s">
        <v>88</v>
      </c>
      <c r="Z88" s="66">
        <v>2234.3200000000002</v>
      </c>
      <c r="AA88" s="280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M88" s="66"/>
      <c r="AP88" s="131"/>
      <c r="AQ88" s="111"/>
    </row>
    <row r="89" spans="1:43" ht="16" hidden="1" thickBot="1" x14ac:dyDescent="0.4">
      <c r="A89" s="66"/>
      <c r="B89" s="66"/>
      <c r="C89" s="49"/>
      <c r="D89" s="49"/>
      <c r="E89" s="49"/>
      <c r="F89" s="49"/>
      <c r="G89" s="49" t="s">
        <v>89</v>
      </c>
      <c r="H89" s="70">
        <v>2070</v>
      </c>
      <c r="I89" s="70">
        <v>5382</v>
      </c>
      <c r="J89" s="71">
        <v>0</v>
      </c>
      <c r="K89" s="71">
        <v>1656</v>
      </c>
      <c r="L89" s="72">
        <v>2897.98</v>
      </c>
      <c r="M89" s="72">
        <v>8428</v>
      </c>
      <c r="N89" s="73">
        <f t="shared" si="30"/>
        <v>4967.9799999999996</v>
      </c>
      <c r="O89" s="73">
        <f t="shared" si="30"/>
        <v>15466</v>
      </c>
      <c r="P89" s="74">
        <f t="shared" si="25"/>
        <v>1655.9933333333331</v>
      </c>
      <c r="Q89" s="74">
        <f t="shared" si="25"/>
        <v>5155.333333333333</v>
      </c>
      <c r="R89" s="294"/>
      <c r="S89" s="49"/>
      <c r="T89" s="49"/>
      <c r="U89" s="49"/>
      <c r="V89" s="49"/>
      <c r="W89" s="49"/>
      <c r="X89" s="49"/>
      <c r="Y89" s="49" t="s">
        <v>89</v>
      </c>
      <c r="Z89" s="73">
        <v>2836.19</v>
      </c>
      <c r="AA89" s="280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M89" s="73"/>
      <c r="AP89" s="131"/>
      <c r="AQ89" s="111"/>
    </row>
    <row r="90" spans="1:43" ht="16" hidden="1" thickBot="1" x14ac:dyDescent="0.4">
      <c r="A90" s="66"/>
      <c r="B90" s="66"/>
      <c r="C90" s="49"/>
      <c r="D90" s="49"/>
      <c r="E90" s="49"/>
      <c r="F90" s="49" t="s">
        <v>90</v>
      </c>
      <c r="G90" s="49"/>
      <c r="H90" s="63">
        <f t="shared" ref="H90:M90" si="31">ROUND(SUM(H85:H89),5)</f>
        <v>20271.38</v>
      </c>
      <c r="I90" s="63">
        <f t="shared" si="31"/>
        <v>42055</v>
      </c>
      <c r="J90" s="64">
        <f t="shared" si="31"/>
        <v>14973.03</v>
      </c>
      <c r="K90" s="64">
        <f t="shared" si="31"/>
        <v>58944</v>
      </c>
      <c r="L90" s="65">
        <f t="shared" si="31"/>
        <v>25035</v>
      </c>
      <c r="M90" s="65">
        <f t="shared" si="31"/>
        <v>40908</v>
      </c>
      <c r="N90" s="66">
        <f t="shared" si="30"/>
        <v>60279.41</v>
      </c>
      <c r="O90" s="66">
        <f t="shared" si="30"/>
        <v>141907</v>
      </c>
      <c r="P90" s="69">
        <f t="shared" si="25"/>
        <v>20093.136666666669</v>
      </c>
      <c r="Q90" s="69">
        <f t="shared" si="25"/>
        <v>47302.333333333336</v>
      </c>
      <c r="R90" s="294"/>
      <c r="S90" s="49"/>
      <c r="T90" s="49"/>
      <c r="U90" s="49"/>
      <c r="V90" s="49"/>
      <c r="W90" s="49"/>
      <c r="X90" s="49" t="s">
        <v>90</v>
      </c>
      <c r="Y90" s="49"/>
      <c r="Z90" s="66">
        <f>ROUND(SUM(Z85:Z89),5)</f>
        <v>25991.88</v>
      </c>
      <c r="AA90" s="280"/>
      <c r="AB90" s="66">
        <f t="shared" ref="AB90:AK90" si="32">ROUND(SUM(AB85:AB89),5)</f>
        <v>0</v>
      </c>
      <c r="AC90" s="66">
        <f t="shared" si="32"/>
        <v>0</v>
      </c>
      <c r="AD90" s="66">
        <f t="shared" si="32"/>
        <v>0</v>
      </c>
      <c r="AE90" s="66">
        <f t="shared" si="32"/>
        <v>0</v>
      </c>
      <c r="AF90" s="66">
        <f t="shared" si="32"/>
        <v>0</v>
      </c>
      <c r="AG90" s="66">
        <f t="shared" si="32"/>
        <v>0</v>
      </c>
      <c r="AH90" s="66">
        <f t="shared" si="32"/>
        <v>0</v>
      </c>
      <c r="AI90" s="66">
        <f t="shared" si="32"/>
        <v>0</v>
      </c>
      <c r="AJ90" s="66">
        <f t="shared" si="32"/>
        <v>0</v>
      </c>
      <c r="AK90" s="66">
        <f t="shared" si="32"/>
        <v>0</v>
      </c>
      <c r="AM90" s="66">
        <f t="shared" ref="AM90" si="33">ROUND(SUM(AM85:AM89),5)</f>
        <v>0</v>
      </c>
      <c r="AP90" s="131"/>
      <c r="AQ90" s="111"/>
    </row>
    <row r="91" spans="1:43" ht="16" hidden="1" thickBot="1" x14ac:dyDescent="0.4">
      <c r="A91" s="66"/>
      <c r="B91" s="66"/>
      <c r="C91" s="49"/>
      <c r="D91" s="49"/>
      <c r="E91" s="49"/>
      <c r="F91" s="49" t="s">
        <v>91</v>
      </c>
      <c r="G91" s="49"/>
      <c r="H91" s="63"/>
      <c r="I91" s="63"/>
      <c r="J91" s="64"/>
      <c r="K91" s="64"/>
      <c r="L91" s="65"/>
      <c r="M91" s="65"/>
      <c r="N91" s="66"/>
      <c r="O91" s="66"/>
      <c r="P91" s="69"/>
      <c r="Q91" s="69"/>
      <c r="R91" s="294"/>
      <c r="S91" s="49"/>
      <c r="T91" s="49"/>
      <c r="U91" s="49"/>
      <c r="V91" s="49"/>
      <c r="W91" s="49"/>
      <c r="X91" s="49" t="s">
        <v>91</v>
      </c>
      <c r="Y91" s="49"/>
      <c r="Z91" s="66"/>
      <c r="AA91" s="280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M91" s="66"/>
      <c r="AP91" s="131"/>
      <c r="AQ91" s="111"/>
    </row>
    <row r="92" spans="1:43" ht="16" hidden="1" thickBot="1" x14ac:dyDescent="0.4">
      <c r="A92" s="66"/>
      <c r="B92" s="66"/>
      <c r="C92" s="49"/>
      <c r="D92" s="49"/>
      <c r="E92" s="49"/>
      <c r="F92" s="49"/>
      <c r="G92" s="49" t="s">
        <v>92</v>
      </c>
      <c r="H92" s="63">
        <v>22281.85</v>
      </c>
      <c r="I92" s="63">
        <v>19747</v>
      </c>
      <c r="J92" s="64">
        <v>41664</v>
      </c>
      <c r="K92" s="64">
        <v>20832</v>
      </c>
      <c r="L92" s="65">
        <v>44917</v>
      </c>
      <c r="M92" s="65">
        <v>29000</v>
      </c>
      <c r="N92" s="66">
        <f t="shared" ref="N92:O100" si="34">ROUND(H92+J92+L92,5)</f>
        <v>108862.85</v>
      </c>
      <c r="O92" s="66">
        <f t="shared" si="34"/>
        <v>69579</v>
      </c>
      <c r="P92" s="69">
        <f t="shared" si="25"/>
        <v>36287.616666666669</v>
      </c>
      <c r="Q92" s="69">
        <f t="shared" si="25"/>
        <v>23193</v>
      </c>
      <c r="R92" s="294"/>
      <c r="S92" s="49"/>
      <c r="T92" s="49"/>
      <c r="U92" s="49"/>
      <c r="V92" s="49"/>
      <c r="W92" s="49"/>
      <c r="X92" s="49"/>
      <c r="Y92" s="49" t="s">
        <v>92</v>
      </c>
      <c r="Z92" s="66">
        <v>44077.07</v>
      </c>
      <c r="AA92" s="280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M92" s="66"/>
      <c r="AP92" s="131"/>
      <c r="AQ92" s="111"/>
    </row>
    <row r="93" spans="1:43" ht="16" hidden="1" thickBot="1" x14ac:dyDescent="0.4">
      <c r="A93" s="66"/>
      <c r="B93" s="66"/>
      <c r="C93" s="49"/>
      <c r="D93" s="49"/>
      <c r="E93" s="49"/>
      <c r="F93" s="49"/>
      <c r="G93" s="49" t="s">
        <v>93</v>
      </c>
      <c r="H93" s="63">
        <v>1755.98</v>
      </c>
      <c r="I93" s="63">
        <v>2821</v>
      </c>
      <c r="J93" s="64">
        <v>10199.11</v>
      </c>
      <c r="K93" s="64">
        <v>10416</v>
      </c>
      <c r="L93" s="65">
        <v>2563.0300000000002</v>
      </c>
      <c r="M93" s="65">
        <v>6496</v>
      </c>
      <c r="N93" s="66">
        <f t="shared" si="34"/>
        <v>14518.12</v>
      </c>
      <c r="O93" s="66">
        <f t="shared" si="34"/>
        <v>19733</v>
      </c>
      <c r="P93" s="69">
        <f t="shared" si="25"/>
        <v>4839.3733333333339</v>
      </c>
      <c r="Q93" s="69">
        <f t="shared" si="25"/>
        <v>6577.666666666667</v>
      </c>
      <c r="R93" s="294"/>
      <c r="S93" s="49"/>
      <c r="T93" s="49"/>
      <c r="U93" s="49"/>
      <c r="V93" s="49"/>
      <c r="W93" s="49"/>
      <c r="X93" s="49"/>
      <c r="Y93" s="49" t="s">
        <v>93</v>
      </c>
      <c r="Z93" s="66">
        <v>13202.81</v>
      </c>
      <c r="AA93" s="280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M93" s="66"/>
      <c r="AP93" s="131"/>
      <c r="AQ93" s="111"/>
    </row>
    <row r="94" spans="1:43" ht="16" hidden="1" thickBot="1" x14ac:dyDescent="0.4">
      <c r="A94" s="66"/>
      <c r="B94" s="66"/>
      <c r="C94" s="49"/>
      <c r="D94" s="49"/>
      <c r="E94" s="49"/>
      <c r="F94" s="49"/>
      <c r="G94" s="49" t="s">
        <v>94</v>
      </c>
      <c r="H94" s="63">
        <v>11875.49</v>
      </c>
      <c r="I94" s="63">
        <v>11284</v>
      </c>
      <c r="J94" s="64">
        <v>12152</v>
      </c>
      <c r="K94" s="64">
        <v>28644</v>
      </c>
      <c r="L94" s="65">
        <v>19457</v>
      </c>
      <c r="M94" s="65">
        <v>22504</v>
      </c>
      <c r="N94" s="66">
        <f t="shared" si="34"/>
        <v>43484.49</v>
      </c>
      <c r="O94" s="66">
        <f t="shared" si="34"/>
        <v>62432</v>
      </c>
      <c r="P94" s="69">
        <f t="shared" si="25"/>
        <v>14494.83</v>
      </c>
      <c r="Q94" s="69">
        <f t="shared" si="25"/>
        <v>20810.666666666668</v>
      </c>
      <c r="R94" s="294"/>
      <c r="S94" s="49"/>
      <c r="T94" s="49"/>
      <c r="U94" s="49"/>
      <c r="V94" s="49"/>
      <c r="W94" s="49"/>
      <c r="X94" s="49"/>
      <c r="Y94" s="49" t="s">
        <v>94</v>
      </c>
      <c r="Z94" s="66">
        <v>17671.45</v>
      </c>
      <c r="AA94" s="280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M94" s="66"/>
      <c r="AP94" s="131"/>
      <c r="AQ94" s="111"/>
    </row>
    <row r="95" spans="1:43" ht="16" hidden="1" thickBot="1" x14ac:dyDescent="0.4">
      <c r="A95" s="66"/>
      <c r="B95" s="66"/>
      <c r="C95" s="49"/>
      <c r="D95" s="49"/>
      <c r="E95" s="49"/>
      <c r="F95" s="49"/>
      <c r="G95" s="49" t="s">
        <v>95</v>
      </c>
      <c r="H95" s="63">
        <v>0</v>
      </c>
      <c r="I95" s="63">
        <v>5642</v>
      </c>
      <c r="J95" s="64">
        <v>2821.05</v>
      </c>
      <c r="K95" s="64">
        <v>7812</v>
      </c>
      <c r="L95" s="65">
        <v>1390.01</v>
      </c>
      <c r="M95" s="65">
        <v>0</v>
      </c>
      <c r="N95" s="66">
        <f t="shared" si="34"/>
        <v>4211.0600000000004</v>
      </c>
      <c r="O95" s="66">
        <f t="shared" si="34"/>
        <v>13454</v>
      </c>
      <c r="P95" s="69">
        <f t="shared" si="25"/>
        <v>1403.6866666666667</v>
      </c>
      <c r="Q95" s="69">
        <f t="shared" si="25"/>
        <v>4484.666666666667</v>
      </c>
      <c r="R95" s="294"/>
      <c r="S95" s="49"/>
      <c r="T95" s="49"/>
      <c r="U95" s="49"/>
      <c r="V95" s="49"/>
      <c r="W95" s="49"/>
      <c r="X95" s="49"/>
      <c r="Y95" s="49" t="s">
        <v>95</v>
      </c>
      <c r="Z95" s="66">
        <v>1828.08</v>
      </c>
      <c r="AA95" s="280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M95" s="66"/>
      <c r="AP95" s="131"/>
      <c r="AQ95" s="111"/>
    </row>
    <row r="96" spans="1:43" ht="16" hidden="1" thickBot="1" x14ac:dyDescent="0.4">
      <c r="A96" s="66"/>
      <c r="B96" s="66"/>
      <c r="C96" s="49"/>
      <c r="D96" s="49"/>
      <c r="E96" s="49"/>
      <c r="F96" s="49"/>
      <c r="G96" s="49" t="s">
        <v>96</v>
      </c>
      <c r="H96" s="63">
        <v>13617.53</v>
      </c>
      <c r="I96" s="63">
        <v>7176</v>
      </c>
      <c r="J96" s="64">
        <v>17940</v>
      </c>
      <c r="K96" s="64">
        <v>8280</v>
      </c>
      <c r="L96" s="65">
        <v>17886</v>
      </c>
      <c r="M96" s="65">
        <v>18663</v>
      </c>
      <c r="N96" s="66">
        <f t="shared" si="34"/>
        <v>49443.53</v>
      </c>
      <c r="O96" s="66">
        <f t="shared" si="34"/>
        <v>34119</v>
      </c>
      <c r="P96" s="69">
        <f t="shared" si="25"/>
        <v>16481.176666666666</v>
      </c>
      <c r="Q96" s="69">
        <f t="shared" si="25"/>
        <v>11373</v>
      </c>
      <c r="R96" s="294"/>
      <c r="S96" s="49"/>
      <c r="T96" s="49"/>
      <c r="U96" s="49"/>
      <c r="V96" s="49"/>
      <c r="W96" s="49"/>
      <c r="X96" s="49"/>
      <c r="Y96" s="49" t="s">
        <v>96</v>
      </c>
      <c r="Z96" s="66">
        <v>22369.42</v>
      </c>
      <c r="AA96" s="280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M96" s="66"/>
      <c r="AP96" s="131"/>
      <c r="AQ96" s="111"/>
    </row>
    <row r="97" spans="1:43" ht="16" hidden="1" thickBot="1" x14ac:dyDescent="0.4">
      <c r="A97" s="66"/>
      <c r="B97" s="66"/>
      <c r="C97" s="49"/>
      <c r="D97" s="49"/>
      <c r="E97" s="49"/>
      <c r="F97" s="49"/>
      <c r="G97" s="49" t="s">
        <v>97</v>
      </c>
      <c r="H97" s="63">
        <v>4362.03</v>
      </c>
      <c r="I97" s="63">
        <v>0</v>
      </c>
      <c r="J97" s="64">
        <v>966</v>
      </c>
      <c r="K97" s="64">
        <v>3312</v>
      </c>
      <c r="L97" s="65">
        <v>0</v>
      </c>
      <c r="M97" s="65">
        <v>4214</v>
      </c>
      <c r="N97" s="66">
        <f t="shared" si="34"/>
        <v>5328.03</v>
      </c>
      <c r="O97" s="66">
        <f t="shared" si="34"/>
        <v>7526</v>
      </c>
      <c r="P97" s="69">
        <f t="shared" si="25"/>
        <v>1776.01</v>
      </c>
      <c r="Q97" s="69">
        <f t="shared" si="25"/>
        <v>2508.6666666666665</v>
      </c>
      <c r="R97" s="294"/>
      <c r="S97" s="49"/>
      <c r="T97" s="49"/>
      <c r="U97" s="49"/>
      <c r="V97" s="49"/>
      <c r="W97" s="49"/>
      <c r="X97" s="49"/>
      <c r="Y97" s="49" t="s">
        <v>97</v>
      </c>
      <c r="Z97" s="66">
        <v>1203.74</v>
      </c>
      <c r="AA97" s="280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M97" s="66"/>
      <c r="AP97" s="131"/>
      <c r="AQ97" s="111"/>
    </row>
    <row r="98" spans="1:43" ht="16" hidden="1" thickBot="1" x14ac:dyDescent="0.4">
      <c r="A98" s="66"/>
      <c r="B98" s="66"/>
      <c r="C98" s="49"/>
      <c r="D98" s="49"/>
      <c r="E98" s="49"/>
      <c r="F98" s="49"/>
      <c r="G98" s="49" t="s">
        <v>98</v>
      </c>
      <c r="H98" s="63">
        <v>27637.29</v>
      </c>
      <c r="I98" s="63">
        <v>14105</v>
      </c>
      <c r="J98" s="64">
        <v>18228</v>
      </c>
      <c r="K98" s="64">
        <v>26040</v>
      </c>
      <c r="L98" s="65">
        <v>17768</v>
      </c>
      <c r="M98" s="65">
        <v>29000</v>
      </c>
      <c r="N98" s="66">
        <f t="shared" si="34"/>
        <v>63633.29</v>
      </c>
      <c r="O98" s="66">
        <f t="shared" si="34"/>
        <v>69145</v>
      </c>
      <c r="P98" s="69">
        <f t="shared" si="25"/>
        <v>21211.096666666668</v>
      </c>
      <c r="Q98" s="69">
        <f t="shared" si="25"/>
        <v>23048.333333333332</v>
      </c>
      <c r="R98" s="294"/>
      <c r="S98" s="49"/>
      <c r="T98" s="49"/>
      <c r="U98" s="49"/>
      <c r="V98" s="49"/>
      <c r="W98" s="49"/>
      <c r="X98" s="49"/>
      <c r="Y98" s="49" t="s">
        <v>98</v>
      </c>
      <c r="Z98" s="66">
        <v>19296.41</v>
      </c>
      <c r="AA98" s="280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M98" s="66"/>
      <c r="AP98" s="131"/>
      <c r="AQ98" s="111"/>
    </row>
    <row r="99" spans="1:43" ht="16" hidden="1" thickBot="1" x14ac:dyDescent="0.4">
      <c r="A99" s="66"/>
      <c r="B99" s="66"/>
      <c r="C99" s="49"/>
      <c r="D99" s="49"/>
      <c r="E99" s="49"/>
      <c r="F99" s="49"/>
      <c r="G99" s="49" t="s">
        <v>99</v>
      </c>
      <c r="H99" s="63">
        <v>0</v>
      </c>
      <c r="I99" s="63">
        <v>5642</v>
      </c>
      <c r="J99" s="64">
        <v>5425.05</v>
      </c>
      <c r="K99" s="64">
        <v>10416</v>
      </c>
      <c r="L99" s="65">
        <v>2129</v>
      </c>
      <c r="M99" s="65">
        <v>0</v>
      </c>
      <c r="N99" s="66">
        <f t="shared" si="34"/>
        <v>7554.05</v>
      </c>
      <c r="O99" s="66">
        <f t="shared" si="34"/>
        <v>16058</v>
      </c>
      <c r="P99" s="69">
        <f t="shared" si="25"/>
        <v>2518.0166666666669</v>
      </c>
      <c r="Q99" s="69">
        <f t="shared" si="25"/>
        <v>5352.666666666667</v>
      </c>
      <c r="R99" s="294"/>
      <c r="S99" s="49"/>
      <c r="T99" s="49"/>
      <c r="U99" s="49"/>
      <c r="V99" s="49"/>
      <c r="W99" s="49"/>
      <c r="X99" s="49"/>
      <c r="Y99" s="49" t="s">
        <v>99</v>
      </c>
      <c r="Z99" s="66">
        <v>6499.84</v>
      </c>
      <c r="AA99" s="280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M99" s="66"/>
      <c r="AP99" s="131"/>
      <c r="AQ99" s="111"/>
    </row>
    <row r="100" spans="1:43" ht="16" hidden="1" thickBot="1" x14ac:dyDescent="0.4">
      <c r="A100" s="66"/>
      <c r="B100" s="66"/>
      <c r="C100" s="49"/>
      <c r="D100" s="49"/>
      <c r="E100" s="49"/>
      <c r="F100" s="49"/>
      <c r="G100" s="49" t="s">
        <v>100</v>
      </c>
      <c r="H100" s="63">
        <v>414</v>
      </c>
      <c r="I100" s="63">
        <v>3588</v>
      </c>
      <c r="J100" s="64">
        <v>3588</v>
      </c>
      <c r="K100" s="64">
        <v>6624</v>
      </c>
      <c r="L100" s="65">
        <v>1512</v>
      </c>
      <c r="M100" s="65">
        <v>2107</v>
      </c>
      <c r="N100" s="66">
        <f t="shared" si="34"/>
        <v>5514</v>
      </c>
      <c r="O100" s="66">
        <f t="shared" si="34"/>
        <v>12319</v>
      </c>
      <c r="P100" s="69">
        <f t="shared" si="25"/>
        <v>1838</v>
      </c>
      <c r="Q100" s="69">
        <f t="shared" si="25"/>
        <v>4106.333333333333</v>
      </c>
      <c r="R100" s="294"/>
      <c r="S100" s="49"/>
      <c r="T100" s="49"/>
      <c r="U100" s="49"/>
      <c r="V100" s="49"/>
      <c r="W100" s="49"/>
      <c r="X100" s="49"/>
      <c r="Y100" s="49" t="s">
        <v>100</v>
      </c>
      <c r="Z100" s="66">
        <v>5078.9399999999996</v>
      </c>
      <c r="AA100" s="280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M100" s="66"/>
      <c r="AP100" s="131"/>
      <c r="AQ100" s="111"/>
    </row>
    <row r="101" spans="1:43" ht="16" hidden="1" thickBot="1" x14ac:dyDescent="0.4">
      <c r="A101" s="66"/>
      <c r="B101" s="66"/>
      <c r="C101" s="49"/>
      <c r="D101" s="49"/>
      <c r="E101" s="49"/>
      <c r="F101" s="49"/>
      <c r="G101" s="49" t="s">
        <v>580</v>
      </c>
      <c r="H101" s="70"/>
      <c r="I101" s="70"/>
      <c r="J101" s="71"/>
      <c r="K101" s="71"/>
      <c r="L101" s="72"/>
      <c r="M101" s="72"/>
      <c r="N101" s="73"/>
      <c r="O101" s="73"/>
      <c r="P101" s="74"/>
      <c r="Q101" s="74"/>
      <c r="R101" s="294"/>
      <c r="S101" s="49"/>
      <c r="T101" s="49"/>
      <c r="U101" s="49"/>
      <c r="V101" s="49"/>
      <c r="W101" s="49"/>
      <c r="X101" s="49"/>
      <c r="Y101" s="49" t="s">
        <v>580</v>
      </c>
      <c r="Z101" s="73">
        <v>262.08999999999997</v>
      </c>
      <c r="AA101" s="280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M101" s="73"/>
      <c r="AP101" s="131"/>
      <c r="AQ101" s="111"/>
    </row>
    <row r="102" spans="1:43" ht="16" hidden="1" thickBot="1" x14ac:dyDescent="0.4">
      <c r="A102" s="66"/>
      <c r="B102" s="66"/>
      <c r="C102" s="49"/>
      <c r="D102" s="49"/>
      <c r="E102" s="49"/>
      <c r="F102" s="49" t="s">
        <v>101</v>
      </c>
      <c r="G102" s="49"/>
      <c r="H102" s="63">
        <f t="shared" ref="H102:M102" si="35">ROUND(SUM(H91:H100),5)</f>
        <v>81944.17</v>
      </c>
      <c r="I102" s="63">
        <f t="shared" si="35"/>
        <v>70005</v>
      </c>
      <c r="J102" s="64">
        <f t="shared" si="35"/>
        <v>112983.21</v>
      </c>
      <c r="K102" s="64">
        <f t="shared" si="35"/>
        <v>122376</v>
      </c>
      <c r="L102" s="65">
        <f t="shared" si="35"/>
        <v>107622.04</v>
      </c>
      <c r="M102" s="65">
        <f t="shared" si="35"/>
        <v>111984</v>
      </c>
      <c r="N102" s="66">
        <f>ROUND(H102+J102+L102,5)</f>
        <v>302549.42</v>
      </c>
      <c r="O102" s="66">
        <f>ROUND(I102+K102+M102,5)</f>
        <v>304365</v>
      </c>
      <c r="P102" s="69">
        <f t="shared" si="25"/>
        <v>100849.80666666666</v>
      </c>
      <c r="Q102" s="69">
        <f t="shared" si="25"/>
        <v>101455</v>
      </c>
      <c r="R102" s="294"/>
      <c r="S102" s="49"/>
      <c r="T102" s="49"/>
      <c r="U102" s="49"/>
      <c r="V102" s="49"/>
      <c r="W102" s="49"/>
      <c r="X102" s="49" t="s">
        <v>101</v>
      </c>
      <c r="Y102" s="49"/>
      <c r="Z102" s="66">
        <f>ROUND(SUM(Z91:Z101),5)</f>
        <v>131489.85</v>
      </c>
      <c r="AA102" s="280"/>
      <c r="AB102" s="66">
        <f t="shared" ref="AB102:AK102" si="36">ROUND(SUM(AB91:AB101),5)</f>
        <v>0</v>
      </c>
      <c r="AC102" s="66">
        <f t="shared" si="36"/>
        <v>0</v>
      </c>
      <c r="AD102" s="66">
        <f t="shared" si="36"/>
        <v>0</v>
      </c>
      <c r="AE102" s="66">
        <f t="shared" si="36"/>
        <v>0</v>
      </c>
      <c r="AF102" s="66">
        <f t="shared" si="36"/>
        <v>0</v>
      </c>
      <c r="AG102" s="66">
        <f t="shared" si="36"/>
        <v>0</v>
      </c>
      <c r="AH102" s="66">
        <f t="shared" si="36"/>
        <v>0</v>
      </c>
      <c r="AI102" s="66">
        <f t="shared" si="36"/>
        <v>0</v>
      </c>
      <c r="AJ102" s="66">
        <f t="shared" si="36"/>
        <v>0</v>
      </c>
      <c r="AK102" s="66">
        <f t="shared" si="36"/>
        <v>0</v>
      </c>
      <c r="AM102" s="66">
        <f t="shared" ref="AM102" si="37">ROUND(SUM(AM91:AM101),5)</f>
        <v>0</v>
      </c>
      <c r="AP102" s="131"/>
      <c r="AQ102" s="111"/>
    </row>
    <row r="103" spans="1:43" ht="16" hidden="1" thickBot="1" x14ac:dyDescent="0.4">
      <c r="A103" s="66"/>
      <c r="B103" s="66"/>
      <c r="C103" s="49"/>
      <c r="D103" s="49"/>
      <c r="E103" s="49"/>
      <c r="F103" s="49" t="s">
        <v>102</v>
      </c>
      <c r="G103" s="49"/>
      <c r="H103" s="63"/>
      <c r="I103" s="63"/>
      <c r="J103" s="64"/>
      <c r="K103" s="64"/>
      <c r="L103" s="65"/>
      <c r="M103" s="65"/>
      <c r="N103" s="66"/>
      <c r="O103" s="66"/>
      <c r="P103" s="69">
        <f t="shared" si="25"/>
        <v>0</v>
      </c>
      <c r="Q103" s="69">
        <f t="shared" si="25"/>
        <v>0</v>
      </c>
      <c r="R103" s="294"/>
      <c r="S103" s="49"/>
      <c r="T103" s="49"/>
      <c r="U103" s="49"/>
      <c r="V103" s="49"/>
      <c r="W103" s="49"/>
      <c r="X103" s="49" t="s">
        <v>102</v>
      </c>
      <c r="Y103" s="49"/>
      <c r="Z103" s="66"/>
      <c r="AA103" s="280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M103" s="66"/>
      <c r="AP103" s="131"/>
      <c r="AQ103" s="111"/>
    </row>
    <row r="104" spans="1:43" ht="16" hidden="1" thickBot="1" x14ac:dyDescent="0.4">
      <c r="A104" s="66"/>
      <c r="B104" s="66"/>
      <c r="C104" s="49"/>
      <c r="D104" s="49"/>
      <c r="E104" s="49"/>
      <c r="F104" s="49"/>
      <c r="G104" s="49" t="s">
        <v>103</v>
      </c>
      <c r="H104" s="63">
        <v>19608.240000000002</v>
      </c>
      <c r="I104" s="63">
        <v>0</v>
      </c>
      <c r="J104" s="64">
        <v>32116</v>
      </c>
      <c r="K104" s="64">
        <v>31248</v>
      </c>
      <c r="L104" s="65">
        <v>22715</v>
      </c>
      <c r="M104" s="65">
        <v>32016</v>
      </c>
      <c r="N104" s="66">
        <f t="shared" ref="N104:O111" si="38">ROUND(H104+J104+L104,5)</f>
        <v>74439.240000000005</v>
      </c>
      <c r="O104" s="66">
        <f t="shared" si="38"/>
        <v>63264</v>
      </c>
      <c r="P104" s="69">
        <f t="shared" si="25"/>
        <v>24813.08</v>
      </c>
      <c r="Q104" s="69">
        <f t="shared" si="25"/>
        <v>21088</v>
      </c>
      <c r="R104" s="294"/>
      <c r="S104" s="49"/>
      <c r="T104" s="49"/>
      <c r="U104" s="49"/>
      <c r="V104" s="49"/>
      <c r="W104" s="49"/>
      <c r="X104" s="49"/>
      <c r="Y104" s="49" t="s">
        <v>103</v>
      </c>
      <c r="Z104" s="66">
        <v>42045.87</v>
      </c>
      <c r="AA104" s="280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M104" s="66"/>
      <c r="AP104" s="131"/>
      <c r="AQ104" s="111"/>
    </row>
    <row r="105" spans="1:43" ht="16" hidden="1" thickBot="1" x14ac:dyDescent="0.4">
      <c r="A105" s="66"/>
      <c r="B105" s="66"/>
      <c r="C105" s="49"/>
      <c r="D105" s="49"/>
      <c r="E105" s="49"/>
      <c r="F105" s="49"/>
      <c r="G105" s="49" t="s">
        <v>104</v>
      </c>
      <c r="H105" s="63">
        <v>6884.77</v>
      </c>
      <c r="I105" s="63">
        <v>2821</v>
      </c>
      <c r="J105" s="64">
        <v>2387.04</v>
      </c>
      <c r="K105" s="64">
        <v>10416</v>
      </c>
      <c r="L105" s="65">
        <v>4299.0200000000004</v>
      </c>
      <c r="M105" s="65">
        <v>12992</v>
      </c>
      <c r="N105" s="66">
        <f t="shared" si="38"/>
        <v>13570.83</v>
      </c>
      <c r="O105" s="66">
        <f t="shared" si="38"/>
        <v>26229</v>
      </c>
      <c r="P105" s="69">
        <f t="shared" si="25"/>
        <v>4523.6099999999997</v>
      </c>
      <c r="Q105" s="69">
        <f t="shared" si="25"/>
        <v>8743</v>
      </c>
      <c r="R105" s="294"/>
      <c r="S105" s="49"/>
      <c r="T105" s="49"/>
      <c r="U105" s="49"/>
      <c r="V105" s="49"/>
      <c r="W105" s="49"/>
      <c r="X105" s="49"/>
      <c r="Y105" s="49" t="s">
        <v>104</v>
      </c>
      <c r="Z105" s="66">
        <v>3656.16</v>
      </c>
      <c r="AA105" s="280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M105" s="66"/>
      <c r="AP105" s="131"/>
      <c r="AQ105" s="111"/>
    </row>
    <row r="106" spans="1:43" ht="16" hidden="1" thickBot="1" x14ac:dyDescent="0.4">
      <c r="A106" s="66"/>
      <c r="B106" s="66"/>
      <c r="C106" s="49"/>
      <c r="D106" s="49"/>
      <c r="E106" s="49"/>
      <c r="F106" s="49"/>
      <c r="G106" s="49" t="s">
        <v>105</v>
      </c>
      <c r="H106" s="63">
        <v>5902.72</v>
      </c>
      <c r="I106" s="63">
        <v>8970</v>
      </c>
      <c r="J106" s="64">
        <v>7728</v>
      </c>
      <c r="K106" s="64">
        <v>1656</v>
      </c>
      <c r="L106" s="65">
        <v>17502</v>
      </c>
      <c r="M106" s="65">
        <v>12492</v>
      </c>
      <c r="N106" s="66">
        <f t="shared" si="38"/>
        <v>31132.720000000001</v>
      </c>
      <c r="O106" s="66">
        <f t="shared" si="38"/>
        <v>23118</v>
      </c>
      <c r="P106" s="69">
        <f t="shared" si="25"/>
        <v>10377.573333333334</v>
      </c>
      <c r="Q106" s="69">
        <f t="shared" si="25"/>
        <v>7706</v>
      </c>
      <c r="R106" s="294"/>
      <c r="S106" s="49"/>
      <c r="T106" s="49"/>
      <c r="U106" s="49"/>
      <c r="V106" s="49"/>
      <c r="W106" s="49"/>
      <c r="X106" s="49"/>
      <c r="Y106" s="49" t="s">
        <v>105</v>
      </c>
      <c r="Z106" s="66">
        <v>16112.95</v>
      </c>
      <c r="AA106" s="280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M106" s="66"/>
      <c r="AP106" s="131"/>
      <c r="AQ106" s="111"/>
    </row>
    <row r="107" spans="1:43" ht="16" hidden="1" thickBot="1" x14ac:dyDescent="0.4">
      <c r="A107" s="66"/>
      <c r="B107" s="66"/>
      <c r="C107" s="49"/>
      <c r="D107" s="49"/>
      <c r="E107" s="49"/>
      <c r="F107" s="49"/>
      <c r="G107" s="49" t="s">
        <v>106</v>
      </c>
      <c r="H107" s="63">
        <v>2208</v>
      </c>
      <c r="I107" s="63">
        <v>5382</v>
      </c>
      <c r="J107" s="64">
        <v>2897.97</v>
      </c>
      <c r="K107" s="64">
        <v>0</v>
      </c>
      <c r="L107" s="65">
        <v>0</v>
      </c>
      <c r="M107" s="65">
        <v>2107</v>
      </c>
      <c r="N107" s="66">
        <f t="shared" si="38"/>
        <v>5105.97</v>
      </c>
      <c r="O107" s="66">
        <f t="shared" si="38"/>
        <v>7489</v>
      </c>
      <c r="P107" s="69">
        <f t="shared" si="25"/>
        <v>1701.99</v>
      </c>
      <c r="Q107" s="69">
        <f t="shared" si="25"/>
        <v>2496.3333333333335</v>
      </c>
      <c r="R107" s="294"/>
      <c r="S107" s="49"/>
      <c r="T107" s="49"/>
      <c r="U107" s="49"/>
      <c r="V107" s="49"/>
      <c r="W107" s="49"/>
      <c r="X107" s="49"/>
      <c r="Y107" s="49" t="s">
        <v>106</v>
      </c>
      <c r="Z107" s="66">
        <v>645.87</v>
      </c>
      <c r="AA107" s="280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M107" s="66"/>
      <c r="AP107" s="131"/>
      <c r="AQ107" s="111"/>
    </row>
    <row r="108" spans="1:43" ht="16" hidden="1" thickBot="1" x14ac:dyDescent="0.4">
      <c r="A108" s="66"/>
      <c r="B108" s="66"/>
      <c r="C108" s="49"/>
      <c r="D108" s="49"/>
      <c r="E108" s="49"/>
      <c r="F108" s="49"/>
      <c r="G108" s="49" t="s">
        <v>107</v>
      </c>
      <c r="H108" s="63">
        <v>19722.3</v>
      </c>
      <c r="I108" s="63">
        <v>8970</v>
      </c>
      <c r="J108" s="64">
        <v>14214</v>
      </c>
      <c r="K108" s="64">
        <v>1656</v>
      </c>
      <c r="L108" s="65">
        <v>26826</v>
      </c>
      <c r="M108" s="65">
        <v>31155</v>
      </c>
      <c r="N108" s="66">
        <f t="shared" si="38"/>
        <v>60762.3</v>
      </c>
      <c r="O108" s="66">
        <f t="shared" si="38"/>
        <v>41781</v>
      </c>
      <c r="P108" s="69">
        <f t="shared" si="25"/>
        <v>20254.100000000002</v>
      </c>
      <c r="Q108" s="69">
        <f t="shared" si="25"/>
        <v>13927</v>
      </c>
      <c r="R108" s="294"/>
      <c r="S108" s="49"/>
      <c r="T108" s="49"/>
      <c r="U108" s="49"/>
      <c r="V108" s="49"/>
      <c r="W108" s="49"/>
      <c r="X108" s="49"/>
      <c r="Y108" s="49" t="s">
        <v>107</v>
      </c>
      <c r="Z108" s="66">
        <v>29904.52</v>
      </c>
      <c r="AA108" s="280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M108" s="66"/>
      <c r="AP108" s="131"/>
      <c r="AQ108" s="111"/>
    </row>
    <row r="109" spans="1:43" ht="16" hidden="1" thickBot="1" x14ac:dyDescent="0.4">
      <c r="A109" s="66"/>
      <c r="B109" s="66"/>
      <c r="C109" s="49"/>
      <c r="D109" s="49"/>
      <c r="E109" s="49"/>
      <c r="F109" s="49"/>
      <c r="G109" s="49" t="s">
        <v>108</v>
      </c>
      <c r="H109" s="63">
        <v>4692</v>
      </c>
      <c r="I109" s="63">
        <v>5382</v>
      </c>
      <c r="J109" s="64">
        <v>7175.97</v>
      </c>
      <c r="K109" s="64">
        <v>0</v>
      </c>
      <c r="L109" s="65">
        <v>8487.92</v>
      </c>
      <c r="M109" s="65">
        <v>0</v>
      </c>
      <c r="N109" s="66">
        <f t="shared" si="38"/>
        <v>20355.89</v>
      </c>
      <c r="O109" s="66">
        <f t="shared" si="38"/>
        <v>5382</v>
      </c>
      <c r="P109" s="69">
        <f t="shared" si="25"/>
        <v>6785.2966666666662</v>
      </c>
      <c r="Q109" s="69">
        <f t="shared" si="25"/>
        <v>1794</v>
      </c>
      <c r="R109" s="294"/>
      <c r="S109" s="49"/>
      <c r="T109" s="49"/>
      <c r="U109" s="49"/>
      <c r="V109" s="49"/>
      <c r="W109" s="49"/>
      <c r="X109" s="49"/>
      <c r="Y109" s="49" t="s">
        <v>108</v>
      </c>
      <c r="Z109" s="66">
        <v>0</v>
      </c>
      <c r="AA109" s="280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M109" s="66"/>
      <c r="AP109" s="131"/>
      <c r="AQ109" s="111"/>
    </row>
    <row r="110" spans="1:43" ht="16" hidden="1" thickBot="1" x14ac:dyDescent="0.4">
      <c r="A110" s="66"/>
      <c r="B110" s="66"/>
      <c r="C110" s="49"/>
      <c r="D110" s="49"/>
      <c r="E110" s="49"/>
      <c r="F110" s="49"/>
      <c r="G110" s="49" t="s">
        <v>109</v>
      </c>
      <c r="H110" s="63">
        <v>0</v>
      </c>
      <c r="I110" s="63">
        <v>0</v>
      </c>
      <c r="J110" s="64">
        <v>0</v>
      </c>
      <c r="K110" s="64">
        <v>0</v>
      </c>
      <c r="L110" s="65">
        <v>3399.97</v>
      </c>
      <c r="M110" s="65">
        <v>0</v>
      </c>
      <c r="N110" s="66">
        <f t="shared" si="38"/>
        <v>3399.97</v>
      </c>
      <c r="O110" s="66">
        <f t="shared" si="38"/>
        <v>0</v>
      </c>
      <c r="P110" s="69">
        <f t="shared" si="25"/>
        <v>1133.3233333333333</v>
      </c>
      <c r="Q110" s="69">
        <f t="shared" si="25"/>
        <v>0</v>
      </c>
      <c r="R110" s="294"/>
      <c r="S110" s="49"/>
      <c r="T110" s="49"/>
      <c r="U110" s="49"/>
      <c r="V110" s="49"/>
      <c r="W110" s="49"/>
      <c r="X110" s="49"/>
      <c r="Y110" s="49" t="s">
        <v>109</v>
      </c>
      <c r="Z110" s="66">
        <v>1033.3900000000001</v>
      </c>
      <c r="AA110" s="280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M110" s="66"/>
      <c r="AP110" s="131"/>
      <c r="AQ110" s="111"/>
    </row>
    <row r="111" spans="1:43" ht="16" hidden="1" thickBot="1" x14ac:dyDescent="0.4">
      <c r="A111" s="66"/>
      <c r="B111" s="66"/>
      <c r="C111" s="49"/>
      <c r="D111" s="49"/>
      <c r="E111" s="49"/>
      <c r="F111" s="49" t="s">
        <v>110</v>
      </c>
      <c r="G111" s="49"/>
      <c r="H111" s="75">
        <f t="shared" ref="H111:M111" si="39">ROUND(SUM(H103:H110),5)</f>
        <v>59018.03</v>
      </c>
      <c r="I111" s="75">
        <f t="shared" si="39"/>
        <v>31525</v>
      </c>
      <c r="J111" s="76">
        <f t="shared" si="39"/>
        <v>66518.98</v>
      </c>
      <c r="K111" s="76">
        <f t="shared" si="39"/>
        <v>44976</v>
      </c>
      <c r="L111" s="77">
        <f t="shared" si="39"/>
        <v>83229.91</v>
      </c>
      <c r="M111" s="77">
        <f t="shared" si="39"/>
        <v>90762</v>
      </c>
      <c r="N111" s="78">
        <f t="shared" si="38"/>
        <v>208766.92</v>
      </c>
      <c r="O111" s="78">
        <f t="shared" si="38"/>
        <v>167263</v>
      </c>
      <c r="P111" s="79">
        <f t="shared" si="25"/>
        <v>69588.973333333342</v>
      </c>
      <c r="Q111" s="79">
        <f t="shared" si="25"/>
        <v>55754.333333333336</v>
      </c>
      <c r="R111" s="294"/>
      <c r="S111" s="49"/>
      <c r="T111" s="49"/>
      <c r="U111" s="49"/>
      <c r="V111" s="49"/>
      <c r="W111" s="49"/>
      <c r="X111" s="49" t="s">
        <v>110</v>
      </c>
      <c r="Y111" s="49"/>
      <c r="Z111" s="78">
        <f>ROUND(SUM(Z103:Z110),5)</f>
        <v>93398.76</v>
      </c>
      <c r="AA111" s="280"/>
      <c r="AB111" s="78">
        <f t="shared" ref="AB111:AK111" si="40">ROUND(SUM(AB103:AB110),5)</f>
        <v>0</v>
      </c>
      <c r="AC111" s="78">
        <f t="shared" si="40"/>
        <v>0</v>
      </c>
      <c r="AD111" s="78">
        <f t="shared" si="40"/>
        <v>0</v>
      </c>
      <c r="AE111" s="78">
        <f t="shared" si="40"/>
        <v>0</v>
      </c>
      <c r="AF111" s="78">
        <f t="shared" si="40"/>
        <v>0</v>
      </c>
      <c r="AG111" s="78">
        <f t="shared" si="40"/>
        <v>0</v>
      </c>
      <c r="AH111" s="78">
        <f t="shared" si="40"/>
        <v>0</v>
      </c>
      <c r="AI111" s="78">
        <f t="shared" si="40"/>
        <v>0</v>
      </c>
      <c r="AJ111" s="78">
        <f t="shared" si="40"/>
        <v>0</v>
      </c>
      <c r="AK111" s="78">
        <f t="shared" si="40"/>
        <v>0</v>
      </c>
      <c r="AM111" s="78">
        <f t="shared" ref="AM111" si="41">ROUND(SUM(AM103:AM110),5)</f>
        <v>0</v>
      </c>
      <c r="AP111" s="131"/>
      <c r="AQ111" s="111"/>
    </row>
    <row r="112" spans="1:43" ht="16" hidden="1" thickBot="1" x14ac:dyDescent="0.4">
      <c r="A112" s="66"/>
      <c r="B112" s="66"/>
      <c r="C112" s="49"/>
      <c r="D112" s="49"/>
      <c r="E112" s="49"/>
      <c r="F112" s="49" t="s">
        <v>111</v>
      </c>
      <c r="G112" s="49"/>
      <c r="H112" s="63"/>
      <c r="I112" s="63"/>
      <c r="J112" s="64"/>
      <c r="K112" s="64"/>
      <c r="L112" s="65"/>
      <c r="M112" s="65"/>
      <c r="N112" s="66"/>
      <c r="O112" s="66"/>
      <c r="P112" s="69">
        <f t="shared" si="25"/>
        <v>0</v>
      </c>
      <c r="Q112" s="69">
        <f t="shared" si="25"/>
        <v>0</v>
      </c>
      <c r="R112" s="294"/>
      <c r="S112" s="49"/>
      <c r="T112" s="49"/>
      <c r="U112" s="49"/>
      <c r="V112" s="49"/>
      <c r="W112" s="49"/>
      <c r="X112" s="49" t="s">
        <v>111</v>
      </c>
      <c r="Y112" s="49"/>
      <c r="Z112" s="66"/>
      <c r="AA112" s="280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M112" s="66"/>
      <c r="AP112" s="131"/>
      <c r="AQ112" s="111"/>
    </row>
    <row r="113" spans="1:43" ht="16" hidden="1" thickBot="1" x14ac:dyDescent="0.4">
      <c r="A113" s="66"/>
      <c r="B113" s="66"/>
      <c r="C113" s="49"/>
      <c r="D113" s="49"/>
      <c r="E113" s="49"/>
      <c r="F113" s="49"/>
      <c r="G113" s="49" t="s">
        <v>112</v>
      </c>
      <c r="H113" s="63">
        <v>57491.4</v>
      </c>
      <c r="I113" s="63">
        <v>406218</v>
      </c>
      <c r="J113" s="64">
        <v>150471.5</v>
      </c>
      <c r="K113" s="64">
        <v>0</v>
      </c>
      <c r="L113" s="65">
        <v>245866</v>
      </c>
      <c r="M113" s="65">
        <v>0</v>
      </c>
      <c r="N113" s="66">
        <f t="shared" ref="N113:O116" si="42">ROUND(H113+J113+L113,5)</f>
        <v>453828.9</v>
      </c>
      <c r="O113" s="66">
        <f t="shared" si="42"/>
        <v>406218</v>
      </c>
      <c r="P113" s="69">
        <f t="shared" si="25"/>
        <v>151276.30000000002</v>
      </c>
      <c r="Q113" s="69">
        <f t="shared" si="25"/>
        <v>135406</v>
      </c>
      <c r="R113" s="294"/>
      <c r="S113" s="49"/>
      <c r="T113" s="49"/>
      <c r="U113" s="49"/>
      <c r="V113" s="49"/>
      <c r="W113" s="49"/>
      <c r="X113" s="49"/>
      <c r="Y113" s="49" t="s">
        <v>112</v>
      </c>
      <c r="Z113" s="66">
        <v>0</v>
      </c>
      <c r="AA113" s="280"/>
      <c r="AB113" s="66">
        <v>0</v>
      </c>
      <c r="AC113" s="66">
        <v>0</v>
      </c>
      <c r="AD113" s="66">
        <v>0</v>
      </c>
      <c r="AE113" s="66">
        <v>0</v>
      </c>
      <c r="AF113" s="66">
        <v>0</v>
      </c>
      <c r="AG113" s="66">
        <v>0</v>
      </c>
      <c r="AH113" s="66">
        <v>0</v>
      </c>
      <c r="AI113" s="66">
        <v>0</v>
      </c>
      <c r="AJ113" s="66">
        <v>0</v>
      </c>
      <c r="AK113" s="66">
        <v>0</v>
      </c>
      <c r="AM113" s="66">
        <v>0</v>
      </c>
      <c r="AP113" s="131"/>
      <c r="AQ113" s="111"/>
    </row>
    <row r="114" spans="1:43" ht="16" hidden="1" thickBot="1" x14ac:dyDescent="0.4">
      <c r="A114" s="66"/>
      <c r="B114" s="66"/>
      <c r="C114" s="49"/>
      <c r="D114" s="49"/>
      <c r="E114" s="49"/>
      <c r="F114" s="49"/>
      <c r="G114" s="49" t="s">
        <v>113</v>
      </c>
      <c r="H114" s="70">
        <v>0</v>
      </c>
      <c r="I114" s="70">
        <v>0</v>
      </c>
      <c r="J114" s="71">
        <v>0</v>
      </c>
      <c r="K114" s="71">
        <v>0</v>
      </c>
      <c r="L114" s="72">
        <v>0</v>
      </c>
      <c r="M114" s="72">
        <v>0</v>
      </c>
      <c r="N114" s="73">
        <f t="shared" si="42"/>
        <v>0</v>
      </c>
      <c r="O114" s="73">
        <f t="shared" si="42"/>
        <v>0</v>
      </c>
      <c r="P114" s="74">
        <f t="shared" si="25"/>
        <v>0</v>
      </c>
      <c r="Q114" s="74">
        <f t="shared" si="25"/>
        <v>0</v>
      </c>
      <c r="R114" s="294"/>
      <c r="S114" s="49"/>
      <c r="T114" s="49"/>
      <c r="U114" s="49"/>
      <c r="V114" s="49"/>
      <c r="W114" s="49"/>
      <c r="X114" s="49"/>
      <c r="Y114" s="49" t="s">
        <v>113</v>
      </c>
      <c r="Z114" s="66">
        <v>0</v>
      </c>
      <c r="AA114" s="280"/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>
        <v>0</v>
      </c>
      <c r="AI114" s="66">
        <v>0</v>
      </c>
      <c r="AJ114" s="66">
        <v>0</v>
      </c>
      <c r="AK114" s="66">
        <v>0</v>
      </c>
      <c r="AM114" s="66">
        <v>0</v>
      </c>
      <c r="AP114" s="131"/>
      <c r="AQ114" s="111"/>
    </row>
    <row r="115" spans="1:43" ht="16" hidden="1" thickBot="1" x14ac:dyDescent="0.4">
      <c r="A115" s="66"/>
      <c r="B115" s="66"/>
      <c r="C115" s="49"/>
      <c r="D115" s="49"/>
      <c r="E115" s="49"/>
      <c r="F115" s="49" t="s">
        <v>114</v>
      </c>
      <c r="G115" s="49"/>
      <c r="H115" s="63">
        <f t="shared" ref="H115:M115" si="43">ROUND(SUM(H112:H114),5)</f>
        <v>57491.4</v>
      </c>
      <c r="I115" s="63">
        <f t="shared" si="43"/>
        <v>406218</v>
      </c>
      <c r="J115" s="64">
        <f t="shared" si="43"/>
        <v>150471.5</v>
      </c>
      <c r="K115" s="64">
        <f t="shared" si="43"/>
        <v>0</v>
      </c>
      <c r="L115" s="65">
        <f t="shared" si="43"/>
        <v>245866</v>
      </c>
      <c r="M115" s="65">
        <f t="shared" si="43"/>
        <v>0</v>
      </c>
      <c r="N115" s="66">
        <f t="shared" si="42"/>
        <v>453828.9</v>
      </c>
      <c r="O115" s="66">
        <f t="shared" si="42"/>
        <v>406218</v>
      </c>
      <c r="P115" s="69">
        <f t="shared" si="25"/>
        <v>151276.30000000002</v>
      </c>
      <c r="Q115" s="69">
        <f t="shared" si="25"/>
        <v>135406</v>
      </c>
      <c r="R115" s="294"/>
      <c r="S115" s="49"/>
      <c r="T115" s="49"/>
      <c r="U115" s="49"/>
      <c r="V115" s="49"/>
      <c r="W115" s="49"/>
      <c r="X115" s="49" t="s">
        <v>114</v>
      </c>
      <c r="Y115" s="49"/>
      <c r="Z115" s="73">
        <v>0</v>
      </c>
      <c r="AA115" s="280"/>
      <c r="AB115" s="73">
        <v>0</v>
      </c>
      <c r="AC115" s="73">
        <v>0</v>
      </c>
      <c r="AD115" s="73">
        <v>0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  <c r="AJ115" s="73">
        <v>0</v>
      </c>
      <c r="AK115" s="73">
        <v>0</v>
      </c>
      <c r="AM115" s="73">
        <v>0</v>
      </c>
      <c r="AP115" s="131"/>
      <c r="AQ115" s="111"/>
    </row>
    <row r="116" spans="1:43" ht="16" thickBot="1" x14ac:dyDescent="0.4">
      <c r="A116" s="66"/>
      <c r="B116" s="66"/>
      <c r="C116" s="49"/>
      <c r="D116" s="49"/>
      <c r="E116" s="49" t="s">
        <v>115</v>
      </c>
      <c r="F116" s="49"/>
      <c r="G116" s="49"/>
      <c r="H116" s="75">
        <f t="shared" ref="H116:M116" si="44">ROUND(H8+H15+H39+H45+SUM(H62:H63)+H71+H84+H90+H102+H111+SUM(H115:H115),5)</f>
        <v>760409.73</v>
      </c>
      <c r="I116" s="75">
        <f t="shared" si="44"/>
        <v>912984</v>
      </c>
      <c r="J116" s="76">
        <f t="shared" si="44"/>
        <v>855809.22</v>
      </c>
      <c r="K116" s="76">
        <f t="shared" si="44"/>
        <v>904615.38</v>
      </c>
      <c r="L116" s="77">
        <f t="shared" si="44"/>
        <v>1036241.61</v>
      </c>
      <c r="M116" s="77">
        <f t="shared" si="44"/>
        <v>926829</v>
      </c>
      <c r="N116" s="78">
        <f t="shared" si="42"/>
        <v>2652460.56</v>
      </c>
      <c r="O116" s="78">
        <f t="shared" si="42"/>
        <v>2744428.38</v>
      </c>
      <c r="P116" s="79">
        <f t="shared" si="25"/>
        <v>884153.52</v>
      </c>
      <c r="Q116" s="79">
        <f t="shared" si="25"/>
        <v>914809.46</v>
      </c>
      <c r="R116" s="294"/>
      <c r="S116" s="49"/>
      <c r="T116" s="49"/>
      <c r="U116" s="49"/>
      <c r="V116" s="49"/>
      <c r="W116" s="49" t="s">
        <v>115</v>
      </c>
      <c r="X116" s="49"/>
      <c r="Y116" s="49"/>
      <c r="Z116" s="66">
        <f>ROUND(Z8+Z15+Z39+Z45+SUM(Z62:Z63)+Z71+Z84+Z90+Z102+Z111+SUM(Z115:Z115),5)</f>
        <v>946241.19</v>
      </c>
      <c r="AA116" s="280"/>
      <c r="AB116" s="80">
        <f t="shared" ref="AB116:AF116" si="45">ROUND(AB8+AB15+AB39+AB45+SUM(AB62:AB63)+AB71+AB84+AB90+AB102+AB111+SUM(AB115:AB115),5)</f>
        <v>960784.8</v>
      </c>
      <c r="AC116" s="80">
        <f t="shared" si="45"/>
        <v>960784.8</v>
      </c>
      <c r="AD116" s="80">
        <f t="shared" si="45"/>
        <v>1026054.2</v>
      </c>
      <c r="AE116" s="80">
        <f t="shared" si="45"/>
        <v>1026054.2</v>
      </c>
      <c r="AF116" s="80">
        <f t="shared" si="45"/>
        <v>1026054.2</v>
      </c>
      <c r="AG116" s="80">
        <f>ROUND(AG8+AG15+AG39+AG45+SUM(AG62:AG63)+AG71+AG84+AG90+AG102+AG111+SUM(AG115:AG115),0)</f>
        <v>1026054</v>
      </c>
      <c r="AH116" s="80">
        <f>ROUND(AH8+AH15+AH39+AH45+SUM(AH62:AH63)+AH71+AH84+AH90+AH102+AH111+SUM(AH115:AH115),0)+20000</f>
        <v>1046054</v>
      </c>
      <c r="AI116" s="80">
        <f>ROUND(AI8+AI15+AI39+AI45+SUM(AI62:AI63)+AI71+AI84+AI90+AI102+AI111+SUM(AI115:AI115),0)+20000</f>
        <v>1046054</v>
      </c>
      <c r="AJ116" s="80">
        <f>ROUND(AJ8+AJ15+AJ39+AJ45+SUM(AJ62:AJ63)+AJ71+AJ84+AJ90+AJ102+AJ111+SUM(AJ115:AJ115),0)+20000</f>
        <v>1046054</v>
      </c>
      <c r="AK116" s="266">
        <f>ROUND(AK8+AK15+AK39+AK45+SUM(AK62:AK63)+AK71+AK84+AK90+AK102+AK111+SUM(AK115:AK115),0)+20000</f>
        <v>1046054</v>
      </c>
      <c r="AL116" s="298"/>
      <c r="AM116" s="270">
        <f>ROUND(AM8+AM15+AM39+AM45+SUM(AM62:AM63)+AM71+AM84+AM90+AM102+AM111+SUM(AM115:AM115),0)+20000</f>
        <v>1046054</v>
      </c>
      <c r="AN116" s="306" t="s">
        <v>971</v>
      </c>
      <c r="AO116" s="259" t="s">
        <v>1027</v>
      </c>
      <c r="AP116" s="261" t="s">
        <v>1028</v>
      </c>
      <c r="AQ116" s="260" t="s">
        <v>1029</v>
      </c>
    </row>
    <row r="117" spans="1:43" ht="16" hidden="1" thickBot="1" x14ac:dyDescent="0.4">
      <c r="A117" s="66"/>
      <c r="B117" s="66"/>
      <c r="C117" s="49"/>
      <c r="D117" s="49"/>
      <c r="E117" s="49" t="s">
        <v>116</v>
      </c>
      <c r="F117" s="49"/>
      <c r="G117" s="49"/>
      <c r="H117" s="63"/>
      <c r="I117" s="63"/>
      <c r="J117" s="64"/>
      <c r="K117" s="64"/>
      <c r="L117" s="65"/>
      <c r="M117" s="65"/>
      <c r="N117" s="66"/>
      <c r="O117" s="66"/>
      <c r="P117" s="69">
        <f t="shared" si="25"/>
        <v>0</v>
      </c>
      <c r="Q117" s="69">
        <f t="shared" si="25"/>
        <v>0</v>
      </c>
      <c r="R117" s="294"/>
      <c r="S117" s="49"/>
      <c r="T117" s="49"/>
      <c r="U117" s="49"/>
      <c r="V117" s="49"/>
      <c r="W117" s="49" t="s">
        <v>116</v>
      </c>
      <c r="X117" s="49"/>
      <c r="Y117" s="49"/>
      <c r="Z117" s="66"/>
      <c r="AA117" s="280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M117" s="271"/>
      <c r="AN117" s="310"/>
    </row>
    <row r="118" spans="1:43" ht="16" hidden="1" thickBot="1" x14ac:dyDescent="0.4">
      <c r="A118" s="66"/>
      <c r="B118" s="66"/>
      <c r="C118" s="49"/>
      <c r="D118" s="49"/>
      <c r="E118" s="49"/>
      <c r="F118" s="49" t="s">
        <v>117</v>
      </c>
      <c r="G118" s="49"/>
      <c r="H118" s="63"/>
      <c r="I118" s="63"/>
      <c r="J118" s="64"/>
      <c r="K118" s="64"/>
      <c r="L118" s="65"/>
      <c r="M118" s="65"/>
      <c r="N118" s="66"/>
      <c r="O118" s="66"/>
      <c r="P118" s="69">
        <f t="shared" si="25"/>
        <v>0</v>
      </c>
      <c r="Q118" s="69">
        <f t="shared" si="25"/>
        <v>0</v>
      </c>
      <c r="R118" s="294"/>
      <c r="S118" s="49"/>
      <c r="T118" s="49"/>
      <c r="U118" s="49"/>
      <c r="V118" s="49"/>
      <c r="W118" s="49"/>
      <c r="X118" s="49" t="s">
        <v>117</v>
      </c>
      <c r="Y118" s="49"/>
      <c r="Z118" s="66"/>
      <c r="AA118" s="280"/>
      <c r="AB118" s="66">
        <v>1043950</v>
      </c>
      <c r="AC118" s="66">
        <v>1043950</v>
      </c>
      <c r="AD118" s="66">
        <v>1043950</v>
      </c>
      <c r="AE118" s="66">
        <v>1043950</v>
      </c>
      <c r="AF118" s="66">
        <v>1069055</v>
      </c>
      <c r="AG118" s="66">
        <v>1108895</v>
      </c>
      <c r="AH118" s="66">
        <v>1108895</v>
      </c>
      <c r="AI118" s="66">
        <v>1108895</v>
      </c>
      <c r="AJ118" s="66">
        <v>1108895</v>
      </c>
      <c r="AK118" s="66">
        <v>1108895</v>
      </c>
      <c r="AM118" s="271">
        <v>1108895</v>
      </c>
      <c r="AN118" s="310"/>
    </row>
    <row r="119" spans="1:43" ht="16" hidden="1" thickBot="1" x14ac:dyDescent="0.4">
      <c r="A119" s="66"/>
      <c r="B119" s="66"/>
      <c r="C119" s="49"/>
      <c r="D119" s="49"/>
      <c r="E119" s="49"/>
      <c r="F119" s="49"/>
      <c r="G119" s="49" t="s">
        <v>118</v>
      </c>
      <c r="H119" s="63">
        <v>164265</v>
      </c>
      <c r="I119" s="63">
        <v>183530</v>
      </c>
      <c r="J119" s="64">
        <v>167175</v>
      </c>
      <c r="K119" s="64">
        <v>146310</v>
      </c>
      <c r="L119" s="65">
        <v>156960</v>
      </c>
      <c r="M119" s="65">
        <v>155745</v>
      </c>
      <c r="N119" s="66">
        <f t="shared" ref="N119:O124" si="46">ROUND(H119+J119+L119,5)</f>
        <v>488400</v>
      </c>
      <c r="O119" s="66">
        <f t="shared" si="46"/>
        <v>485585</v>
      </c>
      <c r="P119" s="69">
        <f t="shared" si="25"/>
        <v>162800</v>
      </c>
      <c r="Q119" s="69">
        <f t="shared" si="25"/>
        <v>161861.66666666666</v>
      </c>
      <c r="R119" s="294"/>
      <c r="S119" s="49"/>
      <c r="T119" s="49"/>
      <c r="U119" s="49"/>
      <c r="V119" s="49"/>
      <c r="W119" s="49"/>
      <c r="X119" s="49"/>
      <c r="Y119" s="49" t="s">
        <v>118</v>
      </c>
      <c r="Z119" s="66">
        <v>226435</v>
      </c>
      <c r="AA119" s="280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M119" s="271"/>
      <c r="AN119" s="310"/>
    </row>
    <row r="120" spans="1:43" ht="16" hidden="1" thickBot="1" x14ac:dyDescent="0.4">
      <c r="A120" s="66"/>
      <c r="B120" s="66"/>
      <c r="C120" s="49"/>
      <c r="D120" s="49"/>
      <c r="E120" s="49"/>
      <c r="F120" s="49"/>
      <c r="G120" s="49" t="s">
        <v>119</v>
      </c>
      <c r="H120" s="63">
        <v>124985</v>
      </c>
      <c r="I120" s="63"/>
      <c r="J120" s="64">
        <v>131015</v>
      </c>
      <c r="K120" s="64">
        <v>0</v>
      </c>
      <c r="L120" s="65">
        <v>143075</v>
      </c>
      <c r="M120" s="65">
        <v>126010</v>
      </c>
      <c r="N120" s="66">
        <f t="shared" si="46"/>
        <v>399075</v>
      </c>
      <c r="O120" s="66">
        <f t="shared" si="46"/>
        <v>126010</v>
      </c>
      <c r="P120" s="69">
        <f t="shared" si="25"/>
        <v>133025</v>
      </c>
      <c r="Q120" s="69">
        <f t="shared" si="25"/>
        <v>42003.333333333336</v>
      </c>
      <c r="R120" s="294"/>
      <c r="S120" s="49"/>
      <c r="T120" s="49"/>
      <c r="U120" s="49"/>
      <c r="V120" s="49"/>
      <c r="W120" s="49"/>
      <c r="X120" s="49"/>
      <c r="Y120" s="49" t="s">
        <v>119</v>
      </c>
      <c r="Z120" s="66">
        <v>127600</v>
      </c>
      <c r="AA120" s="280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M120" s="271"/>
      <c r="AN120" s="310"/>
    </row>
    <row r="121" spans="1:43" ht="16" hidden="1" thickBot="1" x14ac:dyDescent="0.4">
      <c r="A121" s="66"/>
      <c r="B121" s="66"/>
      <c r="C121" s="49"/>
      <c r="D121" s="49"/>
      <c r="E121" s="49"/>
      <c r="F121" s="49"/>
      <c r="G121" s="49" t="s">
        <v>120</v>
      </c>
      <c r="H121" s="63">
        <v>265</v>
      </c>
      <c r="I121" s="63">
        <v>0</v>
      </c>
      <c r="J121" s="64">
        <v>0</v>
      </c>
      <c r="K121" s="64"/>
      <c r="L121" s="65">
        <v>0</v>
      </c>
      <c r="M121" s="65"/>
      <c r="N121" s="66">
        <f t="shared" si="46"/>
        <v>265</v>
      </c>
      <c r="O121" s="66">
        <f t="shared" si="46"/>
        <v>0</v>
      </c>
      <c r="P121" s="69">
        <f t="shared" si="25"/>
        <v>88.333333333333329</v>
      </c>
      <c r="Q121" s="69">
        <f t="shared" si="25"/>
        <v>0</v>
      </c>
      <c r="R121" s="294"/>
      <c r="S121" s="49"/>
      <c r="T121" s="49"/>
      <c r="U121" s="49"/>
      <c r="V121" s="49"/>
      <c r="W121" s="49"/>
      <c r="X121" s="49"/>
      <c r="Y121" s="49" t="s">
        <v>120</v>
      </c>
      <c r="Z121" s="66">
        <v>0</v>
      </c>
      <c r="AA121" s="280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M121" s="271"/>
      <c r="AN121" s="310"/>
    </row>
    <row r="122" spans="1:43" ht="16" hidden="1" thickBot="1" x14ac:dyDescent="0.4">
      <c r="A122" s="66"/>
      <c r="B122" s="66"/>
      <c r="C122" s="49"/>
      <c r="D122" s="49"/>
      <c r="E122" s="49"/>
      <c r="F122" s="49"/>
      <c r="G122" s="49" t="s">
        <v>121</v>
      </c>
      <c r="H122" s="63">
        <v>265</v>
      </c>
      <c r="I122" s="63">
        <v>46225</v>
      </c>
      <c r="J122" s="64">
        <v>0</v>
      </c>
      <c r="K122" s="64">
        <v>45165</v>
      </c>
      <c r="L122" s="65">
        <v>0</v>
      </c>
      <c r="M122" s="65">
        <v>0</v>
      </c>
      <c r="N122" s="66">
        <f t="shared" si="46"/>
        <v>265</v>
      </c>
      <c r="O122" s="66">
        <f t="shared" si="46"/>
        <v>91390</v>
      </c>
      <c r="P122" s="69">
        <f t="shared" si="25"/>
        <v>88.333333333333329</v>
      </c>
      <c r="Q122" s="69">
        <f t="shared" si="25"/>
        <v>30463.333333333332</v>
      </c>
      <c r="R122" s="294"/>
      <c r="S122" s="49"/>
      <c r="T122" s="49"/>
      <c r="U122" s="49"/>
      <c r="V122" s="49"/>
      <c r="W122" s="49"/>
      <c r="X122" s="49"/>
      <c r="Y122" s="49" t="s">
        <v>121</v>
      </c>
      <c r="Z122" s="66">
        <v>0</v>
      </c>
      <c r="AA122" s="280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M122" s="271"/>
      <c r="AN122" s="310"/>
    </row>
    <row r="123" spans="1:43" ht="16" hidden="1" thickBot="1" x14ac:dyDescent="0.4">
      <c r="A123" s="66"/>
      <c r="B123" s="66"/>
      <c r="C123" s="49"/>
      <c r="D123" s="49"/>
      <c r="E123" s="49"/>
      <c r="F123" s="49"/>
      <c r="G123" s="49" t="s">
        <v>122</v>
      </c>
      <c r="H123" s="63">
        <v>33035</v>
      </c>
      <c r="I123" s="63">
        <v>50330</v>
      </c>
      <c r="J123" s="64">
        <v>29205</v>
      </c>
      <c r="K123" s="64">
        <v>39600</v>
      </c>
      <c r="L123" s="65">
        <v>36590</v>
      </c>
      <c r="M123" s="65">
        <v>35235</v>
      </c>
      <c r="N123" s="66">
        <f t="shared" si="46"/>
        <v>98830</v>
      </c>
      <c r="O123" s="66">
        <f t="shared" si="46"/>
        <v>125165</v>
      </c>
      <c r="P123" s="69">
        <f t="shared" si="25"/>
        <v>32943.333333333336</v>
      </c>
      <c r="Q123" s="69">
        <f t="shared" si="25"/>
        <v>41721.666666666664</v>
      </c>
      <c r="R123" s="294"/>
      <c r="S123" s="49"/>
      <c r="T123" s="49"/>
      <c r="U123" s="49"/>
      <c r="V123" s="49"/>
      <c r="W123" s="49"/>
      <c r="X123" s="49"/>
      <c r="Y123" s="49" t="s">
        <v>122</v>
      </c>
      <c r="Z123" s="66">
        <v>35235</v>
      </c>
      <c r="AA123" s="280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M123" s="271"/>
      <c r="AN123" s="310"/>
    </row>
    <row r="124" spans="1:43" ht="16" hidden="1" thickBot="1" x14ac:dyDescent="0.4">
      <c r="A124" s="66"/>
      <c r="B124" s="66"/>
      <c r="C124" s="49"/>
      <c r="D124" s="49"/>
      <c r="E124" s="49"/>
      <c r="F124" s="49" t="s">
        <v>123</v>
      </c>
      <c r="G124" s="49"/>
      <c r="H124" s="75">
        <f t="shared" ref="H124:M124" si="47">ROUND(SUM(H118:H123),5)</f>
        <v>322815</v>
      </c>
      <c r="I124" s="75">
        <f t="shared" si="47"/>
        <v>280085</v>
      </c>
      <c r="J124" s="76">
        <f t="shared" si="47"/>
        <v>327395</v>
      </c>
      <c r="K124" s="76">
        <f t="shared" si="47"/>
        <v>231075</v>
      </c>
      <c r="L124" s="77">
        <f t="shared" si="47"/>
        <v>336625</v>
      </c>
      <c r="M124" s="77">
        <f t="shared" si="47"/>
        <v>316990</v>
      </c>
      <c r="N124" s="78">
        <f t="shared" si="46"/>
        <v>986835</v>
      </c>
      <c r="O124" s="78">
        <f t="shared" si="46"/>
        <v>828150</v>
      </c>
      <c r="P124" s="79">
        <f t="shared" si="25"/>
        <v>328945</v>
      </c>
      <c r="Q124" s="79">
        <f t="shared" si="25"/>
        <v>276050</v>
      </c>
      <c r="R124" s="294"/>
      <c r="S124" s="49"/>
      <c r="T124" s="49"/>
      <c r="U124" s="49"/>
      <c r="V124" s="49"/>
      <c r="W124" s="49"/>
      <c r="X124" s="49" t="s">
        <v>123</v>
      </c>
      <c r="Y124" s="49"/>
      <c r="Z124" s="78">
        <f>ROUND(SUM(Z118:Z123),5)</f>
        <v>389270</v>
      </c>
      <c r="AA124" s="280"/>
      <c r="AB124" s="78">
        <f t="shared" ref="AB124:AK124" si="48">ROUND(SUM(AB118:AB123),5)</f>
        <v>1043950</v>
      </c>
      <c r="AC124" s="78">
        <f t="shared" si="48"/>
        <v>1043950</v>
      </c>
      <c r="AD124" s="78">
        <f t="shared" si="48"/>
        <v>1043950</v>
      </c>
      <c r="AE124" s="78">
        <f t="shared" si="48"/>
        <v>1043950</v>
      </c>
      <c r="AF124" s="78">
        <f t="shared" si="48"/>
        <v>1069055</v>
      </c>
      <c r="AG124" s="78">
        <f t="shared" si="48"/>
        <v>1108895</v>
      </c>
      <c r="AH124" s="78">
        <f t="shared" si="48"/>
        <v>1108895</v>
      </c>
      <c r="AI124" s="78">
        <f t="shared" si="48"/>
        <v>1108895</v>
      </c>
      <c r="AJ124" s="78">
        <f t="shared" si="48"/>
        <v>1108895</v>
      </c>
      <c r="AK124" s="78">
        <f t="shared" si="48"/>
        <v>1108895</v>
      </c>
      <c r="AM124" s="272">
        <f t="shared" ref="AM124" si="49">ROUND(SUM(AM118:AM123),5)</f>
        <v>1108895</v>
      </c>
      <c r="AN124" s="310"/>
    </row>
    <row r="125" spans="1:43" ht="16" hidden="1" thickBot="1" x14ac:dyDescent="0.4">
      <c r="A125" s="66"/>
      <c r="B125" s="66"/>
      <c r="C125" s="49"/>
      <c r="D125" s="49"/>
      <c r="E125" s="49"/>
      <c r="F125" s="49" t="s">
        <v>124</v>
      </c>
      <c r="G125" s="49"/>
      <c r="H125" s="63"/>
      <c r="I125" s="63"/>
      <c r="J125" s="64"/>
      <c r="K125" s="64"/>
      <c r="L125" s="65"/>
      <c r="M125" s="65"/>
      <c r="N125" s="66"/>
      <c r="O125" s="66"/>
      <c r="P125" s="69">
        <f t="shared" si="25"/>
        <v>0</v>
      </c>
      <c r="Q125" s="69">
        <f t="shared" si="25"/>
        <v>0</v>
      </c>
      <c r="R125" s="294"/>
      <c r="S125" s="49"/>
      <c r="T125" s="49"/>
      <c r="U125" s="49"/>
      <c r="V125" s="49"/>
      <c r="W125" s="49"/>
      <c r="X125" s="49" t="s">
        <v>124</v>
      </c>
      <c r="Y125" s="49"/>
      <c r="Z125" s="66"/>
      <c r="AA125" s="280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M125" s="271"/>
      <c r="AN125" s="310"/>
    </row>
    <row r="126" spans="1:43" ht="16" hidden="1" thickBot="1" x14ac:dyDescent="0.4">
      <c r="A126" s="66"/>
      <c r="B126" s="66"/>
      <c r="C126" s="49"/>
      <c r="D126" s="49"/>
      <c r="E126" s="49"/>
      <c r="F126" s="49"/>
      <c r="G126" s="49" t="s">
        <v>125</v>
      </c>
      <c r="H126" s="63">
        <v>84290</v>
      </c>
      <c r="I126" s="63">
        <v>94030</v>
      </c>
      <c r="J126" s="64">
        <v>101515</v>
      </c>
      <c r="K126" s="64">
        <v>62060</v>
      </c>
      <c r="L126" s="65">
        <v>108810</v>
      </c>
      <c r="M126" s="65">
        <v>79945</v>
      </c>
      <c r="N126" s="66">
        <f t="shared" ref="N126:O130" si="50">ROUND(H126+J126+L126,5)</f>
        <v>294615</v>
      </c>
      <c r="O126" s="66">
        <f t="shared" si="50"/>
        <v>236035</v>
      </c>
      <c r="P126" s="69">
        <f t="shared" si="25"/>
        <v>98205</v>
      </c>
      <c r="Q126" s="69">
        <f t="shared" si="25"/>
        <v>78678.333333333328</v>
      </c>
      <c r="R126" s="294"/>
      <c r="S126" s="49"/>
      <c r="T126" s="49"/>
      <c r="U126" s="49"/>
      <c r="V126" s="49"/>
      <c r="W126" s="49"/>
      <c r="X126" s="49"/>
      <c r="Y126" s="49" t="s">
        <v>125</v>
      </c>
      <c r="Z126" s="66">
        <v>90320</v>
      </c>
      <c r="AA126" s="280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M126" s="271"/>
      <c r="AN126" s="310"/>
    </row>
    <row r="127" spans="1:43" ht="16" hidden="1" thickBot="1" x14ac:dyDescent="0.4">
      <c r="A127" s="66"/>
      <c r="B127" s="66"/>
      <c r="C127" s="49"/>
      <c r="D127" s="49"/>
      <c r="E127" s="49"/>
      <c r="F127" s="49"/>
      <c r="G127" s="49" t="s">
        <v>126</v>
      </c>
      <c r="H127" s="63">
        <v>32795</v>
      </c>
      <c r="I127" s="63">
        <v>52510</v>
      </c>
      <c r="J127" s="64">
        <v>29370</v>
      </c>
      <c r="K127" s="64">
        <v>46600</v>
      </c>
      <c r="L127" s="65">
        <v>34775</v>
      </c>
      <c r="M127" s="65">
        <v>36685</v>
      </c>
      <c r="N127" s="66">
        <f t="shared" si="50"/>
        <v>96940</v>
      </c>
      <c r="O127" s="66">
        <f t="shared" si="50"/>
        <v>135795</v>
      </c>
      <c r="P127" s="69">
        <f t="shared" si="25"/>
        <v>32313.333333333332</v>
      </c>
      <c r="Q127" s="69">
        <f t="shared" si="25"/>
        <v>45265</v>
      </c>
      <c r="R127" s="294"/>
      <c r="S127" s="49"/>
      <c r="T127" s="49"/>
      <c r="U127" s="49"/>
      <c r="V127" s="49"/>
      <c r="W127" s="49"/>
      <c r="X127" s="49"/>
      <c r="Y127" s="49" t="s">
        <v>126</v>
      </c>
      <c r="Z127" s="66">
        <v>36685</v>
      </c>
      <c r="AA127" s="280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M127" s="271"/>
      <c r="AN127" s="310"/>
    </row>
    <row r="128" spans="1:43" ht="16" hidden="1" thickBot="1" x14ac:dyDescent="0.4">
      <c r="A128" s="66"/>
      <c r="B128" s="66"/>
      <c r="C128" s="49"/>
      <c r="D128" s="49"/>
      <c r="E128" s="49"/>
      <c r="F128" s="49"/>
      <c r="G128" s="49" t="s">
        <v>127</v>
      </c>
      <c r="H128" s="63">
        <v>23240</v>
      </c>
      <c r="I128" s="63">
        <v>41620</v>
      </c>
      <c r="J128" s="64">
        <v>22415</v>
      </c>
      <c r="K128" s="64">
        <v>39960</v>
      </c>
      <c r="L128" s="65">
        <v>24135</v>
      </c>
      <c r="M128" s="65">
        <v>30140</v>
      </c>
      <c r="N128" s="66">
        <f t="shared" si="50"/>
        <v>69790</v>
      </c>
      <c r="O128" s="66">
        <f t="shared" si="50"/>
        <v>111720</v>
      </c>
      <c r="P128" s="69">
        <f t="shared" si="25"/>
        <v>23263.333333333332</v>
      </c>
      <c r="Q128" s="69">
        <f t="shared" si="25"/>
        <v>37240</v>
      </c>
      <c r="R128" s="294"/>
      <c r="S128" s="49"/>
      <c r="T128" s="49"/>
      <c r="U128" s="49"/>
      <c r="V128" s="49"/>
      <c r="W128" s="49"/>
      <c r="X128" s="49"/>
      <c r="Y128" s="49" t="s">
        <v>127</v>
      </c>
      <c r="Z128" s="66">
        <v>30970</v>
      </c>
      <c r="AA128" s="280"/>
      <c r="AB128" s="66"/>
      <c r="AC128" s="66"/>
      <c r="AD128" s="66"/>
      <c r="AE128" s="66"/>
      <c r="AF128" s="66"/>
      <c r="AG128" s="66"/>
      <c r="AH128" s="66"/>
      <c r="AI128" s="66"/>
      <c r="AJ128" s="66"/>
      <c r="AK128" s="66"/>
      <c r="AM128" s="271"/>
      <c r="AN128" s="310"/>
    </row>
    <row r="129" spans="1:40" ht="16" hidden="1" thickBot="1" x14ac:dyDescent="0.4">
      <c r="A129" s="66"/>
      <c r="B129" s="66"/>
      <c r="C129" s="49"/>
      <c r="D129" s="49"/>
      <c r="E129" s="49"/>
      <c r="F129" s="49"/>
      <c r="G129" s="49" t="s">
        <v>128</v>
      </c>
      <c r="H129" s="70">
        <v>32585</v>
      </c>
      <c r="I129" s="70">
        <v>34235</v>
      </c>
      <c r="J129" s="71">
        <v>26735</v>
      </c>
      <c r="K129" s="71">
        <v>29925</v>
      </c>
      <c r="L129" s="72">
        <v>21680</v>
      </c>
      <c r="M129" s="72">
        <v>35720</v>
      </c>
      <c r="N129" s="73">
        <f t="shared" si="50"/>
        <v>81000</v>
      </c>
      <c r="O129" s="73">
        <f t="shared" si="50"/>
        <v>99880</v>
      </c>
      <c r="P129" s="74">
        <f t="shared" si="25"/>
        <v>27000</v>
      </c>
      <c r="Q129" s="74">
        <f t="shared" si="25"/>
        <v>33293.333333333336</v>
      </c>
      <c r="R129" s="294"/>
      <c r="S129" s="49"/>
      <c r="T129" s="49"/>
      <c r="U129" s="49"/>
      <c r="V129" s="49"/>
      <c r="W129" s="49"/>
      <c r="X129" s="49"/>
      <c r="Y129" s="49" t="s">
        <v>128</v>
      </c>
      <c r="Z129" s="73">
        <v>35720</v>
      </c>
      <c r="AA129" s="280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M129" s="273"/>
      <c r="AN129" s="310"/>
    </row>
    <row r="130" spans="1:40" ht="16" hidden="1" thickBot="1" x14ac:dyDescent="0.4">
      <c r="A130" s="66"/>
      <c r="B130" s="66"/>
      <c r="C130" s="49"/>
      <c r="D130" s="49"/>
      <c r="E130" s="49"/>
      <c r="F130" s="49" t="s">
        <v>129</v>
      </c>
      <c r="G130" s="49"/>
      <c r="H130" s="63">
        <f t="shared" ref="H130:M130" si="51">ROUND(SUM(H125:H129),5)</f>
        <v>172910</v>
      </c>
      <c r="I130" s="63">
        <f t="shared" si="51"/>
        <v>222395</v>
      </c>
      <c r="J130" s="64">
        <f t="shared" si="51"/>
        <v>180035</v>
      </c>
      <c r="K130" s="64">
        <f t="shared" si="51"/>
        <v>178545</v>
      </c>
      <c r="L130" s="65">
        <f t="shared" si="51"/>
        <v>189400</v>
      </c>
      <c r="M130" s="65">
        <f t="shared" si="51"/>
        <v>182490</v>
      </c>
      <c r="N130" s="66">
        <f t="shared" si="50"/>
        <v>542345</v>
      </c>
      <c r="O130" s="66">
        <f t="shared" si="50"/>
        <v>583430</v>
      </c>
      <c r="P130" s="69">
        <f t="shared" si="25"/>
        <v>180781.66666666666</v>
      </c>
      <c r="Q130" s="69">
        <f t="shared" si="25"/>
        <v>194476.66666666666</v>
      </c>
      <c r="R130" s="294"/>
      <c r="S130" s="49"/>
      <c r="T130" s="49"/>
      <c r="U130" s="49"/>
      <c r="V130" s="49"/>
      <c r="W130" s="49"/>
      <c r="X130" s="49" t="s">
        <v>129</v>
      </c>
      <c r="Y130" s="49"/>
      <c r="Z130" s="66">
        <f>ROUND(SUM(Z125:Z129),5)</f>
        <v>193695</v>
      </c>
      <c r="AA130" s="280"/>
      <c r="AB130" s="66">
        <f t="shared" ref="AB130:AK130" si="52">ROUND(SUM(AB125:AB129),5)</f>
        <v>0</v>
      </c>
      <c r="AC130" s="66">
        <f t="shared" si="52"/>
        <v>0</v>
      </c>
      <c r="AD130" s="66">
        <f t="shared" si="52"/>
        <v>0</v>
      </c>
      <c r="AE130" s="66">
        <f t="shared" si="52"/>
        <v>0</v>
      </c>
      <c r="AF130" s="66">
        <f t="shared" si="52"/>
        <v>0</v>
      </c>
      <c r="AG130" s="66">
        <f t="shared" si="52"/>
        <v>0</v>
      </c>
      <c r="AH130" s="66">
        <f t="shared" si="52"/>
        <v>0</v>
      </c>
      <c r="AI130" s="66">
        <f t="shared" si="52"/>
        <v>0</v>
      </c>
      <c r="AJ130" s="66">
        <f t="shared" si="52"/>
        <v>0</v>
      </c>
      <c r="AK130" s="66">
        <f t="shared" si="52"/>
        <v>0</v>
      </c>
      <c r="AM130" s="271">
        <f t="shared" ref="AM130" si="53">ROUND(SUM(AM125:AM129),5)</f>
        <v>0</v>
      </c>
      <c r="AN130" s="310"/>
    </row>
    <row r="131" spans="1:40" ht="16" hidden="1" thickBot="1" x14ac:dyDescent="0.4">
      <c r="A131" s="66"/>
      <c r="B131" s="66"/>
      <c r="C131" s="49"/>
      <c r="D131" s="49"/>
      <c r="E131" s="49"/>
      <c r="F131" s="49" t="s">
        <v>130</v>
      </c>
      <c r="G131" s="49"/>
      <c r="H131" s="63"/>
      <c r="I131" s="63"/>
      <c r="J131" s="64"/>
      <c r="K131" s="64"/>
      <c r="L131" s="65"/>
      <c r="M131" s="65"/>
      <c r="N131" s="66"/>
      <c r="O131" s="66"/>
      <c r="P131" s="69">
        <f t="shared" si="25"/>
        <v>0</v>
      </c>
      <c r="Q131" s="69">
        <f t="shared" si="25"/>
        <v>0</v>
      </c>
      <c r="R131" s="294"/>
      <c r="S131" s="49"/>
      <c r="T131" s="49"/>
      <c r="U131" s="49"/>
      <c r="V131" s="49"/>
      <c r="W131" s="49"/>
      <c r="X131" s="49" t="s">
        <v>130</v>
      </c>
      <c r="Y131" s="49"/>
      <c r="Z131" s="66"/>
      <c r="AA131" s="280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M131" s="271"/>
      <c r="AN131" s="310"/>
    </row>
    <row r="132" spans="1:40" ht="16" hidden="1" thickBot="1" x14ac:dyDescent="0.4">
      <c r="A132" s="66"/>
      <c r="B132" s="66"/>
      <c r="C132" s="49"/>
      <c r="D132" s="49"/>
      <c r="E132" s="49"/>
      <c r="F132" s="49"/>
      <c r="G132" s="49" t="s">
        <v>131</v>
      </c>
      <c r="H132" s="63">
        <v>18995</v>
      </c>
      <c r="I132" s="63">
        <v>46180</v>
      </c>
      <c r="J132" s="64">
        <v>20855</v>
      </c>
      <c r="K132" s="64">
        <v>48675</v>
      </c>
      <c r="L132" s="65">
        <v>19505</v>
      </c>
      <c r="M132" s="65">
        <v>22255</v>
      </c>
      <c r="N132" s="66">
        <f t="shared" ref="N132:O135" si="54">ROUND(H132+J132+L132,5)</f>
        <v>59355</v>
      </c>
      <c r="O132" s="66">
        <f t="shared" si="54"/>
        <v>117110</v>
      </c>
      <c r="P132" s="69">
        <f t="shared" si="25"/>
        <v>19785</v>
      </c>
      <c r="Q132" s="69">
        <f t="shared" si="25"/>
        <v>39036.666666666664</v>
      </c>
      <c r="R132" s="294"/>
      <c r="S132" s="49"/>
      <c r="T132" s="49"/>
      <c r="U132" s="49"/>
      <c r="V132" s="49"/>
      <c r="W132" s="49"/>
      <c r="X132" s="49"/>
      <c r="Y132" s="49" t="s">
        <v>131</v>
      </c>
      <c r="Z132" s="66">
        <v>25575</v>
      </c>
      <c r="AA132" s="280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M132" s="271"/>
      <c r="AN132" s="310"/>
    </row>
    <row r="133" spans="1:40" ht="16" hidden="1" thickBot="1" x14ac:dyDescent="0.4">
      <c r="A133" s="66"/>
      <c r="B133" s="66"/>
      <c r="C133" s="49"/>
      <c r="D133" s="49"/>
      <c r="E133" s="49"/>
      <c r="F133" s="49"/>
      <c r="G133" s="49" t="s">
        <v>132</v>
      </c>
      <c r="H133" s="63">
        <v>7345</v>
      </c>
      <c r="I133" s="63">
        <v>23175</v>
      </c>
      <c r="J133" s="64">
        <v>9205</v>
      </c>
      <c r="K133" s="64">
        <v>25555</v>
      </c>
      <c r="L133" s="65">
        <v>6215</v>
      </c>
      <c r="M133" s="65">
        <v>9655</v>
      </c>
      <c r="N133" s="66">
        <f t="shared" si="54"/>
        <v>22765</v>
      </c>
      <c r="O133" s="66">
        <f t="shared" si="54"/>
        <v>58385</v>
      </c>
      <c r="P133" s="69">
        <f t="shared" si="25"/>
        <v>7588.333333333333</v>
      </c>
      <c r="Q133" s="69">
        <f t="shared" si="25"/>
        <v>19461.666666666668</v>
      </c>
      <c r="R133" s="294"/>
      <c r="S133" s="49"/>
      <c r="T133" s="49"/>
      <c r="U133" s="49"/>
      <c r="V133" s="49"/>
      <c r="W133" s="49"/>
      <c r="X133" s="49"/>
      <c r="Y133" s="49" t="s">
        <v>132</v>
      </c>
      <c r="Z133" s="66">
        <v>11775</v>
      </c>
      <c r="AA133" s="280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M133" s="271"/>
      <c r="AN133" s="310"/>
    </row>
    <row r="134" spans="1:40" ht="16" hidden="1" thickBot="1" x14ac:dyDescent="0.4">
      <c r="A134" s="66"/>
      <c r="B134" s="66"/>
      <c r="C134" s="49"/>
      <c r="D134" s="49"/>
      <c r="E134" s="49"/>
      <c r="F134" s="49"/>
      <c r="G134" s="49" t="s">
        <v>133</v>
      </c>
      <c r="H134" s="70">
        <v>21320</v>
      </c>
      <c r="I134" s="70">
        <v>20125</v>
      </c>
      <c r="J134" s="71">
        <v>20265</v>
      </c>
      <c r="K134" s="71">
        <v>20785</v>
      </c>
      <c r="L134" s="72">
        <v>13515</v>
      </c>
      <c r="M134" s="72">
        <v>22375</v>
      </c>
      <c r="N134" s="73">
        <f t="shared" si="54"/>
        <v>55100</v>
      </c>
      <c r="O134" s="73">
        <f t="shared" si="54"/>
        <v>63285</v>
      </c>
      <c r="P134" s="74">
        <f t="shared" si="25"/>
        <v>18366.666666666668</v>
      </c>
      <c r="Q134" s="74">
        <f t="shared" si="25"/>
        <v>21095</v>
      </c>
      <c r="R134" s="294"/>
      <c r="S134" s="49"/>
      <c r="T134" s="49"/>
      <c r="U134" s="49"/>
      <c r="V134" s="49"/>
      <c r="W134" s="49"/>
      <c r="X134" s="49"/>
      <c r="Y134" s="49" t="s">
        <v>133</v>
      </c>
      <c r="Z134" s="73">
        <v>11320</v>
      </c>
      <c r="AA134" s="280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M134" s="273"/>
      <c r="AN134" s="310"/>
    </row>
    <row r="135" spans="1:40" ht="16" hidden="1" thickBot="1" x14ac:dyDescent="0.4">
      <c r="A135" s="66"/>
      <c r="B135" s="66"/>
      <c r="C135" s="49"/>
      <c r="D135" s="49"/>
      <c r="E135" s="49"/>
      <c r="F135" s="49" t="s">
        <v>134</v>
      </c>
      <c r="G135" s="49"/>
      <c r="H135" s="63">
        <f t="shared" ref="H135:M135" si="55">ROUND(SUM(H131:H134),5)</f>
        <v>47660</v>
      </c>
      <c r="I135" s="63">
        <f t="shared" si="55"/>
        <v>89480</v>
      </c>
      <c r="J135" s="64">
        <f t="shared" si="55"/>
        <v>50325</v>
      </c>
      <c r="K135" s="64">
        <f t="shared" si="55"/>
        <v>95015</v>
      </c>
      <c r="L135" s="65">
        <f t="shared" si="55"/>
        <v>39235</v>
      </c>
      <c r="M135" s="65">
        <f t="shared" si="55"/>
        <v>54285</v>
      </c>
      <c r="N135" s="66">
        <f t="shared" si="54"/>
        <v>137220</v>
      </c>
      <c r="O135" s="66">
        <f t="shared" si="54"/>
        <v>238780</v>
      </c>
      <c r="P135" s="69">
        <f t="shared" si="25"/>
        <v>45740</v>
      </c>
      <c r="Q135" s="69">
        <f t="shared" si="25"/>
        <v>79593.333333333328</v>
      </c>
      <c r="R135" s="294"/>
      <c r="S135" s="49"/>
      <c r="T135" s="49"/>
      <c r="U135" s="49"/>
      <c r="V135" s="49"/>
      <c r="W135" s="49"/>
      <c r="X135" s="49" t="s">
        <v>134</v>
      </c>
      <c r="Y135" s="49"/>
      <c r="Z135" s="66">
        <f>ROUND(SUM(Z131:Z134),5)</f>
        <v>48670</v>
      </c>
      <c r="AA135" s="280"/>
      <c r="AB135" s="66">
        <f t="shared" ref="AB135:AK135" si="56">ROUND(SUM(AB131:AB134),5)</f>
        <v>0</v>
      </c>
      <c r="AC135" s="66">
        <f t="shared" si="56"/>
        <v>0</v>
      </c>
      <c r="AD135" s="66">
        <f t="shared" si="56"/>
        <v>0</v>
      </c>
      <c r="AE135" s="66">
        <f t="shared" si="56"/>
        <v>0</v>
      </c>
      <c r="AF135" s="66">
        <f t="shared" si="56"/>
        <v>0</v>
      </c>
      <c r="AG135" s="66">
        <f t="shared" si="56"/>
        <v>0</v>
      </c>
      <c r="AH135" s="66">
        <f t="shared" si="56"/>
        <v>0</v>
      </c>
      <c r="AI135" s="66">
        <f t="shared" si="56"/>
        <v>0</v>
      </c>
      <c r="AJ135" s="66">
        <f t="shared" si="56"/>
        <v>0</v>
      </c>
      <c r="AK135" s="66">
        <f t="shared" si="56"/>
        <v>0</v>
      </c>
      <c r="AM135" s="271">
        <f t="shared" ref="AM135" si="57">ROUND(SUM(AM131:AM134),5)</f>
        <v>0</v>
      </c>
      <c r="AN135" s="310"/>
    </row>
    <row r="136" spans="1:40" ht="16" hidden="1" thickBot="1" x14ac:dyDescent="0.4">
      <c r="A136" s="66"/>
      <c r="B136" s="66"/>
      <c r="C136" s="49"/>
      <c r="D136" s="49"/>
      <c r="E136" s="49"/>
      <c r="F136" s="49" t="s">
        <v>135</v>
      </c>
      <c r="G136" s="49"/>
      <c r="H136" s="63"/>
      <c r="I136" s="63"/>
      <c r="J136" s="64"/>
      <c r="K136" s="64"/>
      <c r="L136" s="65"/>
      <c r="M136" s="65"/>
      <c r="N136" s="66"/>
      <c r="O136" s="66"/>
      <c r="P136" s="69">
        <f t="shared" si="25"/>
        <v>0</v>
      </c>
      <c r="Q136" s="69">
        <f t="shared" si="25"/>
        <v>0</v>
      </c>
      <c r="R136" s="294"/>
      <c r="S136" s="49"/>
      <c r="T136" s="49"/>
      <c r="U136" s="49"/>
      <c r="V136" s="49"/>
      <c r="W136" s="49"/>
      <c r="X136" s="49" t="s">
        <v>135</v>
      </c>
      <c r="Y136" s="49"/>
      <c r="Z136" s="66"/>
      <c r="AA136" s="280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M136" s="271"/>
      <c r="AN136" s="310"/>
    </row>
    <row r="137" spans="1:40" ht="16" hidden="1" thickBot="1" x14ac:dyDescent="0.4">
      <c r="A137" s="66"/>
      <c r="B137" s="66"/>
      <c r="C137" s="49"/>
      <c r="D137" s="49"/>
      <c r="E137" s="49"/>
      <c r="F137" s="49"/>
      <c r="G137" s="49" t="s">
        <v>136</v>
      </c>
      <c r="H137" s="63">
        <v>53655</v>
      </c>
      <c r="I137" s="63">
        <v>51900</v>
      </c>
      <c r="J137" s="64">
        <v>40470</v>
      </c>
      <c r="K137" s="64">
        <v>51170</v>
      </c>
      <c r="L137" s="65">
        <v>45370</v>
      </c>
      <c r="M137" s="65">
        <v>57245</v>
      </c>
      <c r="N137" s="66">
        <f t="shared" ref="N137:O141" si="58">ROUND(H137+J137+L137,5)</f>
        <v>139495</v>
      </c>
      <c r="O137" s="66">
        <f t="shared" si="58"/>
        <v>160315</v>
      </c>
      <c r="P137" s="69">
        <f t="shared" si="25"/>
        <v>46498.333333333336</v>
      </c>
      <c r="Q137" s="69">
        <f t="shared" si="25"/>
        <v>53438.333333333336</v>
      </c>
      <c r="R137" s="294"/>
      <c r="S137" s="49"/>
      <c r="T137" s="49"/>
      <c r="U137" s="49"/>
      <c r="V137" s="49"/>
      <c r="W137" s="49"/>
      <c r="X137" s="49"/>
      <c r="Y137" s="49" t="s">
        <v>136</v>
      </c>
      <c r="Z137" s="66">
        <v>57245</v>
      </c>
      <c r="AA137" s="280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M137" s="271"/>
      <c r="AN137" s="310"/>
    </row>
    <row r="138" spans="1:40" ht="16" hidden="1" thickBot="1" x14ac:dyDescent="0.4">
      <c r="A138" s="66"/>
      <c r="B138" s="66"/>
      <c r="C138" s="49"/>
      <c r="D138" s="49"/>
      <c r="E138" s="49"/>
      <c r="F138" s="49"/>
      <c r="G138" s="49" t="s">
        <v>137</v>
      </c>
      <c r="H138" s="63">
        <v>3710</v>
      </c>
      <c r="I138" s="63">
        <v>23440</v>
      </c>
      <c r="J138" s="64">
        <v>3975</v>
      </c>
      <c r="K138" s="64">
        <v>25755</v>
      </c>
      <c r="L138" s="65">
        <v>4240</v>
      </c>
      <c r="M138" s="65">
        <v>8330</v>
      </c>
      <c r="N138" s="66">
        <f t="shared" si="58"/>
        <v>11925</v>
      </c>
      <c r="O138" s="66">
        <f t="shared" si="58"/>
        <v>57525</v>
      </c>
      <c r="P138" s="69">
        <f t="shared" ref="P138:Q198" si="59">N138/3</f>
        <v>3975</v>
      </c>
      <c r="Q138" s="69">
        <f t="shared" si="59"/>
        <v>19175</v>
      </c>
      <c r="R138" s="294"/>
      <c r="S138" s="49"/>
      <c r="T138" s="49"/>
      <c r="U138" s="49"/>
      <c r="V138" s="49"/>
      <c r="W138" s="49"/>
      <c r="X138" s="49"/>
      <c r="Y138" s="49" t="s">
        <v>137</v>
      </c>
      <c r="Z138" s="66">
        <v>10450</v>
      </c>
      <c r="AA138" s="280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M138" s="271"/>
      <c r="AN138" s="310"/>
    </row>
    <row r="139" spans="1:40" ht="16" hidden="1" thickBot="1" x14ac:dyDescent="0.4">
      <c r="A139" s="66"/>
      <c r="B139" s="66"/>
      <c r="C139" s="49"/>
      <c r="D139" s="49"/>
      <c r="E139" s="49"/>
      <c r="F139" s="49"/>
      <c r="G139" s="49" t="s">
        <v>138</v>
      </c>
      <c r="H139" s="63">
        <v>19130</v>
      </c>
      <c r="I139" s="63">
        <v>28865</v>
      </c>
      <c r="J139" s="64">
        <v>19460</v>
      </c>
      <c r="K139" s="64">
        <v>29200</v>
      </c>
      <c r="L139" s="65">
        <v>15970</v>
      </c>
      <c r="M139" s="65">
        <v>22540</v>
      </c>
      <c r="N139" s="66">
        <f t="shared" si="58"/>
        <v>54560</v>
      </c>
      <c r="O139" s="66">
        <f t="shared" si="58"/>
        <v>80605</v>
      </c>
      <c r="P139" s="69">
        <f t="shared" si="59"/>
        <v>18186.666666666668</v>
      </c>
      <c r="Q139" s="69">
        <f t="shared" si="59"/>
        <v>26868.333333333332</v>
      </c>
      <c r="R139" s="294"/>
      <c r="S139" s="49"/>
      <c r="T139" s="49"/>
      <c r="U139" s="49"/>
      <c r="V139" s="49"/>
      <c r="W139" s="49"/>
      <c r="X139" s="49"/>
      <c r="Y139" s="49" t="s">
        <v>138</v>
      </c>
      <c r="Z139" s="66">
        <v>22805</v>
      </c>
      <c r="AA139" s="280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M139" s="271"/>
      <c r="AN139" s="310"/>
    </row>
    <row r="140" spans="1:40" ht="16" hidden="1" thickBot="1" x14ac:dyDescent="0.4">
      <c r="A140" s="66"/>
      <c r="B140" s="66"/>
      <c r="C140" s="49"/>
      <c r="D140" s="49"/>
      <c r="E140" s="49"/>
      <c r="F140" s="49"/>
      <c r="G140" s="49" t="s">
        <v>139</v>
      </c>
      <c r="H140" s="70">
        <v>15560</v>
      </c>
      <c r="I140" s="70">
        <v>17010</v>
      </c>
      <c r="J140" s="71">
        <v>9465</v>
      </c>
      <c r="K140" s="71">
        <v>18600</v>
      </c>
      <c r="L140" s="72">
        <v>10890</v>
      </c>
      <c r="M140" s="72">
        <v>17100</v>
      </c>
      <c r="N140" s="73">
        <f t="shared" si="58"/>
        <v>35915</v>
      </c>
      <c r="O140" s="73">
        <f t="shared" si="58"/>
        <v>52710</v>
      </c>
      <c r="P140" s="74">
        <f t="shared" si="59"/>
        <v>11971.666666666666</v>
      </c>
      <c r="Q140" s="74">
        <f t="shared" si="59"/>
        <v>17570</v>
      </c>
      <c r="R140" s="294"/>
      <c r="S140" s="49"/>
      <c r="T140" s="49"/>
      <c r="U140" s="49"/>
      <c r="V140" s="49"/>
      <c r="W140" s="49"/>
      <c r="X140" s="49"/>
      <c r="Y140" s="49" t="s">
        <v>139</v>
      </c>
      <c r="Z140" s="73">
        <v>8550</v>
      </c>
      <c r="AA140" s="280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M140" s="273"/>
      <c r="AN140" s="310"/>
    </row>
    <row r="141" spans="1:40" ht="16" hidden="1" thickBot="1" x14ac:dyDescent="0.4">
      <c r="A141" s="66"/>
      <c r="B141" s="66"/>
      <c r="C141" s="49"/>
      <c r="D141" s="49"/>
      <c r="E141" s="49"/>
      <c r="F141" s="49" t="s">
        <v>140</v>
      </c>
      <c r="G141" s="49"/>
      <c r="H141" s="63">
        <f t="shared" ref="H141:M141" si="60">ROUND(SUM(H136:H140),5)</f>
        <v>92055</v>
      </c>
      <c r="I141" s="63">
        <f t="shared" si="60"/>
        <v>121215</v>
      </c>
      <c r="J141" s="64">
        <f t="shared" si="60"/>
        <v>73370</v>
      </c>
      <c r="K141" s="64">
        <f t="shared" si="60"/>
        <v>124725</v>
      </c>
      <c r="L141" s="65">
        <f t="shared" si="60"/>
        <v>76470</v>
      </c>
      <c r="M141" s="65">
        <f t="shared" si="60"/>
        <v>105215</v>
      </c>
      <c r="N141" s="66">
        <f t="shared" si="58"/>
        <v>241895</v>
      </c>
      <c r="O141" s="66">
        <f t="shared" si="58"/>
        <v>351155</v>
      </c>
      <c r="P141" s="69">
        <f t="shared" si="59"/>
        <v>80631.666666666672</v>
      </c>
      <c r="Q141" s="69">
        <f t="shared" si="59"/>
        <v>117051.66666666667</v>
      </c>
      <c r="R141" s="294"/>
      <c r="S141" s="49"/>
      <c r="T141" s="49"/>
      <c r="U141" s="49"/>
      <c r="V141" s="49"/>
      <c r="W141" s="49"/>
      <c r="X141" s="49" t="s">
        <v>140</v>
      </c>
      <c r="Y141" s="49"/>
      <c r="Z141" s="66">
        <f>ROUND(SUM(Z136:Z140),5)</f>
        <v>99050</v>
      </c>
      <c r="AA141" s="280"/>
      <c r="AB141" s="66">
        <f t="shared" ref="AB141:AK141" si="61">ROUND(SUM(AB136:AB140),5)</f>
        <v>0</v>
      </c>
      <c r="AC141" s="66">
        <f t="shared" si="61"/>
        <v>0</v>
      </c>
      <c r="AD141" s="66">
        <f t="shared" si="61"/>
        <v>0</v>
      </c>
      <c r="AE141" s="66">
        <f t="shared" si="61"/>
        <v>0</v>
      </c>
      <c r="AF141" s="66">
        <f t="shared" si="61"/>
        <v>0</v>
      </c>
      <c r="AG141" s="66">
        <f t="shared" si="61"/>
        <v>0</v>
      </c>
      <c r="AH141" s="66">
        <f t="shared" si="61"/>
        <v>0</v>
      </c>
      <c r="AI141" s="66">
        <f t="shared" si="61"/>
        <v>0</v>
      </c>
      <c r="AJ141" s="66">
        <f t="shared" si="61"/>
        <v>0</v>
      </c>
      <c r="AK141" s="66">
        <f t="shared" si="61"/>
        <v>0</v>
      </c>
      <c r="AM141" s="271">
        <f t="shared" ref="AM141" si="62">ROUND(SUM(AM136:AM140),5)</f>
        <v>0</v>
      </c>
      <c r="AN141" s="310"/>
    </row>
    <row r="142" spans="1:40" ht="16" hidden="1" thickBot="1" x14ac:dyDescent="0.4">
      <c r="A142" s="66"/>
      <c r="B142" s="66"/>
      <c r="C142" s="49"/>
      <c r="D142" s="49"/>
      <c r="E142" s="49"/>
      <c r="F142" s="49" t="s">
        <v>141</v>
      </c>
      <c r="G142" s="49"/>
      <c r="H142" s="63"/>
      <c r="I142" s="63"/>
      <c r="J142" s="64"/>
      <c r="K142" s="64"/>
      <c r="L142" s="65"/>
      <c r="M142" s="65"/>
      <c r="N142" s="66"/>
      <c r="O142" s="66"/>
      <c r="P142" s="69">
        <f t="shared" si="59"/>
        <v>0</v>
      </c>
      <c r="Q142" s="69">
        <f t="shared" si="59"/>
        <v>0</v>
      </c>
      <c r="R142" s="294"/>
      <c r="S142" s="49"/>
      <c r="T142" s="49"/>
      <c r="U142" s="49"/>
      <c r="V142" s="49"/>
      <c r="W142" s="49"/>
      <c r="X142" s="49" t="s">
        <v>141</v>
      </c>
      <c r="Y142" s="49"/>
      <c r="Z142" s="66"/>
      <c r="AA142" s="280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M142" s="271"/>
      <c r="AN142" s="310"/>
    </row>
    <row r="143" spans="1:40" ht="16" hidden="1" thickBot="1" x14ac:dyDescent="0.4">
      <c r="A143" s="66"/>
      <c r="B143" s="66"/>
      <c r="C143" s="49"/>
      <c r="D143" s="49"/>
      <c r="E143" s="49"/>
      <c r="F143" s="49"/>
      <c r="G143" s="49" t="s">
        <v>142</v>
      </c>
      <c r="H143" s="70">
        <v>-125650</v>
      </c>
      <c r="I143" s="70">
        <v>-126150</v>
      </c>
      <c r="J143" s="71">
        <v>-133460</v>
      </c>
      <c r="K143" s="71">
        <v>-130115.02</v>
      </c>
      <c r="L143" s="72">
        <v>-130055</v>
      </c>
      <c r="M143" s="72">
        <v>-127204</v>
      </c>
      <c r="N143" s="73">
        <f>ROUND(H143+J143+L143,5)</f>
        <v>-389165</v>
      </c>
      <c r="O143" s="73">
        <f>ROUND(I143+K143+M143,5)</f>
        <v>-383469.02</v>
      </c>
      <c r="P143" s="74">
        <f t="shared" si="59"/>
        <v>-129721.66666666667</v>
      </c>
      <c r="Q143" s="74">
        <f t="shared" si="59"/>
        <v>-127823.00666666667</v>
      </c>
      <c r="R143" s="294"/>
      <c r="S143" s="49"/>
      <c r="T143" s="49"/>
      <c r="U143" s="49"/>
      <c r="V143" s="49"/>
      <c r="W143" s="49"/>
      <c r="X143" s="49"/>
      <c r="Y143" s="49" t="s">
        <v>142</v>
      </c>
      <c r="Z143" s="73">
        <v>-132509</v>
      </c>
      <c r="AA143" s="280"/>
      <c r="AB143" s="73">
        <v>-116261.69</v>
      </c>
      <c r="AC143" s="73">
        <v>-116261.69</v>
      </c>
      <c r="AD143" s="73">
        <v>-116261.69</v>
      </c>
      <c r="AE143" s="73">
        <v>-116261.69</v>
      </c>
      <c r="AF143" s="73">
        <f>ROUND(-118175.42, 0)</f>
        <v>-118175</v>
      </c>
      <c r="AG143" s="73">
        <f>ROUND(-121383.54, 0)</f>
        <v>-121384</v>
      </c>
      <c r="AH143" s="73">
        <f>ROUND(-121383.54, 0)</f>
        <v>-121384</v>
      </c>
      <c r="AI143" s="73">
        <f>ROUND(-121383.54, 0)</f>
        <v>-121384</v>
      </c>
      <c r="AJ143" s="73">
        <f>ROUND(-121383.54, 0)</f>
        <v>-121384</v>
      </c>
      <c r="AK143" s="73">
        <f>ROUND(-121383.54, 0)</f>
        <v>-121384</v>
      </c>
      <c r="AM143" s="273">
        <f>ROUND(-121383.54, 0)</f>
        <v>-121384</v>
      </c>
      <c r="AN143" s="310"/>
    </row>
    <row r="144" spans="1:40" ht="16" hidden="1" thickBot="1" x14ac:dyDescent="0.4">
      <c r="A144" s="66"/>
      <c r="B144" s="66"/>
      <c r="C144" s="49"/>
      <c r="D144" s="49"/>
      <c r="E144" s="49"/>
      <c r="F144" s="49" t="s">
        <v>143</v>
      </c>
      <c r="G144" s="49"/>
      <c r="H144" s="63">
        <f t="shared" ref="H144:M144" si="63">ROUND(SUM(H142:H143),5)</f>
        <v>-125650</v>
      </c>
      <c r="I144" s="63">
        <f t="shared" si="63"/>
        <v>-126150</v>
      </c>
      <c r="J144" s="64">
        <f t="shared" si="63"/>
        <v>-133460</v>
      </c>
      <c r="K144" s="64">
        <f t="shared" si="63"/>
        <v>-130115.02</v>
      </c>
      <c r="L144" s="65">
        <f t="shared" si="63"/>
        <v>-130055</v>
      </c>
      <c r="M144" s="65">
        <f t="shared" si="63"/>
        <v>-127204</v>
      </c>
      <c r="N144" s="66">
        <f>ROUND(H144+J144+L144,5)</f>
        <v>-389165</v>
      </c>
      <c r="O144" s="66">
        <f>ROUND(I144+K144+M144,5)</f>
        <v>-383469.02</v>
      </c>
      <c r="P144" s="69">
        <f t="shared" si="59"/>
        <v>-129721.66666666667</v>
      </c>
      <c r="Q144" s="69">
        <f t="shared" si="59"/>
        <v>-127823.00666666667</v>
      </c>
      <c r="R144" s="294"/>
      <c r="S144" s="49"/>
      <c r="T144" s="49"/>
      <c r="U144" s="49"/>
      <c r="V144" s="49"/>
      <c r="W144" s="49"/>
      <c r="X144" s="49" t="s">
        <v>143</v>
      </c>
      <c r="Y144" s="49"/>
      <c r="Z144" s="66">
        <f>ROUND(SUM(Z142:Z143),5)</f>
        <v>-132509</v>
      </c>
      <c r="AA144" s="280"/>
      <c r="AB144" s="66">
        <f t="shared" ref="AB144:AK144" si="64">ROUND(SUM(AB142:AB143),5)</f>
        <v>-116261.69</v>
      </c>
      <c r="AC144" s="66">
        <f t="shared" si="64"/>
        <v>-116261.69</v>
      </c>
      <c r="AD144" s="66">
        <f t="shared" si="64"/>
        <v>-116261.69</v>
      </c>
      <c r="AE144" s="66">
        <f t="shared" si="64"/>
        <v>-116261.69</v>
      </c>
      <c r="AF144" s="66">
        <f t="shared" si="64"/>
        <v>-118175</v>
      </c>
      <c r="AG144" s="66">
        <f t="shared" si="64"/>
        <v>-121384</v>
      </c>
      <c r="AH144" s="66">
        <f t="shared" si="64"/>
        <v>-121384</v>
      </c>
      <c r="AI144" s="66">
        <f t="shared" si="64"/>
        <v>-121384</v>
      </c>
      <c r="AJ144" s="66">
        <f t="shared" si="64"/>
        <v>-121384</v>
      </c>
      <c r="AK144" s="66">
        <f t="shared" si="64"/>
        <v>-121384</v>
      </c>
      <c r="AM144" s="271">
        <f t="shared" ref="AM144" si="65">ROUND(SUM(AM142:AM143),5)</f>
        <v>-121384</v>
      </c>
      <c r="AN144" s="310"/>
    </row>
    <row r="145" spans="1:40" ht="16" hidden="1" thickBot="1" x14ac:dyDescent="0.4">
      <c r="A145" s="66"/>
      <c r="B145" s="66"/>
      <c r="C145" s="49"/>
      <c r="D145" s="49"/>
      <c r="E145" s="49"/>
      <c r="F145" s="49" t="s">
        <v>144</v>
      </c>
      <c r="G145" s="49"/>
      <c r="H145" s="63"/>
      <c r="I145" s="63"/>
      <c r="J145" s="64"/>
      <c r="K145" s="64"/>
      <c r="L145" s="65"/>
      <c r="M145" s="65"/>
      <c r="N145" s="66"/>
      <c r="O145" s="66"/>
      <c r="P145" s="69">
        <f t="shared" si="59"/>
        <v>0</v>
      </c>
      <c r="Q145" s="69">
        <f t="shared" si="59"/>
        <v>0</v>
      </c>
      <c r="R145" s="294"/>
      <c r="S145" s="49"/>
      <c r="T145" s="49"/>
      <c r="U145" s="49"/>
      <c r="V145" s="49"/>
      <c r="W145" s="49"/>
      <c r="X145" s="49" t="s">
        <v>144</v>
      </c>
      <c r="Y145" s="49"/>
      <c r="Z145" s="66"/>
      <c r="AA145" s="280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M145" s="271"/>
      <c r="AN145" s="314"/>
    </row>
    <row r="146" spans="1:40" ht="16" hidden="1" thickBot="1" x14ac:dyDescent="0.4">
      <c r="A146" s="66"/>
      <c r="B146" s="66"/>
      <c r="C146" s="49"/>
      <c r="D146" s="49"/>
      <c r="E146" s="49"/>
      <c r="F146" s="49"/>
      <c r="G146" s="49" t="s">
        <v>145</v>
      </c>
      <c r="H146" s="63">
        <v>3510</v>
      </c>
      <c r="I146" s="63">
        <v>15360</v>
      </c>
      <c r="J146" s="64">
        <v>5895</v>
      </c>
      <c r="K146" s="64">
        <v>18205</v>
      </c>
      <c r="L146" s="65">
        <v>5950</v>
      </c>
      <c r="M146" s="65">
        <v>7415</v>
      </c>
      <c r="N146" s="66">
        <f t="shared" ref="N146:O151" si="66">ROUND(H146+J146+L146,5)</f>
        <v>15355</v>
      </c>
      <c r="O146" s="66">
        <f t="shared" si="66"/>
        <v>40980</v>
      </c>
      <c r="P146" s="69">
        <f t="shared" si="59"/>
        <v>5118.333333333333</v>
      </c>
      <c r="Q146" s="69">
        <f t="shared" si="59"/>
        <v>13660</v>
      </c>
      <c r="R146" s="294"/>
      <c r="S146" s="49"/>
      <c r="T146" s="49"/>
      <c r="U146" s="49"/>
      <c r="V146" s="49"/>
      <c r="W146" s="49"/>
      <c r="X146" s="49"/>
      <c r="Y146" s="49" t="s">
        <v>145</v>
      </c>
      <c r="Z146" s="66">
        <v>4840</v>
      </c>
      <c r="AA146" s="280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M146" s="271"/>
      <c r="AN146" s="310"/>
    </row>
    <row r="147" spans="1:40" ht="16" hidden="1" thickBot="1" x14ac:dyDescent="0.4">
      <c r="A147" s="66"/>
      <c r="B147" s="66"/>
      <c r="C147" s="49"/>
      <c r="D147" s="49"/>
      <c r="E147" s="49"/>
      <c r="F147" s="49"/>
      <c r="G147" s="49" t="s">
        <v>146</v>
      </c>
      <c r="H147" s="63">
        <v>4635</v>
      </c>
      <c r="I147" s="63">
        <v>15095</v>
      </c>
      <c r="J147" s="64">
        <v>4040</v>
      </c>
      <c r="K147" s="64">
        <v>18005</v>
      </c>
      <c r="L147" s="65">
        <v>2650</v>
      </c>
      <c r="M147" s="65">
        <v>7055</v>
      </c>
      <c r="N147" s="66">
        <f t="shared" si="66"/>
        <v>11325</v>
      </c>
      <c r="O147" s="66">
        <f t="shared" si="66"/>
        <v>40155</v>
      </c>
      <c r="P147" s="69">
        <f t="shared" si="59"/>
        <v>3775</v>
      </c>
      <c r="Q147" s="69">
        <f t="shared" si="59"/>
        <v>13385</v>
      </c>
      <c r="R147" s="294"/>
      <c r="S147" s="49"/>
      <c r="T147" s="49"/>
      <c r="U147" s="49"/>
      <c r="V147" s="49"/>
      <c r="W147" s="49"/>
      <c r="X147" s="49"/>
      <c r="Y147" s="49" t="s">
        <v>146</v>
      </c>
      <c r="Z147" s="66">
        <v>5635</v>
      </c>
      <c r="AA147" s="280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M147" s="271"/>
      <c r="AN147" s="310"/>
    </row>
    <row r="148" spans="1:40" ht="16" hidden="1" thickBot="1" x14ac:dyDescent="0.4">
      <c r="A148" s="66"/>
      <c r="B148" s="66"/>
      <c r="C148" s="49"/>
      <c r="D148" s="49"/>
      <c r="E148" s="49"/>
      <c r="F148" s="49"/>
      <c r="G148" s="49" t="s">
        <v>147</v>
      </c>
      <c r="H148" s="63">
        <v>4305</v>
      </c>
      <c r="I148" s="63">
        <v>15095</v>
      </c>
      <c r="J148" s="64">
        <v>4835</v>
      </c>
      <c r="K148" s="64">
        <v>18005</v>
      </c>
      <c r="L148" s="65">
        <v>4770</v>
      </c>
      <c r="M148" s="65">
        <v>8210</v>
      </c>
      <c r="N148" s="66">
        <f t="shared" si="66"/>
        <v>13910</v>
      </c>
      <c r="O148" s="66">
        <f t="shared" si="66"/>
        <v>41310</v>
      </c>
      <c r="P148" s="69">
        <f t="shared" si="59"/>
        <v>4636.666666666667</v>
      </c>
      <c r="Q148" s="69">
        <f t="shared" si="59"/>
        <v>13770</v>
      </c>
      <c r="R148" s="294"/>
      <c r="S148" s="49"/>
      <c r="T148" s="49"/>
      <c r="U148" s="49"/>
      <c r="V148" s="49"/>
      <c r="W148" s="49"/>
      <c r="X148" s="49"/>
      <c r="Y148" s="49" t="s">
        <v>147</v>
      </c>
      <c r="Z148" s="66">
        <v>4575</v>
      </c>
      <c r="AA148" s="280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M148" s="271"/>
      <c r="AN148" s="310"/>
    </row>
    <row r="149" spans="1:40" ht="16" hidden="1" thickBot="1" x14ac:dyDescent="0.4">
      <c r="A149" s="66"/>
      <c r="B149" s="66"/>
      <c r="C149" s="49"/>
      <c r="D149" s="49"/>
      <c r="E149" s="49"/>
      <c r="F149" s="49"/>
      <c r="G149" s="49" t="s">
        <v>148</v>
      </c>
      <c r="H149" s="63">
        <v>5495</v>
      </c>
      <c r="I149" s="63">
        <v>15095</v>
      </c>
      <c r="J149" s="64">
        <v>3180</v>
      </c>
      <c r="K149" s="64">
        <v>17675</v>
      </c>
      <c r="L149" s="65">
        <v>5420</v>
      </c>
      <c r="M149" s="65">
        <v>7585</v>
      </c>
      <c r="N149" s="66">
        <f t="shared" si="66"/>
        <v>14095</v>
      </c>
      <c r="O149" s="66">
        <f t="shared" si="66"/>
        <v>40355</v>
      </c>
      <c r="P149" s="69">
        <f t="shared" si="59"/>
        <v>4698.333333333333</v>
      </c>
      <c r="Q149" s="69">
        <f t="shared" si="59"/>
        <v>13451.666666666666</v>
      </c>
      <c r="R149" s="294"/>
      <c r="S149" s="49"/>
      <c r="T149" s="49"/>
      <c r="U149" s="49"/>
      <c r="V149" s="49"/>
      <c r="W149" s="49"/>
      <c r="X149" s="49"/>
      <c r="Y149" s="49" t="s">
        <v>148</v>
      </c>
      <c r="Z149" s="66">
        <v>5370</v>
      </c>
      <c r="AA149" s="280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M149" s="271"/>
      <c r="AN149" s="310"/>
    </row>
    <row r="150" spans="1:40" ht="16" hidden="1" thickBot="1" x14ac:dyDescent="0.4">
      <c r="A150" s="66"/>
      <c r="B150" s="66"/>
      <c r="C150" s="49"/>
      <c r="D150" s="49"/>
      <c r="E150" s="49"/>
      <c r="F150" s="49"/>
      <c r="G150" s="49" t="s">
        <v>149</v>
      </c>
      <c r="H150" s="70">
        <v>10690</v>
      </c>
      <c r="I150" s="70">
        <v>24080</v>
      </c>
      <c r="J150" s="71">
        <v>7470</v>
      </c>
      <c r="K150" s="71">
        <v>28545</v>
      </c>
      <c r="L150" s="72">
        <v>7055</v>
      </c>
      <c r="M150" s="72">
        <v>13730</v>
      </c>
      <c r="N150" s="73">
        <f t="shared" si="66"/>
        <v>25215</v>
      </c>
      <c r="O150" s="73">
        <f t="shared" si="66"/>
        <v>66355</v>
      </c>
      <c r="P150" s="74">
        <f t="shared" si="59"/>
        <v>8405</v>
      </c>
      <c r="Q150" s="74">
        <f t="shared" si="59"/>
        <v>22118.333333333332</v>
      </c>
      <c r="R150" s="294"/>
      <c r="S150" s="49"/>
      <c r="T150" s="49"/>
      <c r="U150" s="49"/>
      <c r="V150" s="49"/>
      <c r="W150" s="49"/>
      <c r="X150" s="49"/>
      <c r="Y150" s="49" t="s">
        <v>149</v>
      </c>
      <c r="Z150" s="73">
        <v>8270</v>
      </c>
      <c r="AA150" s="280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M150" s="273"/>
      <c r="AN150" s="310"/>
    </row>
    <row r="151" spans="1:40" ht="16" hidden="1" thickBot="1" x14ac:dyDescent="0.4">
      <c r="A151" s="66"/>
      <c r="B151" s="66"/>
      <c r="C151" s="49"/>
      <c r="D151" s="49"/>
      <c r="E151" s="49"/>
      <c r="F151" s="49" t="s">
        <v>150</v>
      </c>
      <c r="G151" s="49"/>
      <c r="H151" s="63">
        <f t="shared" ref="H151:M151" si="67">ROUND(SUM(H145:H150),5)</f>
        <v>28635</v>
      </c>
      <c r="I151" s="63">
        <f t="shared" si="67"/>
        <v>84725</v>
      </c>
      <c r="J151" s="64">
        <f t="shared" si="67"/>
        <v>25420</v>
      </c>
      <c r="K151" s="64">
        <f t="shared" si="67"/>
        <v>100435</v>
      </c>
      <c r="L151" s="65">
        <f t="shared" si="67"/>
        <v>25845</v>
      </c>
      <c r="M151" s="65">
        <f t="shared" si="67"/>
        <v>43995</v>
      </c>
      <c r="N151" s="66">
        <f t="shared" si="66"/>
        <v>79900</v>
      </c>
      <c r="O151" s="66">
        <f t="shared" si="66"/>
        <v>229155</v>
      </c>
      <c r="P151" s="69">
        <f t="shared" si="59"/>
        <v>26633.333333333332</v>
      </c>
      <c r="Q151" s="69">
        <f t="shared" si="59"/>
        <v>76385</v>
      </c>
      <c r="R151" s="294"/>
      <c r="S151" s="49"/>
      <c r="T151" s="49"/>
      <c r="U151" s="49"/>
      <c r="V151" s="49"/>
      <c r="W151" s="49"/>
      <c r="X151" s="49" t="s">
        <v>150</v>
      </c>
      <c r="Y151" s="49"/>
      <c r="Z151" s="66">
        <f>ROUND(SUM(Z145:Z150),5)</f>
        <v>28690</v>
      </c>
      <c r="AA151" s="280"/>
      <c r="AB151" s="66">
        <f t="shared" ref="AB151:AK151" si="68">ROUND(SUM(AB145:AB150),5)</f>
        <v>0</v>
      </c>
      <c r="AC151" s="66">
        <f t="shared" si="68"/>
        <v>0</v>
      </c>
      <c r="AD151" s="66">
        <f t="shared" si="68"/>
        <v>0</v>
      </c>
      <c r="AE151" s="66">
        <f t="shared" si="68"/>
        <v>0</v>
      </c>
      <c r="AF151" s="66">
        <f t="shared" si="68"/>
        <v>0</v>
      </c>
      <c r="AG151" s="66">
        <f t="shared" si="68"/>
        <v>0</v>
      </c>
      <c r="AH151" s="66">
        <f t="shared" si="68"/>
        <v>0</v>
      </c>
      <c r="AI151" s="66">
        <f t="shared" si="68"/>
        <v>0</v>
      </c>
      <c r="AJ151" s="66">
        <f t="shared" si="68"/>
        <v>0</v>
      </c>
      <c r="AK151" s="66">
        <f t="shared" si="68"/>
        <v>0</v>
      </c>
      <c r="AM151" s="271">
        <f t="shared" ref="AM151" si="69">ROUND(SUM(AM145:AM150),5)</f>
        <v>0</v>
      </c>
      <c r="AN151" s="310"/>
    </row>
    <row r="152" spans="1:40" ht="16" hidden="1" thickBot="1" x14ac:dyDescent="0.4">
      <c r="A152" s="66"/>
      <c r="B152" s="66"/>
      <c r="C152" s="49"/>
      <c r="D152" s="49"/>
      <c r="E152" s="49"/>
      <c r="F152" s="49" t="s">
        <v>151</v>
      </c>
      <c r="G152" s="49"/>
      <c r="H152" s="63"/>
      <c r="I152" s="63"/>
      <c r="J152" s="64"/>
      <c r="K152" s="64"/>
      <c r="L152" s="65"/>
      <c r="M152" s="65"/>
      <c r="N152" s="66"/>
      <c r="O152" s="66"/>
      <c r="P152" s="69">
        <f t="shared" si="59"/>
        <v>0</v>
      </c>
      <c r="Q152" s="69">
        <f t="shared" si="59"/>
        <v>0</v>
      </c>
      <c r="R152" s="294"/>
      <c r="S152" s="49"/>
      <c r="T152" s="49"/>
      <c r="U152" s="49"/>
      <c r="V152" s="49"/>
      <c r="W152" s="49"/>
      <c r="X152" s="49" t="s">
        <v>151</v>
      </c>
      <c r="Y152" s="49"/>
      <c r="Z152" s="66"/>
      <c r="AA152" s="280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M152" s="271"/>
      <c r="AN152" s="310"/>
    </row>
    <row r="153" spans="1:40" ht="16" hidden="1" thickBot="1" x14ac:dyDescent="0.4">
      <c r="A153" s="66"/>
      <c r="B153" s="66"/>
      <c r="C153" s="49"/>
      <c r="D153" s="49"/>
      <c r="E153" s="49"/>
      <c r="F153" s="49"/>
      <c r="G153" s="49" t="s">
        <v>152</v>
      </c>
      <c r="H153" s="63">
        <v>44575</v>
      </c>
      <c r="I153" s="63">
        <v>29405</v>
      </c>
      <c r="J153" s="64">
        <v>57090</v>
      </c>
      <c r="K153" s="64">
        <v>29335</v>
      </c>
      <c r="L153" s="65">
        <v>57115</v>
      </c>
      <c r="M153" s="65">
        <v>47380</v>
      </c>
      <c r="N153" s="66">
        <f t="shared" ref="N153:O156" si="70">ROUND(H153+J153+L153,5)</f>
        <v>158780</v>
      </c>
      <c r="O153" s="66">
        <f t="shared" si="70"/>
        <v>106120</v>
      </c>
      <c r="P153" s="69">
        <f t="shared" si="59"/>
        <v>52926.666666666664</v>
      </c>
      <c r="Q153" s="69">
        <f t="shared" si="59"/>
        <v>35373.333333333336</v>
      </c>
      <c r="R153" s="294"/>
      <c r="S153" s="49"/>
      <c r="T153" s="49"/>
      <c r="U153" s="49"/>
      <c r="V153" s="49"/>
      <c r="W153" s="49"/>
      <c r="X153" s="49"/>
      <c r="Y153" s="49" t="s">
        <v>152</v>
      </c>
      <c r="Z153" s="66">
        <v>52680</v>
      </c>
      <c r="AA153" s="280"/>
      <c r="AB153" s="66"/>
      <c r="AC153" s="66"/>
      <c r="AD153" s="66"/>
      <c r="AE153" s="66"/>
      <c r="AF153" s="66"/>
      <c r="AG153" s="66"/>
      <c r="AH153" s="66"/>
      <c r="AI153" s="66"/>
      <c r="AJ153" s="66"/>
      <c r="AK153" s="66"/>
      <c r="AM153" s="271"/>
      <c r="AN153" s="310"/>
    </row>
    <row r="154" spans="1:40" ht="16" hidden="1" thickBot="1" x14ac:dyDescent="0.4">
      <c r="A154" s="66"/>
      <c r="B154" s="66"/>
      <c r="C154" s="49"/>
      <c r="D154" s="49"/>
      <c r="E154" s="49"/>
      <c r="F154" s="49"/>
      <c r="G154" s="49" t="s">
        <v>153</v>
      </c>
      <c r="H154" s="63">
        <v>0</v>
      </c>
      <c r="I154" s="63">
        <v>0</v>
      </c>
      <c r="J154" s="64">
        <v>0</v>
      </c>
      <c r="K154" s="64"/>
      <c r="L154" s="65">
        <v>0</v>
      </c>
      <c r="M154" s="65"/>
      <c r="N154" s="66">
        <f t="shared" si="70"/>
        <v>0</v>
      </c>
      <c r="O154" s="66">
        <f t="shared" si="70"/>
        <v>0</v>
      </c>
      <c r="P154" s="69">
        <f t="shared" si="59"/>
        <v>0</v>
      </c>
      <c r="Q154" s="69">
        <f t="shared" si="59"/>
        <v>0</v>
      </c>
      <c r="R154" s="294"/>
      <c r="S154" s="49"/>
      <c r="T154" s="49"/>
      <c r="U154" s="49"/>
      <c r="V154" s="49"/>
      <c r="W154" s="49"/>
      <c r="X154" s="49"/>
      <c r="Y154" s="49" t="s">
        <v>153</v>
      </c>
      <c r="Z154" s="66">
        <v>0</v>
      </c>
      <c r="AA154" s="280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M154" s="271"/>
      <c r="AN154" s="310"/>
    </row>
    <row r="155" spans="1:40" ht="16" hidden="1" thickBot="1" x14ac:dyDescent="0.4">
      <c r="A155" s="66"/>
      <c r="B155" s="66"/>
      <c r="C155" s="49"/>
      <c r="D155" s="49"/>
      <c r="E155" s="49"/>
      <c r="F155" s="49"/>
      <c r="G155" s="49" t="s">
        <v>154</v>
      </c>
      <c r="H155" s="70">
        <v>4835</v>
      </c>
      <c r="I155" s="70">
        <v>24365</v>
      </c>
      <c r="J155" s="71">
        <v>7685</v>
      </c>
      <c r="K155" s="71">
        <v>24230</v>
      </c>
      <c r="L155" s="72">
        <v>7485</v>
      </c>
      <c r="M155" s="72">
        <v>9125</v>
      </c>
      <c r="N155" s="73">
        <f t="shared" si="70"/>
        <v>20005</v>
      </c>
      <c r="O155" s="73">
        <f t="shared" si="70"/>
        <v>57720</v>
      </c>
      <c r="P155" s="74">
        <f t="shared" si="59"/>
        <v>6668.333333333333</v>
      </c>
      <c r="Q155" s="74">
        <f t="shared" si="59"/>
        <v>19240</v>
      </c>
      <c r="R155" s="294"/>
      <c r="S155" s="49"/>
      <c r="T155" s="49"/>
      <c r="U155" s="49"/>
      <c r="V155" s="49"/>
      <c r="W155" s="49"/>
      <c r="X155" s="49"/>
      <c r="Y155" s="49" t="s">
        <v>154</v>
      </c>
      <c r="Z155" s="73">
        <v>13365</v>
      </c>
      <c r="AA155" s="280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M155" s="273"/>
      <c r="AN155" s="310"/>
    </row>
    <row r="156" spans="1:40" ht="16" hidden="1" thickBot="1" x14ac:dyDescent="0.4">
      <c r="A156" s="66"/>
      <c r="B156" s="66"/>
      <c r="C156" s="49"/>
      <c r="D156" s="49"/>
      <c r="E156" s="49"/>
      <c r="F156" s="49" t="s">
        <v>155</v>
      </c>
      <c r="G156" s="49"/>
      <c r="H156" s="63">
        <f t="shared" ref="H156:M156" si="71">ROUND(SUM(H152:H155),5)</f>
        <v>49410</v>
      </c>
      <c r="I156" s="63">
        <f t="shared" si="71"/>
        <v>53770</v>
      </c>
      <c r="J156" s="64">
        <f t="shared" si="71"/>
        <v>64775</v>
      </c>
      <c r="K156" s="64">
        <f t="shared" si="71"/>
        <v>53565</v>
      </c>
      <c r="L156" s="65">
        <f t="shared" si="71"/>
        <v>64600</v>
      </c>
      <c r="M156" s="65">
        <f t="shared" si="71"/>
        <v>56505</v>
      </c>
      <c r="N156" s="66">
        <f t="shared" si="70"/>
        <v>178785</v>
      </c>
      <c r="O156" s="66">
        <f t="shared" si="70"/>
        <v>163840</v>
      </c>
      <c r="P156" s="69">
        <f t="shared" si="59"/>
        <v>59595</v>
      </c>
      <c r="Q156" s="69">
        <f t="shared" si="59"/>
        <v>54613.333333333336</v>
      </c>
      <c r="R156" s="294"/>
      <c r="S156" s="49"/>
      <c r="T156" s="49"/>
      <c r="U156" s="49"/>
      <c r="V156" s="49"/>
      <c r="W156" s="49"/>
      <c r="X156" s="49" t="s">
        <v>155</v>
      </c>
      <c r="Y156" s="49"/>
      <c r="Z156" s="66">
        <f>ROUND(SUM(Z152:Z155),5)</f>
        <v>66045</v>
      </c>
      <c r="AA156" s="280"/>
      <c r="AB156" s="66">
        <f t="shared" ref="AB156:AK156" si="72">ROUND(SUM(AB152:AB155),5)</f>
        <v>0</v>
      </c>
      <c r="AC156" s="66">
        <f t="shared" si="72"/>
        <v>0</v>
      </c>
      <c r="AD156" s="66">
        <f t="shared" si="72"/>
        <v>0</v>
      </c>
      <c r="AE156" s="66">
        <f t="shared" si="72"/>
        <v>0</v>
      </c>
      <c r="AF156" s="66">
        <f t="shared" si="72"/>
        <v>0</v>
      </c>
      <c r="AG156" s="66">
        <f t="shared" si="72"/>
        <v>0</v>
      </c>
      <c r="AH156" s="66">
        <f t="shared" si="72"/>
        <v>0</v>
      </c>
      <c r="AI156" s="66">
        <f t="shared" si="72"/>
        <v>0</v>
      </c>
      <c r="AJ156" s="66">
        <f t="shared" si="72"/>
        <v>0</v>
      </c>
      <c r="AK156" s="66">
        <f t="shared" si="72"/>
        <v>0</v>
      </c>
      <c r="AM156" s="271">
        <f t="shared" ref="AM156" si="73">ROUND(SUM(AM152:AM155),5)</f>
        <v>0</v>
      </c>
      <c r="AN156" s="310"/>
    </row>
    <row r="157" spans="1:40" ht="16" hidden="1" thickBot="1" x14ac:dyDescent="0.4">
      <c r="A157" s="66"/>
      <c r="B157" s="66"/>
      <c r="C157" s="49"/>
      <c r="D157" s="49"/>
      <c r="E157" s="49"/>
      <c r="F157" s="49" t="s">
        <v>156</v>
      </c>
      <c r="G157" s="49"/>
      <c r="H157" s="63"/>
      <c r="I157" s="63"/>
      <c r="J157" s="64"/>
      <c r="K157" s="64"/>
      <c r="L157" s="65"/>
      <c r="M157" s="65"/>
      <c r="N157" s="66"/>
      <c r="O157" s="66"/>
      <c r="P157" s="69">
        <f t="shared" si="59"/>
        <v>0</v>
      </c>
      <c r="Q157" s="69">
        <f t="shared" si="59"/>
        <v>0</v>
      </c>
      <c r="R157" s="294"/>
      <c r="S157" s="49"/>
      <c r="T157" s="49"/>
      <c r="U157" s="49"/>
      <c r="V157" s="49"/>
      <c r="W157" s="49"/>
      <c r="X157" s="49" t="s">
        <v>156</v>
      </c>
      <c r="Y157" s="49"/>
      <c r="Z157" s="66"/>
      <c r="AA157" s="280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M157" s="271"/>
      <c r="AN157" s="310"/>
    </row>
    <row r="158" spans="1:40" ht="16" hidden="1" thickBot="1" x14ac:dyDescent="0.4">
      <c r="A158" s="66"/>
      <c r="B158" s="66"/>
      <c r="C158" s="49"/>
      <c r="D158" s="49"/>
      <c r="E158" s="49"/>
      <c r="F158" s="49"/>
      <c r="G158" s="49" t="s">
        <v>157</v>
      </c>
      <c r="H158" s="70">
        <v>40160</v>
      </c>
      <c r="I158" s="70">
        <v>39540</v>
      </c>
      <c r="J158" s="71">
        <v>42655</v>
      </c>
      <c r="K158" s="71">
        <v>40060</v>
      </c>
      <c r="L158" s="72">
        <v>51185</v>
      </c>
      <c r="M158" s="72">
        <v>43420</v>
      </c>
      <c r="N158" s="73">
        <f>ROUND(H158+J158+L158,5)</f>
        <v>134000</v>
      </c>
      <c r="O158" s="73">
        <f>ROUND(I158+K158+M158,5)</f>
        <v>123020</v>
      </c>
      <c r="P158" s="74">
        <f t="shared" si="59"/>
        <v>44666.666666666664</v>
      </c>
      <c r="Q158" s="74">
        <f t="shared" si="59"/>
        <v>41006.666666666664</v>
      </c>
      <c r="R158" s="294"/>
      <c r="S158" s="49"/>
      <c r="T158" s="49"/>
      <c r="U158" s="49"/>
      <c r="V158" s="49"/>
      <c r="W158" s="49"/>
      <c r="X158" s="49"/>
      <c r="Y158" s="49" t="s">
        <v>157</v>
      </c>
      <c r="Z158" s="73">
        <v>51150</v>
      </c>
      <c r="AA158" s="280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M158" s="273"/>
      <c r="AN158" s="310"/>
    </row>
    <row r="159" spans="1:40" ht="16" hidden="1" thickBot="1" x14ac:dyDescent="0.4">
      <c r="A159" s="66"/>
      <c r="B159" s="66"/>
      <c r="C159" s="49"/>
      <c r="D159" s="49"/>
      <c r="E159" s="49"/>
      <c r="F159" s="49" t="s">
        <v>158</v>
      </c>
      <c r="G159" s="49"/>
      <c r="H159" s="63">
        <f t="shared" ref="H159:M159" si="74">ROUND(SUM(H157:H158),5)</f>
        <v>40160</v>
      </c>
      <c r="I159" s="63">
        <f t="shared" si="74"/>
        <v>39540</v>
      </c>
      <c r="J159" s="64">
        <f t="shared" si="74"/>
        <v>42655</v>
      </c>
      <c r="K159" s="64">
        <f t="shared" si="74"/>
        <v>40060</v>
      </c>
      <c r="L159" s="65">
        <f t="shared" si="74"/>
        <v>51185</v>
      </c>
      <c r="M159" s="65">
        <f t="shared" si="74"/>
        <v>43420</v>
      </c>
      <c r="N159" s="66">
        <f>ROUND(H159+J159+L159,5)</f>
        <v>134000</v>
      </c>
      <c r="O159" s="66">
        <f>ROUND(I159+K159+M159,5)</f>
        <v>123020</v>
      </c>
      <c r="P159" s="69">
        <f t="shared" si="59"/>
        <v>44666.666666666664</v>
      </c>
      <c r="Q159" s="69">
        <f t="shared" si="59"/>
        <v>41006.666666666664</v>
      </c>
      <c r="R159" s="294"/>
      <c r="S159" s="49"/>
      <c r="T159" s="49"/>
      <c r="U159" s="49"/>
      <c r="V159" s="49"/>
      <c r="W159" s="49"/>
      <c r="X159" s="49" t="s">
        <v>158</v>
      </c>
      <c r="Y159" s="49"/>
      <c r="Z159" s="66">
        <f>ROUND(SUM(Z157:Z158),5)</f>
        <v>51150</v>
      </c>
      <c r="AA159" s="280"/>
      <c r="AB159" s="66">
        <f t="shared" ref="AB159:AK159" si="75">ROUND(SUM(AB157:AB158),5)</f>
        <v>0</v>
      </c>
      <c r="AC159" s="66">
        <f t="shared" si="75"/>
        <v>0</v>
      </c>
      <c r="AD159" s="66">
        <f t="shared" si="75"/>
        <v>0</v>
      </c>
      <c r="AE159" s="66">
        <f t="shared" si="75"/>
        <v>0</v>
      </c>
      <c r="AF159" s="66">
        <f t="shared" si="75"/>
        <v>0</v>
      </c>
      <c r="AG159" s="66">
        <f t="shared" si="75"/>
        <v>0</v>
      </c>
      <c r="AH159" s="66">
        <f t="shared" si="75"/>
        <v>0</v>
      </c>
      <c r="AI159" s="66">
        <f t="shared" si="75"/>
        <v>0</v>
      </c>
      <c r="AJ159" s="66">
        <f t="shared" si="75"/>
        <v>0</v>
      </c>
      <c r="AK159" s="66">
        <f t="shared" si="75"/>
        <v>0</v>
      </c>
      <c r="AM159" s="271">
        <f t="shared" ref="AM159" si="76">ROUND(SUM(AM157:AM158),5)</f>
        <v>0</v>
      </c>
      <c r="AN159" s="310"/>
    </row>
    <row r="160" spans="1:40" ht="16" hidden="1" thickBot="1" x14ac:dyDescent="0.4">
      <c r="A160" s="66"/>
      <c r="B160" s="66"/>
      <c r="C160" s="49"/>
      <c r="D160" s="49"/>
      <c r="E160" s="49"/>
      <c r="F160" s="49" t="s">
        <v>159</v>
      </c>
      <c r="G160" s="49"/>
      <c r="H160" s="63"/>
      <c r="I160" s="63"/>
      <c r="J160" s="64"/>
      <c r="K160" s="64"/>
      <c r="L160" s="65"/>
      <c r="M160" s="65"/>
      <c r="N160" s="66"/>
      <c r="O160" s="66"/>
      <c r="P160" s="69">
        <f t="shared" si="59"/>
        <v>0</v>
      </c>
      <c r="Q160" s="69">
        <f t="shared" si="59"/>
        <v>0</v>
      </c>
      <c r="R160" s="294"/>
      <c r="S160" s="49"/>
      <c r="T160" s="49"/>
      <c r="U160" s="49"/>
      <c r="V160" s="49"/>
      <c r="W160" s="49"/>
      <c r="X160" s="49" t="s">
        <v>159</v>
      </c>
      <c r="Y160" s="49"/>
      <c r="Z160" s="66"/>
      <c r="AA160" s="280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M160" s="271"/>
      <c r="AN160" s="310"/>
    </row>
    <row r="161" spans="1:45" ht="16" hidden="1" thickBot="1" x14ac:dyDescent="0.4">
      <c r="A161" s="66"/>
      <c r="B161" s="66"/>
      <c r="C161" s="49"/>
      <c r="D161" s="49"/>
      <c r="E161" s="49"/>
      <c r="F161" s="49"/>
      <c r="G161" s="49" t="s">
        <v>160</v>
      </c>
      <c r="H161" s="63">
        <v>75550</v>
      </c>
      <c r="I161" s="63">
        <v>56975</v>
      </c>
      <c r="J161" s="64">
        <v>82915</v>
      </c>
      <c r="K161" s="64">
        <v>50540</v>
      </c>
      <c r="L161" s="65">
        <v>88285</v>
      </c>
      <c r="M161" s="65">
        <v>78155</v>
      </c>
      <c r="N161" s="66">
        <f t="shared" ref="N161:O164" si="77">ROUND(H161+J161+L161,5)</f>
        <v>246750</v>
      </c>
      <c r="O161" s="66">
        <f t="shared" si="77"/>
        <v>185670</v>
      </c>
      <c r="P161" s="69">
        <f t="shared" si="59"/>
        <v>82250</v>
      </c>
      <c r="Q161" s="69">
        <f t="shared" si="59"/>
        <v>61890</v>
      </c>
      <c r="R161" s="294"/>
      <c r="S161" s="49"/>
      <c r="T161" s="49"/>
      <c r="U161" s="49"/>
      <c r="V161" s="49"/>
      <c r="W161" s="49"/>
      <c r="X161" s="49"/>
      <c r="Y161" s="49" t="s">
        <v>160</v>
      </c>
      <c r="Z161" s="66">
        <v>89650</v>
      </c>
      <c r="AA161" s="280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M161" s="271"/>
      <c r="AN161" s="310"/>
    </row>
    <row r="162" spans="1:45" ht="16" hidden="1" thickBot="1" x14ac:dyDescent="0.4">
      <c r="A162" s="66"/>
      <c r="B162" s="66"/>
      <c r="C162" s="49"/>
      <c r="D162" s="49"/>
      <c r="E162" s="49"/>
      <c r="F162" s="49"/>
      <c r="G162" s="49" t="s">
        <v>161</v>
      </c>
      <c r="H162" s="63">
        <v>44955</v>
      </c>
      <c r="I162" s="63">
        <v>33330</v>
      </c>
      <c r="J162" s="64">
        <v>47120</v>
      </c>
      <c r="K162" s="64">
        <v>30310</v>
      </c>
      <c r="L162" s="65">
        <v>59790</v>
      </c>
      <c r="M162" s="65">
        <v>44605</v>
      </c>
      <c r="N162" s="66">
        <f t="shared" si="77"/>
        <v>151865</v>
      </c>
      <c r="O162" s="66">
        <f t="shared" si="77"/>
        <v>108245</v>
      </c>
      <c r="P162" s="69">
        <f t="shared" si="59"/>
        <v>50621.666666666664</v>
      </c>
      <c r="Q162" s="69">
        <f t="shared" si="59"/>
        <v>36081.666666666664</v>
      </c>
      <c r="R162" s="294"/>
      <c r="S162" s="49"/>
      <c r="T162" s="49"/>
      <c r="U162" s="49"/>
      <c r="V162" s="49"/>
      <c r="W162" s="49"/>
      <c r="X162" s="49"/>
      <c r="Y162" s="49" t="s">
        <v>161</v>
      </c>
      <c r="Z162" s="66">
        <v>45435</v>
      </c>
      <c r="AA162" s="280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M162" s="271"/>
      <c r="AN162" s="310"/>
    </row>
    <row r="163" spans="1:45" ht="16" hidden="1" thickBot="1" x14ac:dyDescent="0.4">
      <c r="A163" s="66"/>
      <c r="B163" s="66"/>
      <c r="C163" s="49"/>
      <c r="D163" s="49"/>
      <c r="E163" s="49"/>
      <c r="F163" s="49"/>
      <c r="G163" s="49" t="s">
        <v>162</v>
      </c>
      <c r="H163" s="70">
        <v>34435</v>
      </c>
      <c r="I163" s="70">
        <v>33635</v>
      </c>
      <c r="J163" s="71">
        <v>37875</v>
      </c>
      <c r="K163" s="71">
        <v>27280</v>
      </c>
      <c r="L163" s="72">
        <v>38430</v>
      </c>
      <c r="M163" s="72">
        <v>36635</v>
      </c>
      <c r="N163" s="73">
        <f t="shared" si="77"/>
        <v>110740</v>
      </c>
      <c r="O163" s="73">
        <f t="shared" si="77"/>
        <v>97550</v>
      </c>
      <c r="P163" s="74">
        <f t="shared" si="59"/>
        <v>36913.333333333336</v>
      </c>
      <c r="Q163" s="74">
        <f t="shared" si="59"/>
        <v>32516.666666666668</v>
      </c>
      <c r="R163" s="294"/>
      <c r="S163" s="49"/>
      <c r="T163" s="49"/>
      <c r="U163" s="49"/>
      <c r="V163" s="49"/>
      <c r="W163" s="49"/>
      <c r="X163" s="49"/>
      <c r="Y163" s="49" t="s">
        <v>162</v>
      </c>
      <c r="Z163" s="73">
        <v>41355</v>
      </c>
      <c r="AA163" s="280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M163" s="273"/>
      <c r="AN163" s="310"/>
    </row>
    <row r="164" spans="1:45" ht="16" hidden="1" thickBot="1" x14ac:dyDescent="0.4">
      <c r="A164" s="66"/>
      <c r="B164" s="66"/>
      <c r="C164" s="49"/>
      <c r="D164" s="49"/>
      <c r="E164" s="49"/>
      <c r="F164" s="49" t="s">
        <v>163</v>
      </c>
      <c r="G164" s="49"/>
      <c r="H164" s="63">
        <f t="shared" ref="H164:M164" si="78">ROUND(SUM(H160:H163),5)</f>
        <v>154940</v>
      </c>
      <c r="I164" s="63">
        <f t="shared" si="78"/>
        <v>123940</v>
      </c>
      <c r="J164" s="64">
        <f t="shared" si="78"/>
        <v>167910</v>
      </c>
      <c r="K164" s="64">
        <f t="shared" si="78"/>
        <v>108130</v>
      </c>
      <c r="L164" s="65">
        <f t="shared" si="78"/>
        <v>186505</v>
      </c>
      <c r="M164" s="65">
        <f t="shared" si="78"/>
        <v>159395</v>
      </c>
      <c r="N164" s="66">
        <f t="shared" si="77"/>
        <v>509355</v>
      </c>
      <c r="O164" s="66">
        <f t="shared" si="77"/>
        <v>391465</v>
      </c>
      <c r="P164" s="69">
        <f t="shared" si="59"/>
        <v>169785</v>
      </c>
      <c r="Q164" s="69">
        <f t="shared" si="59"/>
        <v>130488.33333333333</v>
      </c>
      <c r="R164" s="294"/>
      <c r="S164" s="49"/>
      <c r="T164" s="49"/>
      <c r="U164" s="49"/>
      <c r="V164" s="49"/>
      <c r="W164" s="49"/>
      <c r="X164" s="49" t="s">
        <v>163</v>
      </c>
      <c r="Y164" s="49"/>
      <c r="Z164" s="66">
        <f>ROUND(SUM(Z160:Z163),5)</f>
        <v>176440</v>
      </c>
      <c r="AA164" s="280"/>
      <c r="AB164" s="66">
        <f t="shared" ref="AB164:AK164" si="79">ROUND(SUM(AB160:AB163),5)</f>
        <v>0</v>
      </c>
      <c r="AC164" s="66">
        <f t="shared" si="79"/>
        <v>0</v>
      </c>
      <c r="AD164" s="66">
        <f t="shared" si="79"/>
        <v>0</v>
      </c>
      <c r="AE164" s="66">
        <f t="shared" si="79"/>
        <v>0</v>
      </c>
      <c r="AF164" s="66">
        <f t="shared" si="79"/>
        <v>0</v>
      </c>
      <c r="AG164" s="66">
        <f t="shared" si="79"/>
        <v>0</v>
      </c>
      <c r="AH164" s="66">
        <f t="shared" si="79"/>
        <v>0</v>
      </c>
      <c r="AI164" s="66">
        <f t="shared" si="79"/>
        <v>0</v>
      </c>
      <c r="AJ164" s="66">
        <f t="shared" si="79"/>
        <v>0</v>
      </c>
      <c r="AK164" s="66">
        <f t="shared" si="79"/>
        <v>0</v>
      </c>
      <c r="AM164" s="271">
        <f t="shared" ref="AM164" si="80">ROUND(SUM(AM160:AM163),5)</f>
        <v>0</v>
      </c>
      <c r="AN164" s="310"/>
    </row>
    <row r="165" spans="1:45" ht="16" hidden="1" thickBot="1" x14ac:dyDescent="0.4">
      <c r="A165" s="66"/>
      <c r="B165" s="66"/>
      <c r="C165" s="49"/>
      <c r="D165" s="49"/>
      <c r="E165" s="49"/>
      <c r="F165" s="49" t="s">
        <v>164</v>
      </c>
      <c r="G165" s="49"/>
      <c r="H165" s="63"/>
      <c r="I165" s="63"/>
      <c r="J165" s="64"/>
      <c r="K165" s="64"/>
      <c r="L165" s="65"/>
      <c r="M165" s="65"/>
      <c r="N165" s="66"/>
      <c r="O165" s="66"/>
      <c r="P165" s="69">
        <f t="shared" si="59"/>
        <v>0</v>
      </c>
      <c r="Q165" s="69">
        <f t="shared" si="59"/>
        <v>0</v>
      </c>
      <c r="R165" s="294"/>
      <c r="S165" s="49"/>
      <c r="T165" s="49"/>
      <c r="U165" s="49"/>
      <c r="V165" s="49"/>
      <c r="W165" s="49"/>
      <c r="X165" s="49" t="s">
        <v>164</v>
      </c>
      <c r="Y165" s="49"/>
      <c r="Z165" s="66"/>
      <c r="AA165" s="280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M165" s="271"/>
      <c r="AN165" s="310"/>
    </row>
    <row r="166" spans="1:45" ht="16" hidden="1" thickBot="1" x14ac:dyDescent="0.4">
      <c r="A166" s="66"/>
      <c r="B166" s="66"/>
      <c r="C166" s="49"/>
      <c r="D166" s="49"/>
      <c r="E166" s="49"/>
      <c r="F166" s="49"/>
      <c r="G166" s="49" t="s">
        <v>165</v>
      </c>
      <c r="H166" s="63">
        <v>65170</v>
      </c>
      <c r="I166" s="63">
        <v>30825</v>
      </c>
      <c r="J166" s="64">
        <v>76590</v>
      </c>
      <c r="K166" s="64">
        <v>27780</v>
      </c>
      <c r="L166" s="65">
        <v>81525</v>
      </c>
      <c r="M166" s="65">
        <v>53995</v>
      </c>
      <c r="N166" s="66">
        <f t="shared" ref="N166:O170" si="81">ROUND(H166+J166+L166,5)</f>
        <v>223285</v>
      </c>
      <c r="O166" s="66">
        <f t="shared" si="81"/>
        <v>112600</v>
      </c>
      <c r="P166" s="69">
        <f t="shared" si="59"/>
        <v>74428.333333333328</v>
      </c>
      <c r="Q166" s="69">
        <f t="shared" si="59"/>
        <v>37533.333333333336</v>
      </c>
      <c r="R166" s="294"/>
      <c r="S166" s="49"/>
      <c r="T166" s="49"/>
      <c r="U166" s="49"/>
      <c r="V166" s="49"/>
      <c r="W166" s="49"/>
      <c r="X166" s="49"/>
      <c r="Y166" s="49" t="s">
        <v>165</v>
      </c>
      <c r="Z166" s="66">
        <v>61335</v>
      </c>
      <c r="AA166" s="280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M166" s="271"/>
      <c r="AN166" s="310"/>
    </row>
    <row r="167" spans="1:45" ht="16" hidden="1" thickBot="1" x14ac:dyDescent="0.4">
      <c r="A167" s="66"/>
      <c r="B167" s="66"/>
      <c r="C167" s="49"/>
      <c r="D167" s="49"/>
      <c r="E167" s="49"/>
      <c r="F167" s="49"/>
      <c r="G167" s="49" t="s">
        <v>166</v>
      </c>
      <c r="H167" s="70">
        <v>1035</v>
      </c>
      <c r="I167" s="70">
        <v>5175</v>
      </c>
      <c r="J167" s="71">
        <v>0</v>
      </c>
      <c r="K167" s="71">
        <v>4569.5600000000004</v>
      </c>
      <c r="L167" s="72">
        <v>0</v>
      </c>
      <c r="M167" s="72">
        <v>1035</v>
      </c>
      <c r="N167" s="73">
        <f t="shared" si="81"/>
        <v>1035</v>
      </c>
      <c r="O167" s="73">
        <f t="shared" si="81"/>
        <v>10779.56</v>
      </c>
      <c r="P167" s="74">
        <f t="shared" si="59"/>
        <v>345</v>
      </c>
      <c r="Q167" s="74">
        <f t="shared" si="59"/>
        <v>3593.1866666666665</v>
      </c>
      <c r="R167" s="294"/>
      <c r="S167" s="49"/>
      <c r="T167" s="49"/>
      <c r="U167" s="49"/>
      <c r="V167" s="49"/>
      <c r="W167" s="49"/>
      <c r="X167" s="49"/>
      <c r="Y167" s="49" t="s">
        <v>166</v>
      </c>
      <c r="Z167" s="73">
        <v>0</v>
      </c>
      <c r="AA167" s="280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M167" s="273"/>
      <c r="AN167" s="310"/>
    </row>
    <row r="168" spans="1:45" ht="16" hidden="1" thickBot="1" x14ac:dyDescent="0.4">
      <c r="A168" s="66"/>
      <c r="B168" s="66"/>
      <c r="C168" s="49"/>
      <c r="D168" s="49"/>
      <c r="E168" s="49"/>
      <c r="F168" s="49" t="s">
        <v>167</v>
      </c>
      <c r="G168" s="49"/>
      <c r="H168" s="63">
        <f t="shared" ref="H168:M168" si="82">ROUND(SUM(H165:H167),5)</f>
        <v>66205</v>
      </c>
      <c r="I168" s="63">
        <f t="shared" si="82"/>
        <v>36000</v>
      </c>
      <c r="J168" s="64">
        <f t="shared" si="82"/>
        <v>76590</v>
      </c>
      <c r="K168" s="64">
        <f t="shared" si="82"/>
        <v>32349.56</v>
      </c>
      <c r="L168" s="65">
        <f t="shared" si="82"/>
        <v>81525</v>
      </c>
      <c r="M168" s="65">
        <f t="shared" si="82"/>
        <v>55030</v>
      </c>
      <c r="N168" s="66">
        <f t="shared" si="81"/>
        <v>224320</v>
      </c>
      <c r="O168" s="66">
        <f t="shared" si="81"/>
        <v>123379.56</v>
      </c>
      <c r="P168" s="69">
        <f t="shared" si="59"/>
        <v>74773.333333333328</v>
      </c>
      <c r="Q168" s="69">
        <f t="shared" si="59"/>
        <v>41126.519999999997</v>
      </c>
      <c r="R168" s="294"/>
      <c r="S168" s="49"/>
      <c r="T168" s="49"/>
      <c r="U168" s="49"/>
      <c r="V168" s="49"/>
      <c r="W168" s="49"/>
      <c r="X168" s="49" t="s">
        <v>167</v>
      </c>
      <c r="Y168" s="49"/>
      <c r="Z168" s="66">
        <f>ROUND(SUM(Z165:Z167),5)</f>
        <v>61335</v>
      </c>
      <c r="AA168" s="280"/>
      <c r="AB168" s="66">
        <f t="shared" ref="AB168:AK168" si="83">ROUND(SUM(AB165:AB167),5)</f>
        <v>0</v>
      </c>
      <c r="AC168" s="66">
        <f t="shared" si="83"/>
        <v>0</v>
      </c>
      <c r="AD168" s="66">
        <f t="shared" si="83"/>
        <v>0</v>
      </c>
      <c r="AE168" s="66">
        <f t="shared" si="83"/>
        <v>0</v>
      </c>
      <c r="AF168" s="66">
        <f t="shared" si="83"/>
        <v>0</v>
      </c>
      <c r="AG168" s="66">
        <f t="shared" si="83"/>
        <v>0</v>
      </c>
      <c r="AH168" s="66">
        <f t="shared" si="83"/>
        <v>0</v>
      </c>
      <c r="AI168" s="66">
        <f t="shared" si="83"/>
        <v>0</v>
      </c>
      <c r="AJ168" s="66">
        <f t="shared" si="83"/>
        <v>0</v>
      </c>
      <c r="AK168" s="66">
        <f t="shared" si="83"/>
        <v>0</v>
      </c>
      <c r="AM168" s="271">
        <f t="shared" ref="AM168" si="84">ROUND(SUM(AM165:AM167),5)</f>
        <v>0</v>
      </c>
      <c r="AN168" s="310"/>
    </row>
    <row r="169" spans="1:45" ht="16" hidden="1" thickBot="1" x14ac:dyDescent="0.4">
      <c r="A169" s="66"/>
      <c r="B169" s="66"/>
      <c r="C169" s="49"/>
      <c r="D169" s="49"/>
      <c r="E169" s="49"/>
      <c r="F169" s="49" t="s">
        <v>168</v>
      </c>
      <c r="G169" s="49"/>
      <c r="H169" s="70">
        <v>0</v>
      </c>
      <c r="I169" s="70">
        <v>0</v>
      </c>
      <c r="J169" s="71">
        <v>0</v>
      </c>
      <c r="K169" s="71">
        <v>0</v>
      </c>
      <c r="L169" s="72">
        <v>0</v>
      </c>
      <c r="M169" s="72">
        <v>0</v>
      </c>
      <c r="N169" s="73">
        <f t="shared" si="81"/>
        <v>0</v>
      </c>
      <c r="O169" s="73">
        <f t="shared" si="81"/>
        <v>0</v>
      </c>
      <c r="P169" s="74">
        <f t="shared" si="59"/>
        <v>0</v>
      </c>
      <c r="Q169" s="74">
        <f t="shared" si="59"/>
        <v>0</v>
      </c>
      <c r="R169" s="294"/>
      <c r="S169" s="49"/>
      <c r="T169" s="49"/>
      <c r="U169" s="49"/>
      <c r="V169" s="49"/>
      <c r="W169" s="49"/>
      <c r="X169" s="49" t="s">
        <v>168</v>
      </c>
      <c r="Y169" s="49"/>
      <c r="Z169" s="73">
        <v>0</v>
      </c>
      <c r="AA169" s="280"/>
      <c r="AB169" s="73">
        <v>0</v>
      </c>
      <c r="AC169" s="73">
        <v>0</v>
      </c>
      <c r="AD169" s="73">
        <v>0</v>
      </c>
      <c r="AE169" s="73">
        <v>0</v>
      </c>
      <c r="AF169" s="73">
        <v>0</v>
      </c>
      <c r="AG169" s="73">
        <v>0</v>
      </c>
      <c r="AH169" s="73">
        <v>0</v>
      </c>
      <c r="AI169" s="73">
        <v>0</v>
      </c>
      <c r="AJ169" s="73">
        <v>0</v>
      </c>
      <c r="AK169" s="73">
        <v>0</v>
      </c>
      <c r="AM169" s="273">
        <v>0</v>
      </c>
      <c r="AN169" s="310"/>
    </row>
    <row r="170" spans="1:45" ht="16" thickBot="1" x14ac:dyDescent="0.4">
      <c r="A170" s="66"/>
      <c r="B170" s="66"/>
      <c r="C170" s="49"/>
      <c r="D170" s="49"/>
      <c r="E170" s="49" t="s">
        <v>169</v>
      </c>
      <c r="F170" s="49"/>
      <c r="G170" s="49"/>
      <c r="H170" s="63">
        <f t="shared" ref="H170:M170" si="85">ROUND(H117+H124+H130+H135+H141+H144+H151+H156+H159+H164+SUM(H168:H169),5)</f>
        <v>849140</v>
      </c>
      <c r="I170" s="63">
        <f t="shared" si="85"/>
        <v>925000</v>
      </c>
      <c r="J170" s="64">
        <f t="shared" si="85"/>
        <v>875015</v>
      </c>
      <c r="K170" s="64">
        <f t="shared" si="85"/>
        <v>833784.54</v>
      </c>
      <c r="L170" s="65">
        <f t="shared" si="85"/>
        <v>921335</v>
      </c>
      <c r="M170" s="65">
        <f t="shared" si="85"/>
        <v>890121</v>
      </c>
      <c r="N170" s="66">
        <f t="shared" si="81"/>
        <v>2645490</v>
      </c>
      <c r="O170" s="66">
        <f t="shared" si="81"/>
        <v>2648905.54</v>
      </c>
      <c r="P170" s="69">
        <f t="shared" si="59"/>
        <v>881830</v>
      </c>
      <c r="Q170" s="69">
        <f t="shared" si="59"/>
        <v>882968.51333333331</v>
      </c>
      <c r="R170" s="294"/>
      <c r="S170" s="49"/>
      <c r="T170" s="49"/>
      <c r="U170" s="49"/>
      <c r="V170" s="49"/>
      <c r="W170" s="49" t="s">
        <v>169</v>
      </c>
      <c r="X170" s="49"/>
      <c r="Y170" s="49"/>
      <c r="Z170" s="66">
        <f>ROUND(Z117+Z124+Z130+Z135+Z141+Z144+Z151+Z156+Z159+Z164+SUM(Z168:Z169),5)</f>
        <v>981836</v>
      </c>
      <c r="AA170" s="280"/>
      <c r="AB170" s="80">
        <f t="shared" ref="AB170:AK170" si="86">ROUND(AB117+AB124+AB130+AB135+AB141+AB144+AB151+AB156+AB159+AB164+SUM(AB168:AB169),5)</f>
        <v>927688.31</v>
      </c>
      <c r="AC170" s="80">
        <f t="shared" si="86"/>
        <v>927688.31</v>
      </c>
      <c r="AD170" s="80">
        <f t="shared" si="86"/>
        <v>927688.31</v>
      </c>
      <c r="AE170" s="80">
        <f t="shared" si="86"/>
        <v>927688.31</v>
      </c>
      <c r="AF170" s="80">
        <f t="shared" si="86"/>
        <v>950880</v>
      </c>
      <c r="AG170" s="80">
        <f t="shared" si="86"/>
        <v>987511</v>
      </c>
      <c r="AH170" s="80">
        <f t="shared" si="86"/>
        <v>987511</v>
      </c>
      <c r="AI170" s="80">
        <f t="shared" si="86"/>
        <v>987511</v>
      </c>
      <c r="AJ170" s="80">
        <f t="shared" si="86"/>
        <v>987511</v>
      </c>
      <c r="AK170" s="266">
        <f t="shared" si="86"/>
        <v>987511</v>
      </c>
      <c r="AL170" s="299"/>
      <c r="AM170" s="270">
        <f t="shared" ref="AM170" si="87">ROUND(AM117+AM124+AM130+AM135+AM141+AM144+AM151+AM156+AM159+AM164+SUM(AM168:AM169),5)</f>
        <v>987511</v>
      </c>
      <c r="AN170" s="312" t="s">
        <v>988</v>
      </c>
      <c r="AS170" s="171"/>
    </row>
    <row r="171" spans="1:45" x14ac:dyDescent="0.35">
      <c r="A171" s="66"/>
      <c r="B171" s="66"/>
      <c r="C171" s="49"/>
      <c r="D171" s="49"/>
      <c r="E171" s="49" t="s">
        <v>170</v>
      </c>
      <c r="F171" s="49"/>
      <c r="G171" s="49"/>
      <c r="H171" s="63"/>
      <c r="I171" s="63"/>
      <c r="J171" s="64"/>
      <c r="K171" s="64"/>
      <c r="L171" s="65"/>
      <c r="M171" s="65"/>
      <c r="N171" s="66"/>
      <c r="O171" s="66"/>
      <c r="P171" s="69">
        <f t="shared" si="59"/>
        <v>0</v>
      </c>
      <c r="Q171" s="69">
        <f t="shared" si="59"/>
        <v>0</v>
      </c>
      <c r="R171" s="294"/>
      <c r="S171" s="49"/>
      <c r="T171" s="49"/>
      <c r="U171" s="49"/>
      <c r="V171" s="49"/>
      <c r="W171" s="49" t="s">
        <v>170</v>
      </c>
      <c r="X171" s="49"/>
      <c r="Y171" s="49"/>
      <c r="Z171" s="66"/>
      <c r="AA171" s="280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M171" s="66"/>
      <c r="AN171" s="308" t="s">
        <v>1032</v>
      </c>
      <c r="AO171" s="62">
        <v>2</v>
      </c>
      <c r="AP171" s="247" t="s">
        <v>1030</v>
      </c>
      <c r="AQ171" s="248">
        <v>30000</v>
      </c>
      <c r="AS171" s="171"/>
    </row>
    <row r="172" spans="1:45" x14ac:dyDescent="0.35">
      <c r="A172" s="66"/>
      <c r="B172" s="66"/>
      <c r="C172" s="49"/>
      <c r="D172" s="49"/>
      <c r="E172" s="49"/>
      <c r="F172" s="49" t="s">
        <v>171</v>
      </c>
      <c r="G172" s="49"/>
      <c r="H172" s="63">
        <v>-22905</v>
      </c>
      <c r="I172" s="63">
        <v>60000</v>
      </c>
      <c r="J172" s="64">
        <v>145436.87</v>
      </c>
      <c r="K172" s="64">
        <v>37000</v>
      </c>
      <c r="L172" s="65">
        <v>199637.95</v>
      </c>
      <c r="M172" s="65">
        <v>40000</v>
      </c>
      <c r="N172" s="66">
        <f t="shared" ref="N172:O183" si="88">ROUND(H172+J172+L172,5)</f>
        <v>322169.82</v>
      </c>
      <c r="O172" s="66">
        <f t="shared" si="88"/>
        <v>137000</v>
      </c>
      <c r="P172" s="69">
        <f t="shared" si="59"/>
        <v>107389.94</v>
      </c>
      <c r="Q172" s="69">
        <f t="shared" si="59"/>
        <v>45666.666666666664</v>
      </c>
      <c r="R172" s="294"/>
      <c r="S172" s="49"/>
      <c r="T172" s="49"/>
      <c r="U172" s="49"/>
      <c r="V172" s="49"/>
      <c r="W172" s="49"/>
      <c r="X172" s="49" t="s">
        <v>171</v>
      </c>
      <c r="Y172" s="49"/>
      <c r="Z172" s="66">
        <v>132500</v>
      </c>
      <c r="AA172" s="280"/>
      <c r="AB172" s="66">
        <v>264250</v>
      </c>
      <c r="AC172" s="66">
        <v>264250</v>
      </c>
      <c r="AD172" s="66">
        <v>264250</v>
      </c>
      <c r="AE172" s="66">
        <v>264250</v>
      </c>
      <c r="AF172" s="66">
        <f>130000+264250</f>
        <v>394250</v>
      </c>
      <c r="AG172" s="66">
        <f>130000+264250+77125</f>
        <v>471375</v>
      </c>
      <c r="AH172" s="66">
        <f>130000+264250+77125+125000</f>
        <v>596375</v>
      </c>
      <c r="AI172" s="66">
        <f>130000+264250+77125+125000-66000</f>
        <v>530375</v>
      </c>
      <c r="AJ172" s="66">
        <f>130000+264250+77125+62500</f>
        <v>533875</v>
      </c>
      <c r="AK172" s="66">
        <v>575975</v>
      </c>
      <c r="AL172" s="300"/>
      <c r="AM172" s="66">
        <f>AO185</f>
        <v>498850</v>
      </c>
      <c r="AN172" s="315"/>
      <c r="AO172" s="62">
        <v>1</v>
      </c>
      <c r="AP172" s="257" t="s">
        <v>1024</v>
      </c>
      <c r="AQ172" s="258">
        <v>20000</v>
      </c>
      <c r="AS172" s="171"/>
    </row>
    <row r="173" spans="1:45" x14ac:dyDescent="0.35">
      <c r="A173" s="66"/>
      <c r="B173" s="66"/>
      <c r="C173" s="49"/>
      <c r="D173" s="49"/>
      <c r="E173" s="49"/>
      <c r="F173" s="49" t="s">
        <v>172</v>
      </c>
      <c r="G173" s="49"/>
      <c r="H173" s="63">
        <v>80598.28</v>
      </c>
      <c r="I173" s="63">
        <v>82000</v>
      </c>
      <c r="J173" s="64">
        <v>76619.5</v>
      </c>
      <c r="K173" s="64">
        <v>91500</v>
      </c>
      <c r="L173" s="65">
        <v>85261.21</v>
      </c>
      <c r="M173" s="65">
        <v>79500</v>
      </c>
      <c r="N173" s="66">
        <f t="shared" si="88"/>
        <v>242478.99</v>
      </c>
      <c r="O173" s="66">
        <f t="shared" si="88"/>
        <v>253000</v>
      </c>
      <c r="P173" s="69">
        <f>N173/3</f>
        <v>80826.33</v>
      </c>
      <c r="Q173" s="69">
        <f t="shared" si="59"/>
        <v>84333.333333333328</v>
      </c>
      <c r="R173" s="294"/>
      <c r="S173" s="49"/>
      <c r="T173" s="49"/>
      <c r="U173" s="49"/>
      <c r="V173" s="49"/>
      <c r="W173" s="49"/>
      <c r="X173" s="49" t="s">
        <v>172</v>
      </c>
      <c r="Y173" s="49"/>
      <c r="Z173" s="66">
        <v>73250</v>
      </c>
      <c r="AA173" s="280"/>
      <c r="AB173" s="66">
        <f t="shared" ref="AB173:AM173" si="89">26750+29750+19500+10625</f>
        <v>86625</v>
      </c>
      <c r="AC173" s="66">
        <f t="shared" si="89"/>
        <v>86625</v>
      </c>
      <c r="AD173" s="66">
        <f t="shared" si="89"/>
        <v>86625</v>
      </c>
      <c r="AE173" s="66">
        <f t="shared" si="89"/>
        <v>86625</v>
      </c>
      <c r="AF173" s="66">
        <f t="shared" si="89"/>
        <v>86625</v>
      </c>
      <c r="AG173" s="66">
        <f t="shared" si="89"/>
        <v>86625</v>
      </c>
      <c r="AH173" s="66">
        <f t="shared" si="89"/>
        <v>86625</v>
      </c>
      <c r="AI173" s="66">
        <f t="shared" si="89"/>
        <v>86625</v>
      </c>
      <c r="AJ173" s="66">
        <f t="shared" si="89"/>
        <v>86625</v>
      </c>
      <c r="AK173" s="66">
        <f t="shared" si="89"/>
        <v>86625</v>
      </c>
      <c r="AL173" s="300"/>
      <c r="AM173" s="66">
        <f t="shared" si="89"/>
        <v>86625</v>
      </c>
      <c r="AN173" s="228"/>
      <c r="AO173" s="62">
        <v>2</v>
      </c>
      <c r="AP173" s="249">
        <v>229</v>
      </c>
      <c r="AQ173" s="248">
        <v>30000</v>
      </c>
      <c r="AS173" s="171"/>
    </row>
    <row r="174" spans="1:45" x14ac:dyDescent="0.35">
      <c r="A174" s="66"/>
      <c r="B174" s="66"/>
      <c r="C174" s="49"/>
      <c r="D174" s="49"/>
      <c r="E174" s="49"/>
      <c r="F174" s="49" t="s">
        <v>173</v>
      </c>
      <c r="G174" s="49"/>
      <c r="H174" s="63">
        <v>3607</v>
      </c>
      <c r="I174" s="63">
        <v>3000</v>
      </c>
      <c r="J174" s="64">
        <v>1625</v>
      </c>
      <c r="K174" s="64">
        <v>2500</v>
      </c>
      <c r="L174" s="65">
        <v>1840</v>
      </c>
      <c r="M174" s="65">
        <v>2500</v>
      </c>
      <c r="N174" s="66">
        <f t="shared" si="88"/>
        <v>7072</v>
      </c>
      <c r="O174" s="66">
        <f t="shared" si="88"/>
        <v>8000</v>
      </c>
      <c r="P174" s="69">
        <f t="shared" si="59"/>
        <v>2357.3333333333335</v>
      </c>
      <c r="Q174" s="69">
        <f t="shared" si="59"/>
        <v>2666.6666666666665</v>
      </c>
      <c r="R174" s="294"/>
      <c r="S174" s="49"/>
      <c r="T174" s="49"/>
      <c r="U174" s="49"/>
      <c r="V174" s="49"/>
      <c r="W174" s="49"/>
      <c r="X174" s="49" t="s">
        <v>173</v>
      </c>
      <c r="Y174" s="49"/>
      <c r="Z174" s="66">
        <v>0</v>
      </c>
      <c r="AA174" s="280"/>
      <c r="AB174" s="66">
        <v>0</v>
      </c>
      <c r="AC174" s="66">
        <v>0</v>
      </c>
      <c r="AD174" s="66">
        <v>0</v>
      </c>
      <c r="AE174" s="66">
        <v>0</v>
      </c>
      <c r="AF174" s="66">
        <v>0</v>
      </c>
      <c r="AG174" s="66">
        <v>0</v>
      </c>
      <c r="AH174" s="66">
        <v>0</v>
      </c>
      <c r="AI174" s="66">
        <v>0</v>
      </c>
      <c r="AJ174" s="66">
        <v>0</v>
      </c>
      <c r="AK174" s="66">
        <v>0</v>
      </c>
      <c r="AM174" s="66">
        <v>0</v>
      </c>
      <c r="AN174" s="228"/>
      <c r="AO174" s="62">
        <v>2</v>
      </c>
      <c r="AP174" s="249">
        <v>307</v>
      </c>
      <c r="AQ174" s="248">
        <v>30000</v>
      </c>
      <c r="AS174" s="171"/>
    </row>
    <row r="175" spans="1:45" x14ac:dyDescent="0.35">
      <c r="A175" s="66"/>
      <c r="B175" s="66"/>
      <c r="C175" s="49"/>
      <c r="D175" s="49"/>
      <c r="E175" s="49"/>
      <c r="F175" s="49" t="s">
        <v>174</v>
      </c>
      <c r="G175" s="49"/>
      <c r="H175" s="63">
        <v>0</v>
      </c>
      <c r="I175" s="63">
        <v>0</v>
      </c>
      <c r="J175" s="64">
        <v>0</v>
      </c>
      <c r="K175" s="64">
        <v>0</v>
      </c>
      <c r="L175" s="65">
        <v>0</v>
      </c>
      <c r="M175" s="65">
        <v>0</v>
      </c>
      <c r="N175" s="66">
        <f t="shared" si="88"/>
        <v>0</v>
      </c>
      <c r="O175" s="66">
        <f t="shared" si="88"/>
        <v>0</v>
      </c>
      <c r="P175" s="69">
        <f t="shared" si="59"/>
        <v>0</v>
      </c>
      <c r="Q175" s="69">
        <f t="shared" si="59"/>
        <v>0</v>
      </c>
      <c r="R175" s="294"/>
      <c r="S175" s="49"/>
      <c r="T175" s="49"/>
      <c r="U175" s="49"/>
      <c r="V175" s="49"/>
      <c r="W175" s="49"/>
      <c r="X175" s="49" t="s">
        <v>174</v>
      </c>
      <c r="Y175" s="49"/>
      <c r="Z175" s="66">
        <v>2500</v>
      </c>
      <c r="AA175" s="280"/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0</v>
      </c>
      <c r="AI175" s="66">
        <v>0</v>
      </c>
      <c r="AJ175" s="66">
        <v>0</v>
      </c>
      <c r="AK175" s="66">
        <v>0</v>
      </c>
      <c r="AL175" s="299"/>
      <c r="AM175" s="66">
        <v>0</v>
      </c>
      <c r="AN175" s="228"/>
      <c r="AO175" s="62">
        <v>2</v>
      </c>
      <c r="AP175" s="249">
        <v>308</v>
      </c>
      <c r="AQ175" s="248">
        <v>64250</v>
      </c>
      <c r="AS175" s="171"/>
    </row>
    <row r="176" spans="1:45" x14ac:dyDescent="0.35">
      <c r="A176" s="66"/>
      <c r="B176" s="66"/>
      <c r="C176" s="49"/>
      <c r="D176" s="49"/>
      <c r="E176" s="49"/>
      <c r="F176" s="49" t="s">
        <v>175</v>
      </c>
      <c r="G176" s="49"/>
      <c r="H176" s="63">
        <v>11385</v>
      </c>
      <c r="I176" s="63">
        <v>19800</v>
      </c>
      <c r="J176" s="64">
        <v>0</v>
      </c>
      <c r="K176" s="64">
        <v>0</v>
      </c>
      <c r="L176" s="65">
        <v>0</v>
      </c>
      <c r="M176" s="65">
        <v>20000</v>
      </c>
      <c r="N176" s="66">
        <f t="shared" si="88"/>
        <v>11385</v>
      </c>
      <c r="O176" s="66">
        <f t="shared" si="88"/>
        <v>39800</v>
      </c>
      <c r="P176" s="69">
        <f t="shared" si="59"/>
        <v>3795</v>
      </c>
      <c r="Q176" s="69">
        <f t="shared" si="59"/>
        <v>13266.666666666666</v>
      </c>
      <c r="R176" s="294"/>
      <c r="S176" s="49"/>
      <c r="T176" s="49"/>
      <c r="U176" s="49"/>
      <c r="V176" s="49"/>
      <c r="W176" s="49"/>
      <c r="X176" s="49" t="s">
        <v>175</v>
      </c>
      <c r="Y176" s="49"/>
      <c r="Z176" s="66">
        <v>0</v>
      </c>
      <c r="AA176" s="280"/>
      <c r="AB176" s="66">
        <v>7425</v>
      </c>
      <c r="AC176" s="66">
        <v>7425</v>
      </c>
      <c r="AD176" s="66">
        <v>7425</v>
      </c>
      <c r="AE176" s="66">
        <v>7425</v>
      </c>
      <c r="AF176" s="66">
        <v>7425</v>
      </c>
      <c r="AG176" s="66">
        <f>ROUND(7425*1.5, 0)</f>
        <v>11138</v>
      </c>
      <c r="AH176" s="66">
        <f>ROUND(7425*1.5, 0)</f>
        <v>11138</v>
      </c>
      <c r="AI176" s="66">
        <f>ROUND(7425*1.5, 0)</f>
        <v>11138</v>
      </c>
      <c r="AJ176" s="66">
        <f>ROUND(7425*1.5, 0)</f>
        <v>11138</v>
      </c>
      <c r="AK176" s="66">
        <f>ROUND(7425*1.5, 0)</f>
        <v>11138</v>
      </c>
      <c r="AL176" s="299"/>
      <c r="AM176" s="66">
        <f>ROUND(7425*1.5, 0)</f>
        <v>11138</v>
      </c>
      <c r="AN176" s="221" t="s">
        <v>989</v>
      </c>
      <c r="AO176" s="62">
        <v>1</v>
      </c>
      <c r="AP176" s="249">
        <v>251</v>
      </c>
      <c r="AQ176" s="248">
        <v>20000</v>
      </c>
      <c r="AS176" s="171"/>
    </row>
    <row r="177" spans="1:46" x14ac:dyDescent="0.35">
      <c r="A177" s="66"/>
      <c r="B177" s="66"/>
      <c r="C177" s="49"/>
      <c r="D177" s="49"/>
      <c r="E177" s="49"/>
      <c r="F177" s="49" t="s">
        <v>176</v>
      </c>
      <c r="G177" s="49"/>
      <c r="H177" s="63">
        <v>0</v>
      </c>
      <c r="I177" s="63">
        <v>15000</v>
      </c>
      <c r="J177" s="64">
        <v>0</v>
      </c>
      <c r="K177" s="64">
        <v>0</v>
      </c>
      <c r="L177" s="65">
        <v>0</v>
      </c>
      <c r="M177" s="65"/>
      <c r="N177" s="66">
        <f t="shared" si="88"/>
        <v>0</v>
      </c>
      <c r="O177" s="66">
        <f t="shared" si="88"/>
        <v>15000</v>
      </c>
      <c r="P177" s="69">
        <f t="shared" si="59"/>
        <v>0</v>
      </c>
      <c r="Q177" s="69">
        <f t="shared" si="59"/>
        <v>5000</v>
      </c>
      <c r="R177" s="294"/>
      <c r="S177" s="49"/>
      <c r="T177" s="49"/>
      <c r="U177" s="49"/>
      <c r="V177" s="49"/>
      <c r="W177" s="49"/>
      <c r="X177" s="49" t="s">
        <v>176</v>
      </c>
      <c r="Y177" s="49"/>
      <c r="Z177" s="66">
        <v>0</v>
      </c>
      <c r="AA177" s="280"/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0</v>
      </c>
      <c r="AI177" s="66">
        <v>0</v>
      </c>
      <c r="AJ177" s="66">
        <v>0</v>
      </c>
      <c r="AK177" s="66">
        <v>0</v>
      </c>
      <c r="AM177" s="66">
        <v>0</v>
      </c>
      <c r="AN177" s="228"/>
      <c r="AO177" s="62">
        <v>2</v>
      </c>
      <c r="AP177" s="247" t="s">
        <v>949</v>
      </c>
      <c r="AQ177" s="248">
        <f>ROUND(54653.85, 0)</f>
        <v>54654</v>
      </c>
      <c r="AS177" s="171"/>
    </row>
    <row r="178" spans="1:46" x14ac:dyDescent="0.35">
      <c r="A178" s="66"/>
      <c r="B178" s="66"/>
      <c r="C178" s="49"/>
      <c r="D178" s="49"/>
      <c r="E178" s="49"/>
      <c r="F178" s="49" t="s">
        <v>177</v>
      </c>
      <c r="G178" s="49"/>
      <c r="H178" s="63">
        <v>3000</v>
      </c>
      <c r="I178" s="63">
        <v>0</v>
      </c>
      <c r="J178" s="64">
        <v>0</v>
      </c>
      <c r="K178" s="64">
        <v>6000</v>
      </c>
      <c r="L178" s="65">
        <v>0</v>
      </c>
      <c r="M178" s="65">
        <v>5000</v>
      </c>
      <c r="N178" s="66">
        <f t="shared" si="88"/>
        <v>3000</v>
      </c>
      <c r="O178" s="66">
        <f t="shared" si="88"/>
        <v>11000</v>
      </c>
      <c r="P178" s="69">
        <f t="shared" si="59"/>
        <v>1000</v>
      </c>
      <c r="Q178" s="69">
        <f t="shared" si="59"/>
        <v>3666.6666666666665</v>
      </c>
      <c r="R178" s="294"/>
      <c r="S178" s="49"/>
      <c r="T178" s="49"/>
      <c r="U178" s="49"/>
      <c r="V178" s="49"/>
      <c r="W178" s="49"/>
      <c r="X178" s="49" t="s">
        <v>177</v>
      </c>
      <c r="Y178" s="49"/>
      <c r="Z178" s="66">
        <v>0</v>
      </c>
      <c r="AA178" s="280"/>
      <c r="AB178" s="66">
        <v>0</v>
      </c>
      <c r="AC178" s="66">
        <v>0</v>
      </c>
      <c r="AD178" s="66">
        <v>0</v>
      </c>
      <c r="AE178" s="66">
        <v>0</v>
      </c>
      <c r="AF178" s="66">
        <v>0</v>
      </c>
      <c r="AG178" s="66">
        <v>0</v>
      </c>
      <c r="AH178" s="66">
        <v>0</v>
      </c>
      <c r="AI178" s="66">
        <v>0</v>
      </c>
      <c r="AJ178" s="66">
        <v>0</v>
      </c>
      <c r="AK178" s="66">
        <v>0</v>
      </c>
      <c r="AM178" s="66">
        <v>0</v>
      </c>
      <c r="AO178" s="62">
        <v>2</v>
      </c>
      <c r="AP178" s="247" t="s">
        <v>950</v>
      </c>
      <c r="AQ178" s="248">
        <f>ROUND(54653.85, 0)</f>
        <v>54654</v>
      </c>
      <c r="AS178" s="171"/>
    </row>
    <row r="179" spans="1:46" x14ac:dyDescent="0.35">
      <c r="A179" s="66"/>
      <c r="B179" s="66"/>
      <c r="C179" s="49"/>
      <c r="D179" s="49"/>
      <c r="E179" s="49"/>
      <c r="F179" s="49" t="s">
        <v>178</v>
      </c>
      <c r="G179" s="49"/>
      <c r="H179" s="63">
        <v>16132.81</v>
      </c>
      <c r="I179" s="63">
        <v>2065</v>
      </c>
      <c r="J179" s="64">
        <v>23695.58</v>
      </c>
      <c r="K179" s="64">
        <v>6000</v>
      </c>
      <c r="L179" s="65">
        <v>16468</v>
      </c>
      <c r="M179" s="65">
        <v>20000</v>
      </c>
      <c r="N179" s="66">
        <f t="shared" si="88"/>
        <v>56296.39</v>
      </c>
      <c r="O179" s="66">
        <f t="shared" si="88"/>
        <v>28065</v>
      </c>
      <c r="P179" s="69">
        <f t="shared" si="59"/>
        <v>18765.463333333333</v>
      </c>
      <c r="Q179" s="69">
        <f t="shared" si="59"/>
        <v>9355</v>
      </c>
      <c r="R179" s="294"/>
      <c r="S179" s="49"/>
      <c r="T179" s="49"/>
      <c r="U179" s="49"/>
      <c r="V179" s="49"/>
      <c r="W179" s="49"/>
      <c r="X179" s="49" t="s">
        <v>178</v>
      </c>
      <c r="Y179" s="49"/>
      <c r="Z179" s="66">
        <v>2075</v>
      </c>
      <c r="AA179" s="280"/>
      <c r="AB179" s="66">
        <v>16325</v>
      </c>
      <c r="AC179" s="66">
        <v>16325</v>
      </c>
      <c r="AD179" s="66">
        <v>16325</v>
      </c>
      <c r="AE179" s="66">
        <v>16325</v>
      </c>
      <c r="AF179" s="66">
        <v>16325</v>
      </c>
      <c r="AG179" s="66">
        <v>16325</v>
      </c>
      <c r="AH179" s="66">
        <v>16325</v>
      </c>
      <c r="AI179" s="66">
        <v>16325</v>
      </c>
      <c r="AJ179" s="66">
        <v>16325</v>
      </c>
      <c r="AK179" s="66">
        <v>16325</v>
      </c>
      <c r="AM179" s="66">
        <v>16325</v>
      </c>
      <c r="AO179" s="62">
        <v>1</v>
      </c>
      <c r="AP179" s="247" t="s">
        <v>951</v>
      </c>
      <c r="AQ179" s="248">
        <f>ROUND(32792.31, 0)</f>
        <v>32792</v>
      </c>
      <c r="AS179" s="171"/>
    </row>
    <row r="180" spans="1:46" x14ac:dyDescent="0.35">
      <c r="A180" s="66"/>
      <c r="B180" s="66"/>
      <c r="C180" s="49"/>
      <c r="D180" s="49"/>
      <c r="E180" s="49"/>
      <c r="F180" s="49" t="s">
        <v>179</v>
      </c>
      <c r="G180" s="49"/>
      <c r="H180" s="63">
        <v>1155</v>
      </c>
      <c r="I180" s="63">
        <v>3690</v>
      </c>
      <c r="J180" s="64">
        <v>3900</v>
      </c>
      <c r="K180" s="64">
        <v>1500</v>
      </c>
      <c r="L180" s="65">
        <v>4320</v>
      </c>
      <c r="M180" s="65">
        <v>12880</v>
      </c>
      <c r="N180" s="66">
        <f t="shared" si="88"/>
        <v>9375</v>
      </c>
      <c r="O180" s="66">
        <f t="shared" si="88"/>
        <v>18070</v>
      </c>
      <c r="P180" s="69">
        <f t="shared" si="59"/>
        <v>3125</v>
      </c>
      <c r="Q180" s="69">
        <f t="shared" si="59"/>
        <v>6023.333333333333</v>
      </c>
      <c r="R180" s="294"/>
      <c r="S180" s="49"/>
      <c r="T180" s="49"/>
      <c r="U180" s="49"/>
      <c r="V180" s="49"/>
      <c r="W180" s="49"/>
      <c r="X180" s="49" t="s">
        <v>179</v>
      </c>
      <c r="Y180" s="49"/>
      <c r="Z180" s="66">
        <v>17250</v>
      </c>
      <c r="AA180" s="280"/>
      <c r="AB180" s="66">
        <v>10050</v>
      </c>
      <c r="AC180" s="66">
        <v>10050</v>
      </c>
      <c r="AD180" s="66">
        <v>10050</v>
      </c>
      <c r="AE180" s="66">
        <v>10050</v>
      </c>
      <c r="AF180" s="66">
        <v>10050</v>
      </c>
      <c r="AG180" s="66">
        <v>10050</v>
      </c>
      <c r="AH180" s="66">
        <v>10050</v>
      </c>
      <c r="AI180" s="66">
        <v>10050</v>
      </c>
      <c r="AJ180" s="66">
        <v>10050</v>
      </c>
      <c r="AK180" s="66">
        <v>10050</v>
      </c>
      <c r="AM180" s="66">
        <v>10050</v>
      </c>
      <c r="AO180" s="171"/>
      <c r="AP180" s="216" t="s">
        <v>999</v>
      </c>
      <c r="AQ180" s="170">
        <f>SUM(AQ171:AQ179)</f>
        <v>336350</v>
      </c>
      <c r="AS180" s="171"/>
      <c r="AT180" s="171"/>
    </row>
    <row r="181" spans="1:46" ht="16" thickBot="1" x14ac:dyDescent="0.4">
      <c r="A181" s="66"/>
      <c r="B181" s="66"/>
      <c r="C181" s="49"/>
      <c r="D181" s="49"/>
      <c r="E181" s="49"/>
      <c r="F181" s="49" t="s">
        <v>180</v>
      </c>
      <c r="G181" s="49"/>
      <c r="H181" s="63">
        <v>1505.19</v>
      </c>
      <c r="I181" s="63">
        <v>1200</v>
      </c>
      <c r="J181" s="64">
        <v>1246.47</v>
      </c>
      <c r="K181" s="64">
        <v>1500</v>
      </c>
      <c r="L181" s="65">
        <v>2570.4899999999998</v>
      </c>
      <c r="M181" s="65">
        <v>1500</v>
      </c>
      <c r="N181" s="66">
        <f t="shared" si="88"/>
        <v>5322.15</v>
      </c>
      <c r="O181" s="66">
        <f t="shared" si="88"/>
        <v>4200</v>
      </c>
      <c r="P181" s="69">
        <f t="shared" si="59"/>
        <v>1774.05</v>
      </c>
      <c r="Q181" s="69">
        <f t="shared" si="59"/>
        <v>1400</v>
      </c>
      <c r="R181" s="294"/>
      <c r="S181" s="49"/>
      <c r="T181" s="49"/>
      <c r="U181" s="49"/>
      <c r="V181" s="49"/>
      <c r="W181" s="49"/>
      <c r="X181" s="49" t="s">
        <v>180</v>
      </c>
      <c r="Y181" s="49"/>
      <c r="Z181" s="66">
        <v>1200</v>
      </c>
      <c r="AA181" s="280"/>
      <c r="AB181" s="66">
        <v>1200</v>
      </c>
      <c r="AC181" s="66">
        <v>1200</v>
      </c>
      <c r="AD181" s="66">
        <v>1200</v>
      </c>
      <c r="AE181" s="66">
        <v>1200</v>
      </c>
      <c r="AF181" s="66">
        <v>1200</v>
      </c>
      <c r="AG181" s="66">
        <v>1200</v>
      </c>
      <c r="AH181" s="66">
        <v>1200</v>
      </c>
      <c r="AI181" s="66">
        <v>1200</v>
      </c>
      <c r="AJ181" s="66">
        <v>1200</v>
      </c>
      <c r="AK181" s="66">
        <v>1200</v>
      </c>
      <c r="AM181" s="66">
        <v>1200</v>
      </c>
      <c r="AN181" s="46"/>
      <c r="AO181" s="62"/>
      <c r="AP181" s="205" t="s">
        <v>948</v>
      </c>
      <c r="AQ181" s="201">
        <f>AM342</f>
        <v>162500</v>
      </c>
    </row>
    <row r="182" spans="1:46" ht="16" thickBot="1" x14ac:dyDescent="0.4">
      <c r="A182" s="66"/>
      <c r="B182" s="66"/>
      <c r="C182" s="49"/>
      <c r="D182" s="49"/>
      <c r="E182" s="49" t="s">
        <v>181</v>
      </c>
      <c r="F182" s="49"/>
      <c r="G182" s="49"/>
      <c r="H182" s="83">
        <f t="shared" ref="H182:M182" si="90">ROUND(SUM(H171:H181),5)</f>
        <v>94478.28</v>
      </c>
      <c r="I182" s="83">
        <f t="shared" si="90"/>
        <v>186755</v>
      </c>
      <c r="J182" s="84">
        <f t="shared" si="90"/>
        <v>252523.42</v>
      </c>
      <c r="K182" s="84">
        <f t="shared" si="90"/>
        <v>146000</v>
      </c>
      <c r="L182" s="85">
        <f t="shared" si="90"/>
        <v>310097.65000000002</v>
      </c>
      <c r="M182" s="85">
        <f t="shared" si="90"/>
        <v>181380</v>
      </c>
      <c r="N182" s="86">
        <f t="shared" si="88"/>
        <v>657099.35</v>
      </c>
      <c r="O182" s="86">
        <f t="shared" si="88"/>
        <v>514135</v>
      </c>
      <c r="P182" s="87">
        <f t="shared" si="59"/>
        <v>219033.11666666667</v>
      </c>
      <c r="Q182" s="87">
        <f t="shared" si="59"/>
        <v>171378.33333333334</v>
      </c>
      <c r="R182" s="294"/>
      <c r="S182" s="49"/>
      <c r="T182" s="49"/>
      <c r="U182" s="49"/>
      <c r="V182" s="49"/>
      <c r="W182" s="49" t="s">
        <v>181</v>
      </c>
      <c r="X182" s="49"/>
      <c r="Y182" s="49"/>
      <c r="Z182" s="86">
        <f>ROUND(SUM(Z171:Z181),5)</f>
        <v>228775</v>
      </c>
      <c r="AA182" s="280"/>
      <c r="AB182" s="88">
        <f t="shared" ref="AB182:AK182" si="91">ROUND(SUM(AB171:AB181),5)</f>
        <v>385875</v>
      </c>
      <c r="AC182" s="88">
        <f t="shared" si="91"/>
        <v>385875</v>
      </c>
      <c r="AD182" s="88">
        <f t="shared" si="91"/>
        <v>385875</v>
      </c>
      <c r="AE182" s="88">
        <f t="shared" si="91"/>
        <v>385875</v>
      </c>
      <c r="AF182" s="88">
        <f t="shared" si="91"/>
        <v>515875</v>
      </c>
      <c r="AG182" s="88">
        <f t="shared" si="91"/>
        <v>596713</v>
      </c>
      <c r="AH182" s="88">
        <f t="shared" si="91"/>
        <v>721713</v>
      </c>
      <c r="AI182" s="88">
        <f t="shared" si="91"/>
        <v>655713</v>
      </c>
      <c r="AJ182" s="88">
        <f t="shared" si="91"/>
        <v>659213</v>
      </c>
      <c r="AK182" s="266">
        <f t="shared" si="91"/>
        <v>701313</v>
      </c>
      <c r="AM182" s="270">
        <f t="shared" ref="AM182" si="92">ROUND(SUM(AM171:AM181),5)</f>
        <v>624188</v>
      </c>
      <c r="AN182" s="46"/>
      <c r="AO182" s="251">
        <f>AQ181</f>
        <v>162500</v>
      </c>
    </row>
    <row r="183" spans="1:46" x14ac:dyDescent="0.35">
      <c r="A183" s="66"/>
      <c r="B183" s="66"/>
      <c r="C183" s="49"/>
      <c r="D183" s="49" t="s">
        <v>182</v>
      </c>
      <c r="E183" s="49"/>
      <c r="F183" s="49"/>
      <c r="G183" s="49"/>
      <c r="H183" s="63">
        <f t="shared" ref="H183:M183" si="93">ROUND(H7+H116+H170+H182,5)</f>
        <v>1704028.01</v>
      </c>
      <c r="I183" s="63">
        <f t="shared" si="93"/>
        <v>2024739</v>
      </c>
      <c r="J183" s="64">
        <f t="shared" si="93"/>
        <v>1983347.64</v>
      </c>
      <c r="K183" s="64">
        <f t="shared" si="93"/>
        <v>1884399.92</v>
      </c>
      <c r="L183" s="65">
        <f t="shared" si="93"/>
        <v>2267674.2599999998</v>
      </c>
      <c r="M183" s="65">
        <f t="shared" si="93"/>
        <v>1998330</v>
      </c>
      <c r="N183" s="66">
        <f t="shared" si="88"/>
        <v>5955049.9100000001</v>
      </c>
      <c r="O183" s="66">
        <f t="shared" si="88"/>
        <v>5907468.9199999999</v>
      </c>
      <c r="P183" s="69">
        <f t="shared" si="59"/>
        <v>1985016.6366666667</v>
      </c>
      <c r="Q183" s="69">
        <f t="shared" si="59"/>
        <v>1969156.3066666666</v>
      </c>
      <c r="R183" s="294"/>
      <c r="S183" s="49"/>
      <c r="T183" s="49"/>
      <c r="U183" s="49"/>
      <c r="V183" s="49" t="s">
        <v>182</v>
      </c>
      <c r="W183" s="49"/>
      <c r="X183" s="49"/>
      <c r="Y183" s="49"/>
      <c r="Z183" s="66">
        <f>ROUND(Z7+Z116+Z170+Z182,5)</f>
        <v>2156852.19</v>
      </c>
      <c r="AA183" s="280"/>
      <c r="AB183" s="66">
        <f t="shared" ref="AB183:AK183" si="94">ROUND(AB7+AB116+AB170+AB182,5)</f>
        <v>2274348.11</v>
      </c>
      <c r="AC183" s="66">
        <f t="shared" si="94"/>
        <v>2274348.11</v>
      </c>
      <c r="AD183" s="66">
        <f t="shared" si="94"/>
        <v>2339617.5099999998</v>
      </c>
      <c r="AE183" s="66">
        <f t="shared" si="94"/>
        <v>2339617.5099999998</v>
      </c>
      <c r="AF183" s="66">
        <f t="shared" si="94"/>
        <v>2492809.2000000002</v>
      </c>
      <c r="AG183" s="66">
        <f t="shared" si="94"/>
        <v>2610278</v>
      </c>
      <c r="AH183" s="66">
        <f t="shared" si="94"/>
        <v>2755278</v>
      </c>
      <c r="AI183" s="66">
        <f t="shared" si="94"/>
        <v>2689278</v>
      </c>
      <c r="AJ183" s="66">
        <f t="shared" si="94"/>
        <v>2692778</v>
      </c>
      <c r="AK183" s="66">
        <f t="shared" si="94"/>
        <v>2734878</v>
      </c>
      <c r="AM183" s="66">
        <f t="shared" ref="AM183" si="95">ROUND(AM7+AM116+AM170+AM182,5)</f>
        <v>2657753</v>
      </c>
      <c r="AN183" s="46"/>
      <c r="AO183" s="252">
        <f>AQ180</f>
        <v>336350</v>
      </c>
      <c r="AP183" s="111" t="s">
        <v>959</v>
      </c>
      <c r="AQ183" s="111"/>
      <c r="AS183" s="112"/>
    </row>
    <row r="184" spans="1:46" ht="16" thickBot="1" x14ac:dyDescent="0.4">
      <c r="A184" s="66"/>
      <c r="B184" s="66"/>
      <c r="C184" s="49"/>
      <c r="D184" s="49" t="s">
        <v>183</v>
      </c>
      <c r="E184" s="49"/>
      <c r="F184" s="49"/>
      <c r="G184" s="49"/>
      <c r="H184" s="63"/>
      <c r="I184" s="63"/>
      <c r="J184" s="64"/>
      <c r="K184" s="64"/>
      <c r="L184" s="65"/>
      <c r="M184" s="65"/>
      <c r="N184" s="66"/>
      <c r="O184" s="66"/>
      <c r="P184" s="69">
        <f t="shared" si="59"/>
        <v>0</v>
      </c>
      <c r="Q184" s="69">
        <f t="shared" si="59"/>
        <v>0</v>
      </c>
      <c r="R184" s="294"/>
      <c r="S184" s="49"/>
      <c r="T184" s="49"/>
      <c r="U184" s="49"/>
      <c r="V184" s="49" t="s">
        <v>183</v>
      </c>
      <c r="W184" s="49"/>
      <c r="X184" s="49"/>
      <c r="Y184" s="49"/>
      <c r="Z184" s="66"/>
      <c r="AA184" s="280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M184" s="66"/>
      <c r="AN184" s="46"/>
      <c r="AO184" s="254">
        <f>SUM(AQ183:AQ185)</f>
        <v>0</v>
      </c>
      <c r="AP184" s="111" t="s">
        <v>960</v>
      </c>
      <c r="AQ184" s="111"/>
      <c r="AS184" s="112"/>
    </row>
    <row r="185" spans="1:46" ht="16" thickBot="1" x14ac:dyDescent="0.4">
      <c r="A185" s="66"/>
      <c r="B185" s="66"/>
      <c r="C185" s="49"/>
      <c r="D185" s="49"/>
      <c r="E185" s="49" t="s">
        <v>184</v>
      </c>
      <c r="F185" s="49"/>
      <c r="G185" s="49"/>
      <c r="H185" s="63">
        <v>177161.5</v>
      </c>
      <c r="I185" s="63">
        <v>180000</v>
      </c>
      <c r="J185" s="64">
        <v>163582.1</v>
      </c>
      <c r="K185" s="64">
        <v>175000</v>
      </c>
      <c r="L185" s="65">
        <v>125104.2</v>
      </c>
      <c r="M185" s="65">
        <v>166768</v>
      </c>
      <c r="N185" s="66">
        <f t="shared" ref="N185:O188" si="96">ROUND(H185+J185+L185,5)</f>
        <v>465847.8</v>
      </c>
      <c r="O185" s="66">
        <f t="shared" si="96"/>
        <v>521768</v>
      </c>
      <c r="P185" s="69">
        <f t="shared" si="59"/>
        <v>155282.6</v>
      </c>
      <c r="Q185" s="69">
        <f t="shared" si="59"/>
        <v>173922.66666666666</v>
      </c>
      <c r="R185" s="294"/>
      <c r="S185" s="49"/>
      <c r="T185" s="49"/>
      <c r="U185" s="49"/>
      <c r="V185" s="49"/>
      <c r="W185" s="49" t="s">
        <v>184</v>
      </c>
      <c r="X185" s="49"/>
      <c r="Y185" s="49"/>
      <c r="Z185" s="66">
        <v>105000</v>
      </c>
      <c r="AA185" s="280"/>
      <c r="AB185" s="66">
        <f t="shared" ref="AB185:AM185" si="97">ROUND(94796.75, 0)</f>
        <v>94797</v>
      </c>
      <c r="AC185" s="66">
        <f t="shared" si="97"/>
        <v>94797</v>
      </c>
      <c r="AD185" s="66">
        <f t="shared" si="97"/>
        <v>94797</v>
      </c>
      <c r="AE185" s="66">
        <f t="shared" si="97"/>
        <v>94797</v>
      </c>
      <c r="AF185" s="66">
        <f t="shared" si="97"/>
        <v>94797</v>
      </c>
      <c r="AG185" s="66">
        <f t="shared" si="97"/>
        <v>94797</v>
      </c>
      <c r="AH185" s="66">
        <f t="shared" si="97"/>
        <v>94797</v>
      </c>
      <c r="AI185" s="66">
        <f t="shared" si="97"/>
        <v>94797</v>
      </c>
      <c r="AJ185" s="66">
        <f t="shared" si="97"/>
        <v>94797</v>
      </c>
      <c r="AK185" s="66">
        <f t="shared" si="97"/>
        <v>94797</v>
      </c>
      <c r="AM185" s="66">
        <f t="shared" si="97"/>
        <v>94797</v>
      </c>
      <c r="AN185" s="46"/>
      <c r="AO185" s="256">
        <f>SUM(AO182:AO184)</f>
        <v>498850</v>
      </c>
      <c r="AP185" s="111" t="s">
        <v>961</v>
      </c>
      <c r="AQ185" s="111"/>
      <c r="AS185" s="112"/>
    </row>
    <row r="186" spans="1:46" x14ac:dyDescent="0.35">
      <c r="A186" s="66"/>
      <c r="B186" s="66"/>
      <c r="C186" s="49"/>
      <c r="D186" s="49"/>
      <c r="E186" s="49" t="s">
        <v>185</v>
      </c>
      <c r="F186" s="49"/>
      <c r="G186" s="49"/>
      <c r="H186" s="63">
        <v>36207.879999999997</v>
      </c>
      <c r="I186" s="63">
        <v>28000</v>
      </c>
      <c r="J186" s="64">
        <v>21502.71</v>
      </c>
      <c r="K186" s="64">
        <v>40000</v>
      </c>
      <c r="L186" s="65">
        <v>19882.03</v>
      </c>
      <c r="M186" s="65">
        <v>24000</v>
      </c>
      <c r="N186" s="66">
        <f t="shared" si="96"/>
        <v>77592.62</v>
      </c>
      <c r="O186" s="66">
        <f t="shared" si="96"/>
        <v>92000</v>
      </c>
      <c r="P186" s="69">
        <f t="shared" si="59"/>
        <v>25864.206666666665</v>
      </c>
      <c r="Q186" s="69">
        <f t="shared" si="59"/>
        <v>30666.666666666668</v>
      </c>
      <c r="R186" s="294"/>
      <c r="S186" s="49"/>
      <c r="T186" s="49"/>
      <c r="U186" s="49"/>
      <c r="V186" s="49"/>
      <c r="W186" s="49" t="s">
        <v>185</v>
      </c>
      <c r="X186" s="49"/>
      <c r="Y186" s="49"/>
      <c r="Z186" s="66">
        <v>25000</v>
      </c>
      <c r="AA186" s="280"/>
      <c r="AB186" s="66">
        <v>25000</v>
      </c>
      <c r="AC186" s="66">
        <v>25000</v>
      </c>
      <c r="AD186" s="66">
        <v>25000</v>
      </c>
      <c r="AE186" s="66">
        <v>15000</v>
      </c>
      <c r="AF186" s="66">
        <v>15000</v>
      </c>
      <c r="AG186" s="66">
        <v>15000</v>
      </c>
      <c r="AH186" s="66">
        <v>15000</v>
      </c>
      <c r="AI186" s="66">
        <v>15000</v>
      </c>
      <c r="AJ186" s="66">
        <v>15000</v>
      </c>
      <c r="AK186" s="66">
        <v>15000</v>
      </c>
      <c r="AM186" s="66">
        <v>15000</v>
      </c>
      <c r="AP186" s="205" t="s">
        <v>963</v>
      </c>
      <c r="AQ186" s="205">
        <v>33125</v>
      </c>
      <c r="AR186" s="112"/>
      <c r="AT186" s="112"/>
    </row>
    <row r="187" spans="1:46" ht="16" thickBot="1" x14ac:dyDescent="0.4">
      <c r="A187" s="66"/>
      <c r="B187" s="66"/>
      <c r="C187" s="49"/>
      <c r="D187" s="49"/>
      <c r="E187" s="49" t="s">
        <v>186</v>
      </c>
      <c r="F187" s="49"/>
      <c r="G187" s="49"/>
      <c r="H187" s="63">
        <v>0</v>
      </c>
      <c r="I187" s="63">
        <v>5000</v>
      </c>
      <c r="J187" s="64">
        <v>8670.76</v>
      </c>
      <c r="K187" s="64">
        <v>25000</v>
      </c>
      <c r="L187" s="65">
        <v>6462.37</v>
      </c>
      <c r="M187" s="65">
        <v>31000</v>
      </c>
      <c r="N187" s="66">
        <f t="shared" si="96"/>
        <v>15133.13</v>
      </c>
      <c r="O187" s="66">
        <f t="shared" si="96"/>
        <v>61000</v>
      </c>
      <c r="P187" s="69">
        <f t="shared" si="59"/>
        <v>5044.3766666666661</v>
      </c>
      <c r="Q187" s="69">
        <f t="shared" si="59"/>
        <v>20333.333333333332</v>
      </c>
      <c r="R187" s="294"/>
      <c r="S187" s="49"/>
      <c r="T187" s="49"/>
      <c r="U187" s="49"/>
      <c r="V187" s="49"/>
      <c r="W187" s="49" t="s">
        <v>186</v>
      </c>
      <c r="X187" s="49"/>
      <c r="Y187" s="49"/>
      <c r="Z187" s="66">
        <v>10000</v>
      </c>
      <c r="AA187" s="280"/>
      <c r="AB187" s="66">
        <v>5000</v>
      </c>
      <c r="AC187" s="66">
        <v>5000</v>
      </c>
      <c r="AD187" s="66">
        <v>5000</v>
      </c>
      <c r="AE187" s="66">
        <v>5000</v>
      </c>
      <c r="AF187" s="66">
        <v>5000</v>
      </c>
      <c r="AG187" s="66">
        <v>5000</v>
      </c>
      <c r="AH187" s="66">
        <v>5000</v>
      </c>
      <c r="AI187" s="66">
        <v>5000</v>
      </c>
      <c r="AJ187" s="66">
        <v>5000</v>
      </c>
      <c r="AK187" s="66">
        <v>5000</v>
      </c>
      <c r="AM187" s="66">
        <v>5000</v>
      </c>
      <c r="AQ187" s="111"/>
      <c r="AT187" s="171"/>
    </row>
    <row r="188" spans="1:46" x14ac:dyDescent="0.35">
      <c r="A188" s="66"/>
      <c r="B188" s="66"/>
      <c r="C188" s="49"/>
      <c r="D188" s="49" t="s">
        <v>187</v>
      </c>
      <c r="E188" s="49"/>
      <c r="F188" s="49"/>
      <c r="G188" s="49"/>
      <c r="H188" s="75">
        <f t="shared" ref="H188:M188" si="98">ROUND(SUM(H184:H187),5)</f>
        <v>213369.38</v>
      </c>
      <c r="I188" s="75">
        <f t="shared" si="98"/>
        <v>213000</v>
      </c>
      <c r="J188" s="76">
        <f t="shared" si="98"/>
        <v>193755.57</v>
      </c>
      <c r="K188" s="76">
        <f t="shared" si="98"/>
        <v>240000</v>
      </c>
      <c r="L188" s="77">
        <f t="shared" si="98"/>
        <v>151448.6</v>
      </c>
      <c r="M188" s="77">
        <f t="shared" si="98"/>
        <v>221768</v>
      </c>
      <c r="N188" s="78">
        <f t="shared" si="96"/>
        <v>558573.55000000005</v>
      </c>
      <c r="O188" s="78">
        <f t="shared" si="96"/>
        <v>674768</v>
      </c>
      <c r="P188" s="79">
        <f t="shared" si="59"/>
        <v>186191.18333333335</v>
      </c>
      <c r="Q188" s="79">
        <f t="shared" si="59"/>
        <v>224922.66666666666</v>
      </c>
      <c r="R188" s="294"/>
      <c r="S188" s="49"/>
      <c r="T188" s="49"/>
      <c r="U188" s="49"/>
      <c r="V188" s="49" t="s">
        <v>187</v>
      </c>
      <c r="W188" s="49"/>
      <c r="X188" s="49"/>
      <c r="Y188" s="49"/>
      <c r="Z188" s="78">
        <f>ROUND(SUM(Z184:Z187),5)</f>
        <v>140000</v>
      </c>
      <c r="AA188" s="280"/>
      <c r="AB188" s="80">
        <f t="shared" ref="AB188:AK188" si="99">ROUND(SUM(AB184:AB187),5)</f>
        <v>124797</v>
      </c>
      <c r="AC188" s="80">
        <f t="shared" si="99"/>
        <v>124797</v>
      </c>
      <c r="AD188" s="80">
        <f t="shared" si="99"/>
        <v>124797</v>
      </c>
      <c r="AE188" s="80">
        <f t="shared" si="99"/>
        <v>114797</v>
      </c>
      <c r="AF188" s="80">
        <f t="shared" si="99"/>
        <v>114797</v>
      </c>
      <c r="AG188" s="80">
        <f t="shared" si="99"/>
        <v>114797</v>
      </c>
      <c r="AH188" s="80">
        <f t="shared" si="99"/>
        <v>114797</v>
      </c>
      <c r="AI188" s="80">
        <f t="shared" si="99"/>
        <v>114797</v>
      </c>
      <c r="AJ188" s="80">
        <f t="shared" si="99"/>
        <v>114797</v>
      </c>
      <c r="AK188" s="266">
        <f t="shared" si="99"/>
        <v>114797</v>
      </c>
      <c r="AM188" s="270">
        <f t="shared" ref="AM188" si="100">ROUND(SUM(AM184:AM187),5)</f>
        <v>114797</v>
      </c>
      <c r="AP188" s="199" t="s">
        <v>840</v>
      </c>
      <c r="AQ188" s="199">
        <f>SUM(AQ180:AQ186)</f>
        <v>531975</v>
      </c>
    </row>
    <row r="189" spans="1:46" x14ac:dyDescent="0.35">
      <c r="A189" s="66"/>
      <c r="B189" s="66"/>
      <c r="C189" s="49"/>
      <c r="D189" s="49" t="s">
        <v>188</v>
      </c>
      <c r="E189" s="49"/>
      <c r="F189" s="49"/>
      <c r="G189" s="49"/>
      <c r="H189" s="63"/>
      <c r="I189" s="63"/>
      <c r="J189" s="64"/>
      <c r="K189" s="64"/>
      <c r="L189" s="65"/>
      <c r="M189" s="65"/>
      <c r="N189" s="66"/>
      <c r="O189" s="66"/>
      <c r="P189" s="69">
        <f t="shared" si="59"/>
        <v>0</v>
      </c>
      <c r="Q189" s="69">
        <f t="shared" si="59"/>
        <v>0</v>
      </c>
      <c r="R189" s="294"/>
      <c r="S189" s="49"/>
      <c r="T189" s="49"/>
      <c r="U189" s="49"/>
      <c r="V189" s="49" t="s">
        <v>188</v>
      </c>
      <c r="W189" s="49"/>
      <c r="X189" s="49"/>
      <c r="Y189" s="49"/>
      <c r="Z189" s="66"/>
      <c r="AA189" s="280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M189" s="66"/>
      <c r="AP189" s="199" t="s">
        <v>997</v>
      </c>
      <c r="AQ189" s="199">
        <f>AQ188-AQ186-AQ181</f>
        <v>336350</v>
      </c>
      <c r="AS189" s="199"/>
    </row>
    <row r="190" spans="1:46" ht="27.65" customHeight="1" thickBot="1" x14ac:dyDescent="0.4">
      <c r="A190" s="66"/>
      <c r="B190" s="66"/>
      <c r="C190" s="49"/>
      <c r="D190" s="49"/>
      <c r="E190" s="49" t="s">
        <v>189</v>
      </c>
      <c r="F190" s="49"/>
      <c r="G190" s="49"/>
      <c r="H190" s="70">
        <v>61772.91</v>
      </c>
      <c r="I190" s="70">
        <v>30000</v>
      </c>
      <c r="J190" s="71">
        <v>114884.79</v>
      </c>
      <c r="K190" s="71">
        <v>60000</v>
      </c>
      <c r="L190" s="72">
        <v>113755.91</v>
      </c>
      <c r="M190" s="72">
        <v>100000</v>
      </c>
      <c r="N190" s="73">
        <f>ROUND(H190+J190+L190,5)</f>
        <v>290413.61</v>
      </c>
      <c r="O190" s="73">
        <f>ROUND(I190+K190+M190,5)</f>
        <v>190000</v>
      </c>
      <c r="P190" s="74">
        <f t="shared" si="59"/>
        <v>96804.536666666667</v>
      </c>
      <c r="Q190" s="74">
        <f t="shared" si="59"/>
        <v>63333.333333333336</v>
      </c>
      <c r="R190" s="294"/>
      <c r="S190" s="49"/>
      <c r="T190" s="49"/>
      <c r="U190" s="49"/>
      <c r="V190" s="49"/>
      <c r="W190" s="49" t="s">
        <v>189</v>
      </c>
      <c r="X190" s="49"/>
      <c r="Y190" s="49"/>
      <c r="Z190" s="73">
        <v>100000</v>
      </c>
      <c r="AA190" s="280"/>
      <c r="AB190" s="73">
        <v>100000</v>
      </c>
      <c r="AC190" s="73">
        <v>100000</v>
      </c>
      <c r="AD190" s="73">
        <v>100000</v>
      </c>
      <c r="AE190" s="73">
        <v>90000</v>
      </c>
      <c r="AF190" s="73">
        <v>90000</v>
      </c>
      <c r="AG190" s="73">
        <v>90000</v>
      </c>
      <c r="AH190" s="73">
        <v>90000</v>
      </c>
      <c r="AI190" s="73">
        <v>90000</v>
      </c>
      <c r="AJ190" s="73">
        <v>90000</v>
      </c>
      <c r="AK190" s="73">
        <v>90000</v>
      </c>
      <c r="AM190" s="73">
        <v>90000</v>
      </c>
      <c r="AN190" s="221" t="s">
        <v>1016</v>
      </c>
      <c r="AP190" s="199" t="s">
        <v>842</v>
      </c>
      <c r="AQ190" s="111"/>
      <c r="AR190" s="202"/>
    </row>
    <row r="191" spans="1:46" x14ac:dyDescent="0.35">
      <c r="A191" s="66"/>
      <c r="B191" s="66"/>
      <c r="C191" s="49"/>
      <c r="D191" s="49" t="s">
        <v>190</v>
      </c>
      <c r="E191" s="49"/>
      <c r="F191" s="49"/>
      <c r="G191" s="49"/>
      <c r="H191" s="63">
        <f t="shared" ref="H191:M191" si="101">ROUND(SUM(H189:H190),5)</f>
        <v>61772.91</v>
      </c>
      <c r="I191" s="63">
        <f t="shared" si="101"/>
        <v>30000</v>
      </c>
      <c r="J191" s="64">
        <f t="shared" si="101"/>
        <v>114884.79</v>
      </c>
      <c r="K191" s="64">
        <f t="shared" si="101"/>
        <v>60000</v>
      </c>
      <c r="L191" s="65">
        <f t="shared" si="101"/>
        <v>113755.91</v>
      </c>
      <c r="M191" s="65">
        <f t="shared" si="101"/>
        <v>100000</v>
      </c>
      <c r="N191" s="66">
        <f>ROUND(H191+J191+L191,5)</f>
        <v>290413.61</v>
      </c>
      <c r="O191" s="66">
        <f>ROUND(I191+K191+M191,5)</f>
        <v>190000</v>
      </c>
      <c r="P191" s="69">
        <f t="shared" si="59"/>
        <v>96804.536666666667</v>
      </c>
      <c r="Q191" s="69">
        <f t="shared" si="59"/>
        <v>63333.333333333336</v>
      </c>
      <c r="R191" s="294"/>
      <c r="S191" s="49"/>
      <c r="T191" s="49"/>
      <c r="U191" s="49"/>
      <c r="V191" s="49" t="s">
        <v>190</v>
      </c>
      <c r="W191" s="49"/>
      <c r="X191" s="49"/>
      <c r="Y191" s="49"/>
      <c r="Z191" s="66">
        <f>ROUND(SUM(Z189:Z190),5)</f>
        <v>100000</v>
      </c>
      <c r="AA191" s="280"/>
      <c r="AB191" s="80">
        <f t="shared" ref="AB191:AK191" si="102">ROUND(SUM(AB189:AB190),5)</f>
        <v>100000</v>
      </c>
      <c r="AC191" s="80">
        <f t="shared" si="102"/>
        <v>100000</v>
      </c>
      <c r="AD191" s="80">
        <f t="shared" si="102"/>
        <v>100000</v>
      </c>
      <c r="AE191" s="80">
        <f t="shared" si="102"/>
        <v>90000</v>
      </c>
      <c r="AF191" s="80">
        <f t="shared" si="102"/>
        <v>90000</v>
      </c>
      <c r="AG191" s="80">
        <f t="shared" si="102"/>
        <v>90000</v>
      </c>
      <c r="AH191" s="80">
        <f t="shared" si="102"/>
        <v>90000</v>
      </c>
      <c r="AI191" s="80">
        <f t="shared" si="102"/>
        <v>90000</v>
      </c>
      <c r="AJ191" s="80">
        <f t="shared" si="102"/>
        <v>90000</v>
      </c>
      <c r="AK191" s="266">
        <f t="shared" si="102"/>
        <v>90000</v>
      </c>
      <c r="AM191" s="270">
        <f t="shared" ref="AM191" si="103">ROUND(SUM(AM189:AM190),5)</f>
        <v>90000</v>
      </c>
      <c r="AQ191" s="111"/>
      <c r="AS191" s="111"/>
    </row>
    <row r="192" spans="1:46" x14ac:dyDescent="0.35">
      <c r="A192" s="66"/>
      <c r="B192" s="66"/>
      <c r="C192" s="49"/>
      <c r="D192" s="49" t="s">
        <v>191</v>
      </c>
      <c r="E192" s="49"/>
      <c r="F192" s="49"/>
      <c r="G192" s="49"/>
      <c r="H192" s="63"/>
      <c r="I192" s="63"/>
      <c r="J192" s="64"/>
      <c r="K192" s="64"/>
      <c r="L192" s="65"/>
      <c r="M192" s="65"/>
      <c r="N192" s="66"/>
      <c r="O192" s="66"/>
      <c r="P192" s="69"/>
      <c r="Q192" s="69"/>
      <c r="R192" s="294"/>
      <c r="S192" s="49"/>
      <c r="T192" s="49"/>
      <c r="U192" s="49"/>
      <c r="V192" s="49" t="s">
        <v>191</v>
      </c>
      <c r="W192" s="49"/>
      <c r="X192" s="49"/>
      <c r="Y192" s="49"/>
      <c r="Z192" s="66"/>
      <c r="AA192" s="280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M192" s="66"/>
      <c r="AQ192" s="111"/>
    </row>
    <row r="193" spans="1:45" ht="16" thickBot="1" x14ac:dyDescent="0.4">
      <c r="A193" s="66"/>
      <c r="B193" s="66"/>
      <c r="C193" s="49"/>
      <c r="D193" s="49"/>
      <c r="E193" s="49" t="s">
        <v>192</v>
      </c>
      <c r="F193" s="49"/>
      <c r="G193" s="49"/>
      <c r="H193" s="63">
        <v>96935.37</v>
      </c>
      <c r="I193" s="63">
        <v>127500</v>
      </c>
      <c r="J193" s="64">
        <v>122407.64</v>
      </c>
      <c r="K193" s="64">
        <v>100800</v>
      </c>
      <c r="L193" s="65">
        <v>114060.67</v>
      </c>
      <c r="M193" s="65">
        <v>110629</v>
      </c>
      <c r="N193" s="66">
        <f t="shared" ref="N193:O198" si="104">ROUND(H193+J193+L193,5)</f>
        <v>333403.68</v>
      </c>
      <c r="O193" s="66">
        <f t="shared" si="104"/>
        <v>338929</v>
      </c>
      <c r="P193" s="69">
        <f t="shared" si="59"/>
        <v>111134.56</v>
      </c>
      <c r="Q193" s="69">
        <f t="shared" si="59"/>
        <v>112976.33333333333</v>
      </c>
      <c r="R193" s="294"/>
      <c r="S193" s="49"/>
      <c r="T193" s="49"/>
      <c r="U193" s="49"/>
      <c r="V193" s="49"/>
      <c r="W193" s="49" t="s">
        <v>192</v>
      </c>
      <c r="X193" s="49"/>
      <c r="Y193" s="49"/>
      <c r="Z193" s="66">
        <v>130450</v>
      </c>
      <c r="AA193" s="280"/>
      <c r="AB193" s="66">
        <f t="shared" ref="AB193:AM193" si="105">ROUND(142010.17, 0)</f>
        <v>142010</v>
      </c>
      <c r="AC193" s="66">
        <f t="shared" si="105"/>
        <v>142010</v>
      </c>
      <c r="AD193" s="66">
        <f t="shared" si="105"/>
        <v>142010</v>
      </c>
      <c r="AE193" s="66">
        <f t="shared" si="105"/>
        <v>142010</v>
      </c>
      <c r="AF193" s="66">
        <f t="shared" si="105"/>
        <v>142010</v>
      </c>
      <c r="AG193" s="66">
        <f t="shared" si="105"/>
        <v>142010</v>
      </c>
      <c r="AH193" s="66">
        <f t="shared" si="105"/>
        <v>142010</v>
      </c>
      <c r="AI193" s="66">
        <f t="shared" si="105"/>
        <v>142010</v>
      </c>
      <c r="AJ193" s="66">
        <f t="shared" si="105"/>
        <v>142010</v>
      </c>
      <c r="AK193" s="66">
        <f t="shared" si="105"/>
        <v>142010</v>
      </c>
      <c r="AM193" s="66">
        <f t="shared" si="105"/>
        <v>142010</v>
      </c>
      <c r="AN193" s="309" t="s">
        <v>1020</v>
      </c>
      <c r="AQ193" s="111"/>
    </row>
    <row r="194" spans="1:45" ht="16" thickBot="1" x14ac:dyDescent="0.4">
      <c r="A194" s="66"/>
      <c r="B194" s="66"/>
      <c r="C194" s="49"/>
      <c r="D194" s="49"/>
      <c r="E194" s="49" t="s">
        <v>193</v>
      </c>
      <c r="F194" s="49"/>
      <c r="G194" s="49"/>
      <c r="H194" s="63">
        <v>194429.9</v>
      </c>
      <c r="I194" s="63">
        <v>277500</v>
      </c>
      <c r="J194" s="64">
        <v>220691.37</v>
      </c>
      <c r="K194" s="64">
        <v>265200</v>
      </c>
      <c r="L194" s="65">
        <v>279346.92</v>
      </c>
      <c r="M194" s="65">
        <v>207679</v>
      </c>
      <c r="N194" s="66">
        <f t="shared" si="104"/>
        <v>694468.19</v>
      </c>
      <c r="O194" s="66">
        <f t="shared" si="104"/>
        <v>750379</v>
      </c>
      <c r="P194" s="69">
        <f t="shared" si="59"/>
        <v>231489.39666666664</v>
      </c>
      <c r="Q194" s="69">
        <f t="shared" si="59"/>
        <v>250126.33333333334</v>
      </c>
      <c r="R194" s="294"/>
      <c r="S194" s="49"/>
      <c r="T194" s="49"/>
      <c r="U194" s="49"/>
      <c r="V194" s="49"/>
      <c r="W194" s="49" t="s">
        <v>193</v>
      </c>
      <c r="X194" s="49"/>
      <c r="Y194" s="49"/>
      <c r="Z194" s="66">
        <v>272600</v>
      </c>
      <c r="AA194" s="280"/>
      <c r="AB194" s="66">
        <v>299000</v>
      </c>
      <c r="AC194" s="66">
        <v>299000</v>
      </c>
      <c r="AD194" s="66">
        <v>299000</v>
      </c>
      <c r="AE194" s="66">
        <v>299000</v>
      </c>
      <c r="AF194" s="66">
        <v>299000</v>
      </c>
      <c r="AG194" s="66">
        <v>299000</v>
      </c>
      <c r="AH194" s="66">
        <v>299000</v>
      </c>
      <c r="AI194" s="66">
        <v>299000</v>
      </c>
      <c r="AJ194" s="66">
        <v>299000</v>
      </c>
      <c r="AK194" s="66">
        <v>299000</v>
      </c>
      <c r="AM194" s="66">
        <v>299000</v>
      </c>
      <c r="AN194" s="310" t="s">
        <v>1021</v>
      </c>
      <c r="AQ194"/>
      <c r="AR194"/>
    </row>
    <row r="195" spans="1:45" ht="29.5" thickBot="1" x14ac:dyDescent="0.4">
      <c r="A195" s="66"/>
      <c r="B195" s="66"/>
      <c r="C195" s="49"/>
      <c r="D195" s="49"/>
      <c r="E195" s="49" t="s">
        <v>194</v>
      </c>
      <c r="F195" s="49"/>
      <c r="G195" s="49"/>
      <c r="H195" s="63">
        <v>26335</v>
      </c>
      <c r="I195" s="63">
        <v>15000</v>
      </c>
      <c r="J195" s="64">
        <v>25245</v>
      </c>
      <c r="K195" s="64">
        <v>16500</v>
      </c>
      <c r="L195" s="65">
        <v>25364.9</v>
      </c>
      <c r="M195" s="65">
        <v>23256</v>
      </c>
      <c r="N195" s="66">
        <f t="shared" si="104"/>
        <v>76944.899999999994</v>
      </c>
      <c r="O195" s="66">
        <f t="shared" si="104"/>
        <v>54756</v>
      </c>
      <c r="P195" s="69">
        <f t="shared" si="59"/>
        <v>25648.3</v>
      </c>
      <c r="Q195" s="69">
        <f t="shared" si="59"/>
        <v>18252</v>
      </c>
      <c r="R195" s="294"/>
      <c r="S195" s="49"/>
      <c r="T195" s="49"/>
      <c r="U195" s="49"/>
      <c r="V195" s="49"/>
      <c r="W195" s="49" t="s">
        <v>194</v>
      </c>
      <c r="X195" s="49"/>
      <c r="Y195" s="49"/>
      <c r="Z195" s="66">
        <v>26400</v>
      </c>
      <c r="AA195" s="280"/>
      <c r="AB195" s="66">
        <f t="shared" ref="AB195:AM195" si="106">(88*12)*25</f>
        <v>26400</v>
      </c>
      <c r="AC195" s="66">
        <f t="shared" si="106"/>
        <v>26400</v>
      </c>
      <c r="AD195" s="66">
        <f t="shared" si="106"/>
        <v>26400</v>
      </c>
      <c r="AE195" s="66">
        <f t="shared" si="106"/>
        <v>26400</v>
      </c>
      <c r="AF195" s="66">
        <f t="shared" si="106"/>
        <v>26400</v>
      </c>
      <c r="AG195" s="66">
        <f t="shared" si="106"/>
        <v>26400</v>
      </c>
      <c r="AH195" s="66">
        <f t="shared" si="106"/>
        <v>26400</v>
      </c>
      <c r="AI195" s="66">
        <f t="shared" si="106"/>
        <v>26400</v>
      </c>
      <c r="AJ195" s="66">
        <f t="shared" si="106"/>
        <v>26400</v>
      </c>
      <c r="AK195" s="66">
        <f t="shared" si="106"/>
        <v>26400</v>
      </c>
      <c r="AM195" s="66">
        <f t="shared" si="106"/>
        <v>26400</v>
      </c>
      <c r="AN195" s="310" t="s">
        <v>972</v>
      </c>
      <c r="AQ195"/>
      <c r="AR195"/>
      <c r="AS195"/>
    </row>
    <row r="196" spans="1:45" ht="29" x14ac:dyDescent="0.35">
      <c r="A196" s="66"/>
      <c r="B196" s="66"/>
      <c r="C196" s="49"/>
      <c r="D196" s="49"/>
      <c r="E196" s="49" t="s">
        <v>195</v>
      </c>
      <c r="F196" s="49"/>
      <c r="G196" s="49"/>
      <c r="H196" s="63">
        <v>176966.16</v>
      </c>
      <c r="I196" s="63">
        <v>120656.25</v>
      </c>
      <c r="J196" s="64">
        <v>201814.23</v>
      </c>
      <c r="K196" s="64">
        <v>175500</v>
      </c>
      <c r="L196" s="65">
        <v>203850.3</v>
      </c>
      <c r="M196" s="65">
        <v>174617</v>
      </c>
      <c r="N196" s="66">
        <f t="shared" si="104"/>
        <v>582630.68999999994</v>
      </c>
      <c r="O196" s="66">
        <f t="shared" si="104"/>
        <v>470773.25</v>
      </c>
      <c r="P196" s="69">
        <f t="shared" si="59"/>
        <v>194210.22999999998</v>
      </c>
      <c r="Q196" s="69">
        <f t="shared" si="59"/>
        <v>156924.41666666666</v>
      </c>
      <c r="R196" s="294"/>
      <c r="S196" s="49"/>
      <c r="T196" s="49"/>
      <c r="U196" s="49"/>
      <c r="V196" s="49"/>
      <c r="W196" s="49" t="s">
        <v>195</v>
      </c>
      <c r="X196" s="49"/>
      <c r="Y196" s="49"/>
      <c r="Z196" s="66">
        <v>208890</v>
      </c>
      <c r="AA196" s="280"/>
      <c r="AB196" s="66">
        <f>ROUND(202248.75, 0)</f>
        <v>202249</v>
      </c>
      <c r="AC196" s="66">
        <f>ROUND(202248.75, 0)</f>
        <v>202249</v>
      </c>
      <c r="AD196" s="66">
        <f>ROUND(202248.75, 0)</f>
        <v>202249</v>
      </c>
      <c r="AE196" s="66">
        <f>ROUND(202248.75, 0)</f>
        <v>202249</v>
      </c>
      <c r="AF196" s="66">
        <f>ROUND(202248.75, 0)</f>
        <v>202249</v>
      </c>
      <c r="AG196" s="66">
        <f>ROUND(199878.15, -2)</f>
        <v>199900</v>
      </c>
      <c r="AH196" s="66">
        <f>ROUND(199878.15, -2)</f>
        <v>199900</v>
      </c>
      <c r="AI196" s="66">
        <f>ROUND(199878.15, -2)</f>
        <v>199900</v>
      </c>
      <c r="AJ196" s="66">
        <f>ROUND(199878.15, -2)</f>
        <v>199900</v>
      </c>
      <c r="AK196" s="66">
        <f>ROUND(199878.15, -2)</f>
        <v>199900</v>
      </c>
      <c r="AM196" s="66">
        <f>ROUND(199878.15, -2)</f>
        <v>199900</v>
      </c>
      <c r="AN196" s="313" t="s">
        <v>973</v>
      </c>
      <c r="AR196" s="112"/>
    </row>
    <row r="197" spans="1:45" ht="16" thickBot="1" x14ac:dyDescent="0.4">
      <c r="A197" s="66"/>
      <c r="B197" s="66"/>
      <c r="C197" s="49"/>
      <c r="D197" s="49"/>
      <c r="E197" s="49" t="s">
        <v>196</v>
      </c>
      <c r="F197" s="49"/>
      <c r="G197" s="49"/>
      <c r="H197" s="63">
        <v>1123324.29</v>
      </c>
      <c r="I197" s="63">
        <v>1224187.5</v>
      </c>
      <c r="J197" s="64">
        <v>1078991.1499999999</v>
      </c>
      <c r="K197" s="64">
        <v>1158700</v>
      </c>
      <c r="L197" s="65">
        <v>1113348.42</v>
      </c>
      <c r="M197" s="65">
        <v>1355904.5</v>
      </c>
      <c r="N197" s="66">
        <f t="shared" si="104"/>
        <v>3315663.86</v>
      </c>
      <c r="O197" s="66">
        <f t="shared" si="104"/>
        <v>3738792</v>
      </c>
      <c r="P197" s="69">
        <f t="shared" si="59"/>
        <v>1105221.2866666666</v>
      </c>
      <c r="Q197" s="69">
        <f t="shared" si="59"/>
        <v>1246264</v>
      </c>
      <c r="R197" s="294"/>
      <c r="S197" s="49"/>
      <c r="T197" s="49"/>
      <c r="U197" s="49"/>
      <c r="V197" s="49"/>
      <c r="W197" s="49" t="s">
        <v>196</v>
      </c>
      <c r="X197" s="49"/>
      <c r="Y197" s="49"/>
      <c r="Z197" s="66">
        <v>1299885</v>
      </c>
      <c r="AA197" s="280"/>
      <c r="AB197" s="109">
        <v>1247277</v>
      </c>
      <c r="AC197" s="109">
        <v>1247277</v>
      </c>
      <c r="AD197" s="109">
        <v>1247277</v>
      </c>
      <c r="AE197" s="109">
        <v>1247277</v>
      </c>
      <c r="AF197" s="109">
        <v>1247277</v>
      </c>
      <c r="AG197" s="66">
        <v>1187244</v>
      </c>
      <c r="AH197" s="66">
        <v>1187244</v>
      </c>
      <c r="AI197" s="66">
        <v>1187244</v>
      </c>
      <c r="AJ197" s="66">
        <v>1187244</v>
      </c>
      <c r="AK197" s="66">
        <v>1187244</v>
      </c>
      <c r="AM197" s="66">
        <v>1187244</v>
      </c>
      <c r="AN197" s="180"/>
      <c r="AR197" s="112"/>
    </row>
    <row r="198" spans="1:45" x14ac:dyDescent="0.35">
      <c r="A198" s="66"/>
      <c r="B198" s="66"/>
      <c r="C198" s="49"/>
      <c r="D198" s="49" t="s">
        <v>197</v>
      </c>
      <c r="E198" s="49"/>
      <c r="F198" s="49"/>
      <c r="G198" s="49"/>
      <c r="H198" s="75">
        <f t="shared" ref="H198:M198" si="107">ROUND(SUM(H192:H197),5)</f>
        <v>1617990.72</v>
      </c>
      <c r="I198" s="75">
        <f t="shared" si="107"/>
        <v>1764843.75</v>
      </c>
      <c r="J198" s="76">
        <f t="shared" si="107"/>
        <v>1649149.39</v>
      </c>
      <c r="K198" s="76">
        <f t="shared" si="107"/>
        <v>1716700</v>
      </c>
      <c r="L198" s="77">
        <f t="shared" si="107"/>
        <v>1735971.21</v>
      </c>
      <c r="M198" s="77">
        <f t="shared" si="107"/>
        <v>1872085.5</v>
      </c>
      <c r="N198" s="78">
        <f t="shared" si="104"/>
        <v>5003111.32</v>
      </c>
      <c r="O198" s="78">
        <f t="shared" si="104"/>
        <v>5353629.25</v>
      </c>
      <c r="P198" s="79">
        <f t="shared" si="59"/>
        <v>1667703.7733333334</v>
      </c>
      <c r="Q198" s="79">
        <f t="shared" si="59"/>
        <v>1784543.0833333333</v>
      </c>
      <c r="R198" s="294"/>
      <c r="S198" s="49"/>
      <c r="T198" s="49"/>
      <c r="U198" s="49"/>
      <c r="V198" s="49" t="s">
        <v>197</v>
      </c>
      <c r="W198" s="49"/>
      <c r="X198" s="49"/>
      <c r="Y198" s="49"/>
      <c r="Z198" s="78">
        <f>ROUND(SUM(Z192:Z197),5)</f>
        <v>1938225</v>
      </c>
      <c r="AA198" s="280"/>
      <c r="AB198" s="80">
        <f t="shared" ref="AB198:AK198" si="108">ROUND(SUM(AB192:AB197),5)</f>
        <v>1916936</v>
      </c>
      <c r="AC198" s="80">
        <f t="shared" si="108"/>
        <v>1916936</v>
      </c>
      <c r="AD198" s="80">
        <f t="shared" si="108"/>
        <v>1916936</v>
      </c>
      <c r="AE198" s="80">
        <f t="shared" si="108"/>
        <v>1916936</v>
      </c>
      <c r="AF198" s="80">
        <f t="shared" si="108"/>
        <v>1916936</v>
      </c>
      <c r="AG198" s="80">
        <f t="shared" si="108"/>
        <v>1854554</v>
      </c>
      <c r="AH198" s="80">
        <f t="shared" si="108"/>
        <v>1854554</v>
      </c>
      <c r="AI198" s="80">
        <f t="shared" si="108"/>
        <v>1854554</v>
      </c>
      <c r="AJ198" s="80">
        <f t="shared" si="108"/>
        <v>1854554</v>
      </c>
      <c r="AK198" s="266">
        <f t="shared" si="108"/>
        <v>1854554</v>
      </c>
      <c r="AM198" s="270">
        <f t="shared" ref="AM198" si="109">ROUND(SUM(AM192:AM197),5)</f>
        <v>1854554</v>
      </c>
      <c r="AN198" s="181"/>
    </row>
    <row r="199" spans="1:45" x14ac:dyDescent="0.35">
      <c r="A199" s="66"/>
      <c r="B199" s="66"/>
      <c r="C199" s="49"/>
      <c r="D199" s="49" t="s">
        <v>198</v>
      </c>
      <c r="E199" s="49"/>
      <c r="F199" s="49"/>
      <c r="G199" s="49"/>
      <c r="H199" s="63"/>
      <c r="I199" s="63"/>
      <c r="J199" s="64"/>
      <c r="K199" s="64"/>
      <c r="L199" s="65"/>
      <c r="M199" s="65"/>
      <c r="N199" s="66"/>
      <c r="O199" s="66"/>
      <c r="P199" s="69"/>
      <c r="Q199" s="69"/>
      <c r="R199" s="294"/>
      <c r="S199" s="49"/>
      <c r="T199" s="49"/>
      <c r="U199" s="49"/>
      <c r="V199" s="49" t="s">
        <v>198</v>
      </c>
      <c r="W199" s="49"/>
      <c r="X199" s="49"/>
      <c r="Y199" s="49"/>
      <c r="Z199" s="66"/>
      <c r="AA199" s="280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M199" s="66"/>
      <c r="AR199" s="111"/>
    </row>
    <row r="200" spans="1:45" ht="16" thickBot="1" x14ac:dyDescent="0.4">
      <c r="A200" s="66"/>
      <c r="B200" s="66"/>
      <c r="C200" s="49"/>
      <c r="D200" s="49"/>
      <c r="E200" s="49" t="s">
        <v>199</v>
      </c>
      <c r="F200" s="49"/>
      <c r="G200" s="49"/>
      <c r="H200" s="70">
        <v>5928</v>
      </c>
      <c r="I200" s="70">
        <v>6321</v>
      </c>
      <c r="J200" s="71">
        <v>4164</v>
      </c>
      <c r="K200" s="71">
        <v>7265</v>
      </c>
      <c r="L200" s="72">
        <v>6035</v>
      </c>
      <c r="M200" s="72">
        <v>7265</v>
      </c>
      <c r="N200" s="73">
        <f>ROUND(H200+J200+L200,5)</f>
        <v>16127</v>
      </c>
      <c r="O200" s="73">
        <f>ROUND(I200+K200+M200,5)</f>
        <v>20851</v>
      </c>
      <c r="P200" s="74">
        <f t="shared" ref="P200:Q259" si="110">N200/3</f>
        <v>5375.666666666667</v>
      </c>
      <c r="Q200" s="74">
        <f t="shared" si="110"/>
        <v>6950.333333333333</v>
      </c>
      <c r="R200" s="294"/>
      <c r="S200" s="49"/>
      <c r="T200" s="49"/>
      <c r="U200" s="49"/>
      <c r="V200" s="49"/>
      <c r="W200" s="49" t="s">
        <v>199</v>
      </c>
      <c r="X200" s="49"/>
      <c r="Y200" s="49"/>
      <c r="Z200" s="73">
        <v>7265</v>
      </c>
      <c r="AA200" s="280"/>
      <c r="AB200" s="73">
        <v>6980</v>
      </c>
      <c r="AC200" s="73">
        <v>6980</v>
      </c>
      <c r="AD200" s="73">
        <v>6980</v>
      </c>
      <c r="AE200" s="73">
        <v>6980</v>
      </c>
      <c r="AF200" s="73">
        <v>6980</v>
      </c>
      <c r="AG200" s="73">
        <v>6980</v>
      </c>
      <c r="AH200" s="73">
        <v>6980</v>
      </c>
      <c r="AI200" s="73">
        <v>6980</v>
      </c>
      <c r="AJ200" s="73">
        <v>6980</v>
      </c>
      <c r="AK200" s="73">
        <v>6980</v>
      </c>
      <c r="AM200" s="73">
        <v>6980</v>
      </c>
      <c r="AN200" s="182"/>
      <c r="AR200" s="171"/>
    </row>
    <row r="201" spans="1:45" x14ac:dyDescent="0.35">
      <c r="A201" s="66"/>
      <c r="B201" s="66"/>
      <c r="C201" s="49"/>
      <c r="D201" s="49" t="s">
        <v>200</v>
      </c>
      <c r="E201" s="49"/>
      <c r="F201" s="49"/>
      <c r="G201" s="49"/>
      <c r="H201" s="63">
        <f t="shared" ref="H201:M201" si="111">ROUND(SUM(H199:H200),5)</f>
        <v>5928</v>
      </c>
      <c r="I201" s="63">
        <f t="shared" si="111"/>
        <v>6321</v>
      </c>
      <c r="J201" s="64">
        <f t="shared" si="111"/>
        <v>4164</v>
      </c>
      <c r="K201" s="64">
        <f t="shared" si="111"/>
        <v>7265</v>
      </c>
      <c r="L201" s="65">
        <f t="shared" si="111"/>
        <v>6035</v>
      </c>
      <c r="M201" s="65">
        <f t="shared" si="111"/>
        <v>7265</v>
      </c>
      <c r="N201" s="66">
        <f>ROUND(H201+J201+L201,5)</f>
        <v>16127</v>
      </c>
      <c r="O201" s="66">
        <f>ROUND(I201+K201+M201,5)</f>
        <v>20851</v>
      </c>
      <c r="P201" s="69">
        <f t="shared" si="110"/>
        <v>5375.666666666667</v>
      </c>
      <c r="Q201" s="69">
        <f t="shared" si="110"/>
        <v>6950.333333333333</v>
      </c>
      <c r="R201" s="294"/>
      <c r="S201" s="49"/>
      <c r="T201" s="49"/>
      <c r="U201" s="49"/>
      <c r="V201" s="49" t="s">
        <v>200</v>
      </c>
      <c r="W201" s="49"/>
      <c r="X201" s="49"/>
      <c r="Y201" s="49"/>
      <c r="Z201" s="66">
        <f>ROUND(SUM(Z199:Z200),5)</f>
        <v>7265</v>
      </c>
      <c r="AA201" s="280"/>
      <c r="AB201" s="80">
        <f t="shared" ref="AB201:AK201" si="112">ROUND(SUM(AB199:AB200),5)</f>
        <v>6980</v>
      </c>
      <c r="AC201" s="80">
        <f t="shared" si="112"/>
        <v>6980</v>
      </c>
      <c r="AD201" s="80">
        <f t="shared" si="112"/>
        <v>6980</v>
      </c>
      <c r="AE201" s="80">
        <f t="shared" si="112"/>
        <v>6980</v>
      </c>
      <c r="AF201" s="80">
        <f t="shared" si="112"/>
        <v>6980</v>
      </c>
      <c r="AG201" s="80">
        <f t="shared" si="112"/>
        <v>6980</v>
      </c>
      <c r="AH201" s="80">
        <f t="shared" si="112"/>
        <v>6980</v>
      </c>
      <c r="AI201" s="80">
        <f t="shared" si="112"/>
        <v>6980</v>
      </c>
      <c r="AJ201" s="80">
        <f t="shared" si="112"/>
        <v>6980</v>
      </c>
      <c r="AK201" s="266">
        <f t="shared" si="112"/>
        <v>6980</v>
      </c>
      <c r="AM201" s="270">
        <f t="shared" ref="AM201" si="113">ROUND(SUM(AM199:AM200),5)</f>
        <v>6980</v>
      </c>
      <c r="AN201" s="182"/>
      <c r="AR201" s="111"/>
    </row>
    <row r="202" spans="1:45" x14ac:dyDescent="0.35">
      <c r="A202" s="66"/>
      <c r="B202" s="66"/>
      <c r="C202" s="49"/>
      <c r="D202" s="49" t="s">
        <v>201</v>
      </c>
      <c r="E202" s="49"/>
      <c r="F202" s="49"/>
      <c r="G202" s="49"/>
      <c r="H202" s="63"/>
      <c r="I202" s="63"/>
      <c r="J202" s="64"/>
      <c r="K202" s="64"/>
      <c r="L202" s="65"/>
      <c r="M202" s="65"/>
      <c r="N202" s="66"/>
      <c r="O202" s="66"/>
      <c r="P202" s="69"/>
      <c r="Q202" s="69"/>
      <c r="R202" s="294"/>
      <c r="S202" s="49"/>
      <c r="T202" s="49"/>
      <c r="U202" s="49"/>
      <c r="V202" s="49" t="s">
        <v>201</v>
      </c>
      <c r="W202" s="49"/>
      <c r="X202" s="49"/>
      <c r="Y202" s="49"/>
      <c r="Z202" s="66"/>
      <c r="AA202" s="280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M202" s="66"/>
      <c r="AR202" s="111"/>
    </row>
    <row r="203" spans="1:45" x14ac:dyDescent="0.35">
      <c r="A203" s="66"/>
      <c r="B203" s="66"/>
      <c r="C203" s="49"/>
      <c r="D203" s="49"/>
      <c r="E203" s="49" t="s">
        <v>202</v>
      </c>
      <c r="F203" s="49"/>
      <c r="G203" s="49"/>
      <c r="H203" s="63">
        <v>7399.96</v>
      </c>
      <c r="I203" s="63">
        <v>7400</v>
      </c>
      <c r="J203" s="64">
        <v>2400</v>
      </c>
      <c r="K203" s="64">
        <v>2400</v>
      </c>
      <c r="L203" s="65">
        <v>2400</v>
      </c>
      <c r="M203" s="65">
        <v>2400</v>
      </c>
      <c r="N203" s="66">
        <f>ROUND(H203+J203+L203,5)</f>
        <v>12199.96</v>
      </c>
      <c r="O203" s="66">
        <f>ROUND(I203+K203+M203,5)</f>
        <v>12200</v>
      </c>
      <c r="P203" s="69">
        <f t="shared" si="110"/>
        <v>4066.6533333333332</v>
      </c>
      <c r="Q203" s="69">
        <f t="shared" si="110"/>
        <v>4066.6666666666665</v>
      </c>
      <c r="R203" s="294"/>
      <c r="S203" s="49"/>
      <c r="T203" s="49"/>
      <c r="U203" s="49"/>
      <c r="V203" s="49"/>
      <c r="W203" s="49" t="s">
        <v>202</v>
      </c>
      <c r="X203" s="49"/>
      <c r="Y203" s="49"/>
      <c r="Z203" s="66">
        <v>2400</v>
      </c>
      <c r="AA203" s="280"/>
      <c r="AB203" s="66">
        <v>2400</v>
      </c>
      <c r="AC203" s="66">
        <v>2400</v>
      </c>
      <c r="AD203" s="66">
        <v>2400</v>
      </c>
      <c r="AE203" s="66">
        <v>2400</v>
      </c>
      <c r="AF203" s="66">
        <v>2400</v>
      </c>
      <c r="AG203" s="66">
        <v>2400</v>
      </c>
      <c r="AH203" s="66">
        <v>2400</v>
      </c>
      <c r="AI203" s="66">
        <v>2400</v>
      </c>
      <c r="AJ203" s="66">
        <v>2400</v>
      </c>
      <c r="AK203" s="66">
        <v>2400</v>
      </c>
      <c r="AM203" s="66">
        <v>2400</v>
      </c>
      <c r="AR203" s="111"/>
    </row>
    <row r="204" spans="1:45" x14ac:dyDescent="0.35">
      <c r="A204" s="66"/>
      <c r="B204" s="66"/>
      <c r="C204" s="49"/>
      <c r="D204" s="49"/>
      <c r="E204" s="49" t="s">
        <v>203</v>
      </c>
      <c r="F204" s="49"/>
      <c r="G204" s="49"/>
      <c r="H204" s="63">
        <v>2000</v>
      </c>
      <c r="I204" s="63">
        <v>0</v>
      </c>
      <c r="J204" s="64">
        <v>0</v>
      </c>
      <c r="K204" s="64">
        <v>0</v>
      </c>
      <c r="L204" s="65">
        <v>0</v>
      </c>
      <c r="M204" s="65">
        <v>0</v>
      </c>
      <c r="N204" s="66">
        <f>ROUND(H204+J204+L204,5)</f>
        <v>2000</v>
      </c>
      <c r="O204" s="66">
        <v>0</v>
      </c>
      <c r="P204" s="69">
        <f t="shared" si="110"/>
        <v>666.66666666666663</v>
      </c>
      <c r="Q204" s="69">
        <f t="shared" si="110"/>
        <v>0</v>
      </c>
      <c r="R204" s="294"/>
      <c r="S204" s="49"/>
      <c r="T204" s="49"/>
      <c r="U204" s="49"/>
      <c r="V204" s="49"/>
      <c r="W204" s="49" t="s">
        <v>203</v>
      </c>
      <c r="X204" s="49"/>
      <c r="Y204" s="49"/>
      <c r="Z204" s="66">
        <v>0</v>
      </c>
      <c r="AA204" s="280"/>
      <c r="AB204" s="66">
        <v>0</v>
      </c>
      <c r="AC204" s="66">
        <v>0</v>
      </c>
      <c r="AD204" s="66">
        <v>0</v>
      </c>
      <c r="AE204" s="66">
        <v>0</v>
      </c>
      <c r="AF204" s="66">
        <v>0</v>
      </c>
      <c r="AG204" s="66">
        <v>0</v>
      </c>
      <c r="AH204" s="66">
        <v>0</v>
      </c>
      <c r="AI204" s="66">
        <v>0</v>
      </c>
      <c r="AJ204" s="66">
        <v>0</v>
      </c>
      <c r="AK204" s="66">
        <v>0</v>
      </c>
      <c r="AM204" s="66">
        <v>0</v>
      </c>
      <c r="AR204" s="111"/>
    </row>
    <row r="205" spans="1:45" x14ac:dyDescent="0.35">
      <c r="A205" s="66"/>
      <c r="B205" s="66"/>
      <c r="C205" s="49"/>
      <c r="D205" s="49"/>
      <c r="E205" s="49" t="s">
        <v>204</v>
      </c>
      <c r="F205" s="49"/>
      <c r="G205" s="49"/>
      <c r="H205" s="63">
        <v>480</v>
      </c>
      <c r="I205" s="63">
        <v>450</v>
      </c>
      <c r="J205" s="64">
        <v>300</v>
      </c>
      <c r="K205" s="64">
        <v>240</v>
      </c>
      <c r="L205" s="65">
        <v>210</v>
      </c>
      <c r="M205" s="65">
        <v>240</v>
      </c>
      <c r="N205" s="66">
        <f>ROUND(H205+J205+L205,5)</f>
        <v>990</v>
      </c>
      <c r="O205" s="66">
        <f>ROUND(I205+K205+M205,5)</f>
        <v>930</v>
      </c>
      <c r="P205" s="69">
        <f t="shared" si="110"/>
        <v>330</v>
      </c>
      <c r="Q205" s="69">
        <f t="shared" si="110"/>
        <v>310</v>
      </c>
      <c r="R205" s="294"/>
      <c r="S205" s="49"/>
      <c r="T205" s="49"/>
      <c r="U205" s="49"/>
      <c r="V205" s="49"/>
      <c r="W205" s="49" t="s">
        <v>204</v>
      </c>
      <c r="X205" s="49"/>
      <c r="Y205" s="49"/>
      <c r="Z205" s="66">
        <v>300</v>
      </c>
      <c r="AA205" s="280"/>
      <c r="AB205" s="66">
        <v>210</v>
      </c>
      <c r="AC205" s="66">
        <v>210</v>
      </c>
      <c r="AD205" s="66">
        <v>210</v>
      </c>
      <c r="AE205" s="66">
        <v>210</v>
      </c>
      <c r="AF205" s="66">
        <v>210</v>
      </c>
      <c r="AG205" s="66">
        <v>210</v>
      </c>
      <c r="AH205" s="66">
        <v>210</v>
      </c>
      <c r="AI205" s="66">
        <v>210</v>
      </c>
      <c r="AJ205" s="66">
        <v>210</v>
      </c>
      <c r="AK205" s="66">
        <v>210</v>
      </c>
      <c r="AM205" s="66">
        <v>210</v>
      </c>
      <c r="AR205" s="111">
        <f ca="1">SUM(AR199:AR209)</f>
        <v>0</v>
      </c>
    </row>
    <row r="206" spans="1:45" ht="16" thickBot="1" x14ac:dyDescent="0.4">
      <c r="A206" s="66"/>
      <c r="B206" s="66"/>
      <c r="C206" s="49"/>
      <c r="D206" s="49"/>
      <c r="E206" s="49" t="s">
        <v>205</v>
      </c>
      <c r="F206" s="49"/>
      <c r="G206" s="49"/>
      <c r="H206" s="63">
        <v>12869.66</v>
      </c>
      <c r="I206" s="63">
        <v>100</v>
      </c>
      <c r="J206" s="64">
        <v>7519.52</v>
      </c>
      <c r="K206" s="64">
        <v>200</v>
      </c>
      <c r="L206" s="65">
        <v>14806.43</v>
      </c>
      <c r="M206" s="65">
        <v>67245</v>
      </c>
      <c r="N206" s="66">
        <f>ROUND(H206+J206+L206,5)</f>
        <v>35195.61</v>
      </c>
      <c r="O206" s="66">
        <f>ROUND(I206+K206+M206,5)</f>
        <v>67545</v>
      </c>
      <c r="P206" s="69">
        <f t="shared" si="110"/>
        <v>11731.87</v>
      </c>
      <c r="Q206" s="69">
        <f t="shared" si="110"/>
        <v>22515</v>
      </c>
      <c r="R206" s="294"/>
      <c r="S206" s="49"/>
      <c r="T206" s="49"/>
      <c r="U206" s="49"/>
      <c r="V206" s="49"/>
      <c r="W206" s="49" t="s">
        <v>205</v>
      </c>
      <c r="X206" s="49"/>
      <c r="Y206" s="49"/>
      <c r="Z206" s="66">
        <v>10000</v>
      </c>
      <c r="AA206" s="280"/>
      <c r="AB206" s="66">
        <v>10000</v>
      </c>
      <c r="AC206" s="66">
        <v>10000</v>
      </c>
      <c r="AD206" s="66">
        <v>10000</v>
      </c>
      <c r="AE206" s="66">
        <v>10000</v>
      </c>
      <c r="AF206" s="66">
        <v>10000</v>
      </c>
      <c r="AG206" s="66">
        <v>10000</v>
      </c>
      <c r="AH206" s="66">
        <v>10000</v>
      </c>
      <c r="AI206" s="66">
        <v>10000</v>
      </c>
      <c r="AJ206" s="66">
        <v>10000</v>
      </c>
      <c r="AK206" s="66">
        <v>10000</v>
      </c>
      <c r="AM206" s="66">
        <v>10000</v>
      </c>
      <c r="AR206" s="111"/>
    </row>
    <row r="207" spans="1:45" x14ac:dyDescent="0.35">
      <c r="A207" s="66"/>
      <c r="B207" s="66"/>
      <c r="C207" s="49"/>
      <c r="D207" s="49" t="s">
        <v>206</v>
      </c>
      <c r="E207" s="49"/>
      <c r="F207" s="49"/>
      <c r="G207" s="49"/>
      <c r="H207" s="75">
        <f t="shared" ref="H207:M207" si="114">ROUND(SUM(H202:H206),5)</f>
        <v>22749.62</v>
      </c>
      <c r="I207" s="75">
        <f t="shared" si="114"/>
        <v>7950</v>
      </c>
      <c r="J207" s="76">
        <f t="shared" si="114"/>
        <v>10219.52</v>
      </c>
      <c r="K207" s="76">
        <f t="shared" si="114"/>
        <v>2840</v>
      </c>
      <c r="L207" s="77">
        <f t="shared" si="114"/>
        <v>17416.43</v>
      </c>
      <c r="M207" s="77">
        <f t="shared" si="114"/>
        <v>69885</v>
      </c>
      <c r="N207" s="78">
        <f>ROUND(H207+J207+L207,5)</f>
        <v>50385.57</v>
      </c>
      <c r="O207" s="78">
        <f>ROUND(I207+K207+M207,5)</f>
        <v>80675</v>
      </c>
      <c r="P207" s="79">
        <f t="shared" si="110"/>
        <v>16795.189999999999</v>
      </c>
      <c r="Q207" s="79">
        <f t="shared" si="110"/>
        <v>26891.666666666668</v>
      </c>
      <c r="R207" s="294"/>
      <c r="S207" s="49"/>
      <c r="T207" s="49"/>
      <c r="U207" s="49"/>
      <c r="V207" s="49" t="s">
        <v>206</v>
      </c>
      <c r="W207" s="49"/>
      <c r="X207" s="49"/>
      <c r="Y207" s="49"/>
      <c r="Z207" s="78">
        <f>ROUND(SUM(Z202:Z206),5)</f>
        <v>12700</v>
      </c>
      <c r="AA207" s="280"/>
      <c r="AB207" s="80">
        <f t="shared" ref="AB207:AK207" si="115">ROUND(SUM(AB202:AB206),5)</f>
        <v>12610</v>
      </c>
      <c r="AC207" s="80">
        <f t="shared" si="115"/>
        <v>12610</v>
      </c>
      <c r="AD207" s="80">
        <f t="shared" si="115"/>
        <v>12610</v>
      </c>
      <c r="AE207" s="80">
        <f t="shared" si="115"/>
        <v>12610</v>
      </c>
      <c r="AF207" s="80">
        <f t="shared" si="115"/>
        <v>12610</v>
      </c>
      <c r="AG207" s="80">
        <f t="shared" si="115"/>
        <v>12610</v>
      </c>
      <c r="AH207" s="80">
        <f t="shared" si="115"/>
        <v>12610</v>
      </c>
      <c r="AI207" s="80">
        <f t="shared" si="115"/>
        <v>12610</v>
      </c>
      <c r="AJ207" s="80">
        <f t="shared" si="115"/>
        <v>12610</v>
      </c>
      <c r="AK207" s="266">
        <f t="shared" si="115"/>
        <v>12610</v>
      </c>
      <c r="AM207" s="270">
        <f t="shared" ref="AM207" si="116">ROUND(SUM(AM202:AM206),5)</f>
        <v>12610</v>
      </c>
      <c r="AR207" s="111"/>
    </row>
    <row r="208" spans="1:45" x14ac:dyDescent="0.35">
      <c r="A208" s="66"/>
      <c r="B208" s="66"/>
      <c r="C208" s="49"/>
      <c r="D208" s="49" t="s">
        <v>207</v>
      </c>
      <c r="E208" s="49"/>
      <c r="F208" s="49"/>
      <c r="G208" s="49"/>
      <c r="H208" s="63"/>
      <c r="I208" s="63"/>
      <c r="J208" s="64"/>
      <c r="K208" s="64"/>
      <c r="L208" s="65"/>
      <c r="M208" s="65"/>
      <c r="N208" s="66"/>
      <c r="O208" s="66"/>
      <c r="P208" s="69"/>
      <c r="Q208" s="69"/>
      <c r="R208" s="294"/>
      <c r="S208" s="49"/>
      <c r="T208" s="49"/>
      <c r="U208" s="49"/>
      <c r="V208" s="49" t="s">
        <v>207</v>
      </c>
      <c r="W208" s="49"/>
      <c r="X208" s="49"/>
      <c r="Y208" s="49"/>
      <c r="Z208" s="66"/>
      <c r="AA208" s="280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M208" s="66"/>
      <c r="AR208" s="111"/>
    </row>
    <row r="209" spans="1:44" x14ac:dyDescent="0.35">
      <c r="A209" s="66"/>
      <c r="B209" s="66"/>
      <c r="C209" s="49"/>
      <c r="D209" s="49"/>
      <c r="E209" s="49" t="s">
        <v>208</v>
      </c>
      <c r="F209" s="49"/>
      <c r="G209" s="49"/>
      <c r="H209" s="63"/>
      <c r="I209" s="63"/>
      <c r="J209" s="64"/>
      <c r="K209" s="64"/>
      <c r="L209" s="65"/>
      <c r="M209" s="65"/>
      <c r="N209" s="66"/>
      <c r="O209" s="66"/>
      <c r="P209" s="69"/>
      <c r="Q209" s="69"/>
      <c r="R209" s="294"/>
      <c r="S209" s="49"/>
      <c r="T209" s="49"/>
      <c r="U209" s="49"/>
      <c r="V209" s="49"/>
      <c r="W209" s="49" t="s">
        <v>208</v>
      </c>
      <c r="X209" s="49"/>
      <c r="Y209" s="49"/>
      <c r="Z209" s="66"/>
      <c r="AA209" s="280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M209" s="66"/>
      <c r="AR209" s="111"/>
    </row>
    <row r="210" spans="1:44" x14ac:dyDescent="0.35">
      <c r="A210" s="66"/>
      <c r="B210" s="66"/>
      <c r="C210" s="49"/>
      <c r="D210" s="49"/>
      <c r="E210" s="49"/>
      <c r="F210" s="49" t="s">
        <v>209</v>
      </c>
      <c r="G210" s="49"/>
      <c r="H210" s="63">
        <v>6766</v>
      </c>
      <c r="I210" s="63">
        <v>7000</v>
      </c>
      <c r="J210" s="64">
        <v>1105</v>
      </c>
      <c r="K210" s="64">
        <v>7000</v>
      </c>
      <c r="L210" s="65">
        <v>5432</v>
      </c>
      <c r="M210" s="65">
        <v>7000</v>
      </c>
      <c r="N210" s="66">
        <f>ROUND(H210+J210+L210,5)</f>
        <v>13303</v>
      </c>
      <c r="O210" s="66">
        <f>ROUND(I210+K210+M210,5)</f>
        <v>21000</v>
      </c>
      <c r="P210" s="69">
        <f t="shared" si="110"/>
        <v>4434.333333333333</v>
      </c>
      <c r="Q210" s="69">
        <f t="shared" si="110"/>
        <v>7000</v>
      </c>
      <c r="R210" s="294"/>
      <c r="S210" s="49"/>
      <c r="T210" s="49"/>
      <c r="U210" s="49"/>
      <c r="V210" s="49"/>
      <c r="W210" s="49"/>
      <c r="X210" s="49" t="s">
        <v>209</v>
      </c>
      <c r="Y210" s="49"/>
      <c r="Z210" s="66">
        <v>1500</v>
      </c>
      <c r="AA210" s="280"/>
      <c r="AB210" s="66">
        <v>1500</v>
      </c>
      <c r="AC210" s="66">
        <v>1500</v>
      </c>
      <c r="AD210" s="66">
        <v>1500</v>
      </c>
      <c r="AE210" s="66">
        <v>1500</v>
      </c>
      <c r="AF210" s="66">
        <v>1500</v>
      </c>
      <c r="AG210" s="66">
        <v>1500</v>
      </c>
      <c r="AH210" s="66">
        <v>1500</v>
      </c>
      <c r="AI210" s="66">
        <v>1500</v>
      </c>
      <c r="AJ210" s="66">
        <v>1500</v>
      </c>
      <c r="AK210" s="66">
        <v>1500</v>
      </c>
      <c r="AM210" s="66">
        <v>1500</v>
      </c>
      <c r="AN210" s="221" t="s">
        <v>901</v>
      </c>
    </row>
    <row r="211" spans="1:44" x14ac:dyDescent="0.35">
      <c r="A211" s="66"/>
      <c r="B211" s="66"/>
      <c r="C211" s="49"/>
      <c r="D211" s="49"/>
      <c r="E211" s="49"/>
      <c r="F211" s="49" t="s">
        <v>210</v>
      </c>
      <c r="G211" s="49"/>
      <c r="H211" s="63">
        <v>77250</v>
      </c>
      <c r="I211" s="63">
        <v>64000</v>
      </c>
      <c r="J211" s="64">
        <v>84000</v>
      </c>
      <c r="K211" s="64">
        <v>87000</v>
      </c>
      <c r="L211" s="65">
        <v>75500</v>
      </c>
      <c r="M211" s="65">
        <v>82000</v>
      </c>
      <c r="N211" s="66">
        <f>ROUND(H211+J211+L211,5)</f>
        <v>236750</v>
      </c>
      <c r="O211" s="66">
        <f>ROUND(I211+K211+M211,5)</f>
        <v>233000</v>
      </c>
      <c r="P211" s="69">
        <f t="shared" si="110"/>
        <v>78916.666666666672</v>
      </c>
      <c r="Q211" s="69">
        <f t="shared" si="110"/>
        <v>77666.666666666672</v>
      </c>
      <c r="R211" s="294"/>
      <c r="S211" s="49"/>
      <c r="T211" s="49"/>
      <c r="U211" s="49"/>
      <c r="V211" s="49"/>
      <c r="W211" s="49"/>
      <c r="X211" s="49" t="s">
        <v>210</v>
      </c>
      <c r="Y211" s="49"/>
      <c r="Z211" s="66">
        <v>87000</v>
      </c>
      <c r="AA211" s="280"/>
      <c r="AB211" s="66">
        <v>77000</v>
      </c>
      <c r="AC211" s="66">
        <v>77000</v>
      </c>
      <c r="AD211" s="66">
        <v>77000</v>
      </c>
      <c r="AE211" s="66">
        <v>77000</v>
      </c>
      <c r="AF211" s="66">
        <v>77000</v>
      </c>
      <c r="AG211" s="66">
        <v>77000</v>
      </c>
      <c r="AH211" s="66">
        <v>77000</v>
      </c>
      <c r="AI211" s="66">
        <v>77000</v>
      </c>
      <c r="AJ211" s="66">
        <v>77000</v>
      </c>
      <c r="AK211" s="66">
        <v>77000</v>
      </c>
      <c r="AM211" s="66">
        <v>77000</v>
      </c>
      <c r="AN211" s="221" t="s">
        <v>854</v>
      </c>
      <c r="AR211" s="111"/>
    </row>
    <row r="212" spans="1:44" x14ac:dyDescent="0.35">
      <c r="A212" s="66"/>
      <c r="B212" s="66"/>
      <c r="C212" s="49"/>
      <c r="D212" s="49"/>
      <c r="E212" s="49"/>
      <c r="F212" s="49" t="s">
        <v>211</v>
      </c>
      <c r="G212" s="49"/>
      <c r="H212" s="63">
        <v>0</v>
      </c>
      <c r="I212" s="63">
        <v>0</v>
      </c>
      <c r="J212" s="64">
        <v>3520</v>
      </c>
      <c r="K212" s="64">
        <v>0</v>
      </c>
      <c r="L212" s="65">
        <v>20</v>
      </c>
      <c r="M212" s="65">
        <v>0</v>
      </c>
      <c r="N212" s="66">
        <f>ROUND(H212+J212+L212,5)</f>
        <v>3540</v>
      </c>
      <c r="O212" s="66">
        <v>0</v>
      </c>
      <c r="P212" s="69">
        <f t="shared" si="110"/>
        <v>1180</v>
      </c>
      <c r="Q212" s="69">
        <f t="shared" si="110"/>
        <v>0</v>
      </c>
      <c r="R212" s="294"/>
      <c r="S212" s="49"/>
      <c r="T212" s="49"/>
      <c r="U212" s="49"/>
      <c r="V212" s="49"/>
      <c r="W212" s="49"/>
      <c r="X212" s="49" t="s">
        <v>211</v>
      </c>
      <c r="Y212" s="49"/>
      <c r="Z212" s="66">
        <v>0</v>
      </c>
      <c r="AA212" s="280"/>
      <c r="AB212" s="66">
        <v>0</v>
      </c>
      <c r="AC212" s="66">
        <v>0</v>
      </c>
      <c r="AD212" s="66">
        <v>0</v>
      </c>
      <c r="AE212" s="66">
        <v>0</v>
      </c>
      <c r="AF212" s="66">
        <v>0</v>
      </c>
      <c r="AG212" s="66">
        <v>0</v>
      </c>
      <c r="AH212" s="66">
        <v>0</v>
      </c>
      <c r="AI212" s="66">
        <v>0</v>
      </c>
      <c r="AJ212" s="66">
        <v>0</v>
      </c>
      <c r="AK212" s="66">
        <v>0</v>
      </c>
      <c r="AM212" s="66">
        <v>0</v>
      </c>
      <c r="AR212" s="111"/>
    </row>
    <row r="213" spans="1:44" ht="16" thickBot="1" x14ac:dyDescent="0.4">
      <c r="A213" s="66"/>
      <c r="B213" s="66"/>
      <c r="C213" s="49"/>
      <c r="D213" s="49"/>
      <c r="E213" s="49"/>
      <c r="F213" s="49" t="s">
        <v>212</v>
      </c>
      <c r="G213" s="49"/>
      <c r="H213" s="63">
        <v>684150</v>
      </c>
      <c r="I213" s="63">
        <v>575650</v>
      </c>
      <c r="J213" s="64">
        <v>767200</v>
      </c>
      <c r="K213" s="64">
        <v>710875</v>
      </c>
      <c r="L213" s="65">
        <v>725738</v>
      </c>
      <c r="M213" s="65">
        <v>647875</v>
      </c>
      <c r="N213" s="66">
        <f>ROUND(H213+J213+L213,5)</f>
        <v>2177088</v>
      </c>
      <c r="O213" s="66">
        <f>ROUND(I213+K213+M213,5)</f>
        <v>1934400</v>
      </c>
      <c r="P213" s="69">
        <f t="shared" si="110"/>
        <v>725696</v>
      </c>
      <c r="Q213" s="69">
        <f t="shared" si="110"/>
        <v>644800</v>
      </c>
      <c r="R213" s="294"/>
      <c r="S213" s="49"/>
      <c r="T213" s="49"/>
      <c r="U213" s="49"/>
      <c r="V213" s="49"/>
      <c r="W213" s="49"/>
      <c r="X213" s="49" t="s">
        <v>212</v>
      </c>
      <c r="Y213" s="49"/>
      <c r="Z213" s="66">
        <v>679825</v>
      </c>
      <c r="AA213" s="280"/>
      <c r="AB213" s="66">
        <v>644500</v>
      </c>
      <c r="AC213" s="66">
        <v>644500</v>
      </c>
      <c r="AD213" s="66">
        <v>644500</v>
      </c>
      <c r="AE213" s="66">
        <v>644500</v>
      </c>
      <c r="AF213" s="66">
        <v>644500</v>
      </c>
      <c r="AG213" s="66">
        <v>644500</v>
      </c>
      <c r="AH213" s="66">
        <v>644500</v>
      </c>
      <c r="AI213" s="66">
        <v>644500</v>
      </c>
      <c r="AJ213" s="66">
        <v>644500</v>
      </c>
      <c r="AK213" s="66">
        <v>644500</v>
      </c>
      <c r="AM213" s="66">
        <v>644500</v>
      </c>
      <c r="AN213" s="309" t="s">
        <v>853</v>
      </c>
    </row>
    <row r="214" spans="1:44" ht="16" thickBot="1" x14ac:dyDescent="0.4">
      <c r="A214" s="66"/>
      <c r="B214" s="66"/>
      <c r="C214" s="49"/>
      <c r="D214" s="49"/>
      <c r="E214" s="49"/>
      <c r="F214" s="49" t="s">
        <v>213</v>
      </c>
      <c r="G214" s="49"/>
      <c r="H214" s="63">
        <v>116000</v>
      </c>
      <c r="I214" s="63">
        <v>141650</v>
      </c>
      <c r="J214" s="64">
        <v>112400</v>
      </c>
      <c r="K214" s="64">
        <v>161500</v>
      </c>
      <c r="L214" s="65">
        <v>116000</v>
      </c>
      <c r="M214" s="65">
        <v>161500</v>
      </c>
      <c r="N214" s="66">
        <f>ROUND(H214+J214+L214,5)</f>
        <v>344400</v>
      </c>
      <c r="O214" s="66">
        <f>ROUND(I214+K214+M214,5)</f>
        <v>464650</v>
      </c>
      <c r="P214" s="69">
        <f t="shared" si="110"/>
        <v>114800</v>
      </c>
      <c r="Q214" s="69">
        <f t="shared" si="110"/>
        <v>154883.33333333334</v>
      </c>
      <c r="R214" s="294"/>
      <c r="S214" s="49"/>
      <c r="T214" s="49"/>
      <c r="U214" s="49"/>
      <c r="V214" s="49"/>
      <c r="W214" s="49"/>
      <c r="X214" s="49" t="s">
        <v>213</v>
      </c>
      <c r="Y214" s="49"/>
      <c r="Z214" s="66">
        <v>153000</v>
      </c>
      <c r="AA214" s="280"/>
      <c r="AB214" s="66">
        <v>153000</v>
      </c>
      <c r="AC214" s="66">
        <v>153000</v>
      </c>
      <c r="AD214" s="66">
        <v>153000</v>
      </c>
      <c r="AE214" s="66">
        <v>153000</v>
      </c>
      <c r="AF214" s="66">
        <v>153000</v>
      </c>
      <c r="AG214" s="66">
        <v>153000</v>
      </c>
      <c r="AH214" s="66">
        <v>153000</v>
      </c>
      <c r="AI214" s="66">
        <v>153000</v>
      </c>
      <c r="AJ214" s="66">
        <v>153000</v>
      </c>
      <c r="AK214" s="66">
        <v>153000</v>
      </c>
      <c r="AM214" s="66">
        <v>153000</v>
      </c>
      <c r="AN214" s="310" t="s">
        <v>855</v>
      </c>
    </row>
    <row r="215" spans="1:44" ht="16" thickBot="1" x14ac:dyDescent="0.4">
      <c r="A215" s="66"/>
      <c r="B215" s="66"/>
      <c r="C215" s="49"/>
      <c r="D215" s="49"/>
      <c r="E215" s="49" t="s">
        <v>214</v>
      </c>
      <c r="F215" s="49"/>
      <c r="G215" s="49"/>
      <c r="H215" s="75">
        <f t="shared" ref="H215:M215" si="117">ROUND(SUM(H209:H214),5)</f>
        <v>884166</v>
      </c>
      <c r="I215" s="75">
        <f t="shared" si="117"/>
        <v>788300</v>
      </c>
      <c r="J215" s="76">
        <f t="shared" si="117"/>
        <v>968225</v>
      </c>
      <c r="K215" s="76">
        <f t="shared" si="117"/>
        <v>966375</v>
      </c>
      <c r="L215" s="77">
        <f t="shared" si="117"/>
        <v>922690</v>
      </c>
      <c r="M215" s="77">
        <f t="shared" si="117"/>
        <v>898375</v>
      </c>
      <c r="N215" s="78">
        <f>ROUND(H215+J215+L215,5)</f>
        <v>2775081</v>
      </c>
      <c r="O215" s="78">
        <f>ROUND(I215+K215+M215,5)</f>
        <v>2653050</v>
      </c>
      <c r="P215" s="79">
        <f t="shared" si="110"/>
        <v>925027</v>
      </c>
      <c r="Q215" s="79">
        <f t="shared" si="110"/>
        <v>884350</v>
      </c>
      <c r="R215" s="294"/>
      <c r="S215" s="49"/>
      <c r="T215" s="49"/>
      <c r="U215" s="49"/>
      <c r="V215" s="49"/>
      <c r="W215" s="49" t="s">
        <v>214</v>
      </c>
      <c r="X215" s="49"/>
      <c r="Y215" s="49"/>
      <c r="Z215" s="78">
        <f>ROUND(SUM(Z209:Z214),5)</f>
        <v>921325</v>
      </c>
      <c r="AA215" s="280"/>
      <c r="AB215" s="80">
        <f t="shared" ref="AB215:AK215" si="118">ROUND(SUM(AB209:AB214),5)</f>
        <v>876000</v>
      </c>
      <c r="AC215" s="80">
        <f t="shared" si="118"/>
        <v>876000</v>
      </c>
      <c r="AD215" s="80">
        <f t="shared" si="118"/>
        <v>876000</v>
      </c>
      <c r="AE215" s="80">
        <f t="shared" si="118"/>
        <v>876000</v>
      </c>
      <c r="AF215" s="80">
        <f t="shared" si="118"/>
        <v>876000</v>
      </c>
      <c r="AG215" s="80">
        <f t="shared" si="118"/>
        <v>876000</v>
      </c>
      <c r="AH215" s="80">
        <f t="shared" si="118"/>
        <v>876000</v>
      </c>
      <c r="AI215" s="80">
        <f t="shared" si="118"/>
        <v>876000</v>
      </c>
      <c r="AJ215" s="80">
        <f t="shared" si="118"/>
        <v>876000</v>
      </c>
      <c r="AK215" s="266">
        <f t="shared" si="118"/>
        <v>876000</v>
      </c>
      <c r="AM215" s="270">
        <f t="shared" ref="AM215" si="119">ROUND(SUM(AM209:AM214),5)</f>
        <v>876000</v>
      </c>
      <c r="AN215" s="312" t="s">
        <v>952</v>
      </c>
    </row>
    <row r="216" spans="1:44" ht="16" thickBot="1" x14ac:dyDescent="0.4">
      <c r="A216" s="66"/>
      <c r="B216" s="66"/>
      <c r="C216" s="49"/>
      <c r="D216" s="49"/>
      <c r="E216" s="49" t="s">
        <v>215</v>
      </c>
      <c r="F216" s="49"/>
      <c r="G216" s="49"/>
      <c r="H216" s="63"/>
      <c r="I216" s="63"/>
      <c r="J216" s="64"/>
      <c r="K216" s="64"/>
      <c r="L216" s="65"/>
      <c r="M216" s="65"/>
      <c r="N216" s="66"/>
      <c r="O216" s="66"/>
      <c r="P216" s="69"/>
      <c r="Q216" s="69"/>
      <c r="R216" s="294"/>
      <c r="S216" s="49"/>
      <c r="T216" s="49"/>
      <c r="U216" s="49"/>
      <c r="V216" s="49"/>
      <c r="W216" s="49" t="s">
        <v>215</v>
      </c>
      <c r="X216" s="49"/>
      <c r="Y216" s="49"/>
      <c r="Z216" s="66"/>
      <c r="AA216" s="280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M216" s="66"/>
      <c r="AN216" s="307">
        <f>AN424</f>
        <v>1276</v>
      </c>
    </row>
    <row r="217" spans="1:44" ht="16" thickBot="1" x14ac:dyDescent="0.4">
      <c r="A217" s="66"/>
      <c r="B217" s="66"/>
      <c r="C217" s="49"/>
      <c r="D217" s="49"/>
      <c r="E217" s="49"/>
      <c r="F217" s="49" t="s">
        <v>216</v>
      </c>
      <c r="G217" s="49"/>
      <c r="H217" s="63">
        <v>0</v>
      </c>
      <c r="I217" s="63">
        <v>0</v>
      </c>
      <c r="J217" s="64">
        <v>13735</v>
      </c>
      <c r="K217" s="64">
        <v>0</v>
      </c>
      <c r="L217" s="65">
        <v>0</v>
      </c>
      <c r="M217" s="65">
        <v>0</v>
      </c>
      <c r="N217" s="66">
        <f>ROUND(H217+J217+L217,5)</f>
        <v>13735</v>
      </c>
      <c r="O217" s="66">
        <v>0</v>
      </c>
      <c r="P217" s="69">
        <f t="shared" si="110"/>
        <v>4578.333333333333</v>
      </c>
      <c r="Q217" s="69">
        <f t="shared" si="110"/>
        <v>0</v>
      </c>
      <c r="R217" s="294"/>
      <c r="S217" s="49"/>
      <c r="T217" s="49"/>
      <c r="U217" s="49"/>
      <c r="V217" s="49"/>
      <c r="W217" s="49"/>
      <c r="X217" s="49" t="s">
        <v>216</v>
      </c>
      <c r="Y217" s="49"/>
      <c r="Z217" s="66">
        <v>0</v>
      </c>
      <c r="AA217" s="280"/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33750</v>
      </c>
      <c r="AH217" s="66">
        <v>33750</v>
      </c>
      <c r="AI217" s="66">
        <v>33750</v>
      </c>
      <c r="AJ217" s="66">
        <v>33750</v>
      </c>
      <c r="AK217" s="66">
        <v>33750</v>
      </c>
      <c r="AM217" s="66">
        <v>33750</v>
      </c>
      <c r="AN217" s="313" t="s">
        <v>975</v>
      </c>
    </row>
    <row r="218" spans="1:44" ht="16" thickBot="1" x14ac:dyDescent="0.4">
      <c r="A218" s="66"/>
      <c r="B218" s="66"/>
      <c r="C218" s="49"/>
      <c r="D218" s="49"/>
      <c r="E218" s="49" t="s">
        <v>217</v>
      </c>
      <c r="F218" s="49"/>
      <c r="G218" s="49"/>
      <c r="H218" s="75">
        <f>ROUND(SUM(H216:H217),5)</f>
        <v>0</v>
      </c>
      <c r="I218" s="75"/>
      <c r="J218" s="76">
        <f>ROUND(SUM(J216:J217),5)</f>
        <v>13735</v>
      </c>
      <c r="K218" s="76"/>
      <c r="L218" s="77">
        <f>ROUND(SUM(L216:L217),5)</f>
        <v>0</v>
      </c>
      <c r="M218" s="77"/>
      <c r="N218" s="78">
        <f>ROUND(H218+J218+L218,5)</f>
        <v>13735</v>
      </c>
      <c r="O218" s="78"/>
      <c r="P218" s="79">
        <f t="shared" si="110"/>
        <v>4578.333333333333</v>
      </c>
      <c r="Q218" s="79">
        <f t="shared" si="110"/>
        <v>0</v>
      </c>
      <c r="R218" s="294"/>
      <c r="S218" s="49"/>
      <c r="T218" s="49"/>
      <c r="U218" s="49"/>
      <c r="V218" s="49"/>
      <c r="W218" s="49" t="s">
        <v>217</v>
      </c>
      <c r="X218" s="49"/>
      <c r="Y218" s="49"/>
      <c r="Z218" s="86"/>
      <c r="AA218" s="280"/>
      <c r="AB218" s="86"/>
      <c r="AC218" s="86"/>
      <c r="AD218" s="86"/>
      <c r="AE218" s="86"/>
      <c r="AF218" s="86"/>
      <c r="AG218" s="78">
        <f>ROUND(SUM(AG216:AG217),5)</f>
        <v>33750</v>
      </c>
      <c r="AH218" s="78">
        <f>ROUND(SUM(AH216:AH217),5)</f>
        <v>33750</v>
      </c>
      <c r="AI218" s="78">
        <f>ROUND(SUM(AI216:AI217),5)</f>
        <v>33750</v>
      </c>
      <c r="AJ218" s="78">
        <f>ROUND(SUM(AJ216:AJ217),5)</f>
        <v>33750</v>
      </c>
      <c r="AK218" s="78">
        <f>ROUND(SUM(AK216:AK217),5)</f>
        <v>33750</v>
      </c>
      <c r="AM218" s="78">
        <f>ROUND(SUM(AM216:AM217),5)</f>
        <v>33750</v>
      </c>
    </row>
    <row r="219" spans="1:44" ht="16" thickBot="1" x14ac:dyDescent="0.4">
      <c r="A219" s="66"/>
      <c r="B219" s="66"/>
      <c r="C219" s="49"/>
      <c r="D219" s="49" t="s">
        <v>218</v>
      </c>
      <c r="E219" s="49"/>
      <c r="F219" s="49"/>
      <c r="G219" s="49"/>
      <c r="H219" s="83">
        <f t="shared" ref="H219:M219" si="120">ROUND(H208+H215+H218,5)</f>
        <v>884166</v>
      </c>
      <c r="I219" s="83">
        <f t="shared" si="120"/>
        <v>788300</v>
      </c>
      <c r="J219" s="84">
        <f t="shared" si="120"/>
        <v>981960</v>
      </c>
      <c r="K219" s="84">
        <f t="shared" si="120"/>
        <v>966375</v>
      </c>
      <c r="L219" s="85">
        <f t="shared" si="120"/>
        <v>922690</v>
      </c>
      <c r="M219" s="85">
        <f t="shared" si="120"/>
        <v>898375</v>
      </c>
      <c r="N219" s="86">
        <f>ROUND(H219+J219+L219,5)</f>
        <v>2788816</v>
      </c>
      <c r="O219" s="86">
        <f>ROUND(I219+K219+M219,5)</f>
        <v>2653050</v>
      </c>
      <c r="P219" s="87">
        <f t="shared" si="110"/>
        <v>929605.33333333337</v>
      </c>
      <c r="Q219" s="87">
        <f t="shared" si="110"/>
        <v>884350</v>
      </c>
      <c r="R219" s="294"/>
      <c r="S219" s="49"/>
      <c r="T219" s="49"/>
      <c r="U219" s="49"/>
      <c r="V219" s="49" t="s">
        <v>218</v>
      </c>
      <c r="W219" s="49"/>
      <c r="X219" s="49"/>
      <c r="Y219" s="49"/>
      <c r="Z219" s="86">
        <f>ROUND(Z208+Z215+Z218,5)</f>
        <v>921325</v>
      </c>
      <c r="AA219" s="280"/>
      <c r="AB219" s="88">
        <f t="shared" ref="AB219:AK219" si="121">ROUND(AB208+AB215+AB218,5)</f>
        <v>876000</v>
      </c>
      <c r="AC219" s="88">
        <f t="shared" si="121"/>
        <v>876000</v>
      </c>
      <c r="AD219" s="88">
        <f t="shared" si="121"/>
        <v>876000</v>
      </c>
      <c r="AE219" s="88">
        <f t="shared" si="121"/>
        <v>876000</v>
      </c>
      <c r="AF219" s="88">
        <f t="shared" si="121"/>
        <v>876000</v>
      </c>
      <c r="AG219" s="88">
        <f t="shared" si="121"/>
        <v>909750</v>
      </c>
      <c r="AH219" s="88">
        <f t="shared" si="121"/>
        <v>909750</v>
      </c>
      <c r="AI219" s="88">
        <f t="shared" si="121"/>
        <v>909750</v>
      </c>
      <c r="AJ219" s="88">
        <f t="shared" si="121"/>
        <v>909750</v>
      </c>
      <c r="AK219" s="266">
        <f t="shared" si="121"/>
        <v>909750</v>
      </c>
      <c r="AM219" s="270">
        <f t="shared" ref="AM219" si="122">ROUND(AM208+AM215+AM218,5)</f>
        <v>909750</v>
      </c>
    </row>
    <row r="220" spans="1:44" x14ac:dyDescent="0.35">
      <c r="A220" s="66"/>
      <c r="B220" s="66"/>
      <c r="C220" s="49" t="s">
        <v>219</v>
      </c>
      <c r="D220" s="49"/>
      <c r="E220" s="49"/>
      <c r="F220" s="49"/>
      <c r="G220" s="49"/>
      <c r="H220" s="63">
        <f t="shared" ref="H220:M220" si="123">ROUND(H6+H183+H188+H191+H198+H201+H207+H219,5)</f>
        <v>4510004.6399999997</v>
      </c>
      <c r="I220" s="63">
        <f t="shared" si="123"/>
        <v>4835153.75</v>
      </c>
      <c r="J220" s="64">
        <f t="shared" si="123"/>
        <v>4937480.91</v>
      </c>
      <c r="K220" s="64">
        <f t="shared" si="123"/>
        <v>4877579.92</v>
      </c>
      <c r="L220" s="65">
        <f t="shared" si="123"/>
        <v>5214991.41</v>
      </c>
      <c r="M220" s="65">
        <f t="shared" si="123"/>
        <v>5167708.5</v>
      </c>
      <c r="N220" s="66">
        <f>ROUND(H220+J220+L220,5)</f>
        <v>14662476.960000001</v>
      </c>
      <c r="O220" s="66">
        <f>ROUND(I220+K220+M220,5)</f>
        <v>14880442.17</v>
      </c>
      <c r="P220" s="69">
        <f t="shared" si="110"/>
        <v>4887492.32</v>
      </c>
      <c r="Q220" s="69">
        <f t="shared" si="110"/>
        <v>4960147.3899999997</v>
      </c>
      <c r="R220" s="294"/>
      <c r="S220" s="49"/>
      <c r="T220" s="49"/>
      <c r="U220" s="49" t="s">
        <v>219</v>
      </c>
      <c r="V220" s="49"/>
      <c r="W220" s="49"/>
      <c r="X220" s="49"/>
      <c r="Y220" s="49"/>
      <c r="Z220" s="66">
        <f>ROUND(Z6+Z183+Z188+Z191+Z198+Z201+Z207+Z219,5)</f>
        <v>5276367.1900000004</v>
      </c>
      <c r="AA220" s="280"/>
      <c r="AB220" s="66">
        <f t="shared" ref="AB220:AK220" si="124">ROUND(AB6+AB183+AB188+AB191+AB198+AB201+AB207+AB219,5)</f>
        <v>5311671.1100000003</v>
      </c>
      <c r="AC220" s="66">
        <f t="shared" si="124"/>
        <v>5311671.1100000003</v>
      </c>
      <c r="AD220" s="66">
        <f t="shared" si="124"/>
        <v>5376940.5099999998</v>
      </c>
      <c r="AE220" s="66">
        <f t="shared" si="124"/>
        <v>5356940.51</v>
      </c>
      <c r="AF220" s="66">
        <f t="shared" si="124"/>
        <v>5510132.2000000002</v>
      </c>
      <c r="AG220" s="66">
        <f t="shared" si="124"/>
        <v>5598969</v>
      </c>
      <c r="AH220" s="66">
        <f t="shared" si="124"/>
        <v>5743969</v>
      </c>
      <c r="AI220" s="66">
        <f t="shared" si="124"/>
        <v>5677969</v>
      </c>
      <c r="AJ220" s="66">
        <f t="shared" si="124"/>
        <v>5681469</v>
      </c>
      <c r="AK220" s="66">
        <f t="shared" si="124"/>
        <v>5723569</v>
      </c>
      <c r="AM220" s="66">
        <f t="shared" ref="AM220" si="125">ROUND(AM6+AM183+AM188+AM191+AM198+AM201+AM207+AM219,5)</f>
        <v>5646444</v>
      </c>
      <c r="AN220" s="182"/>
    </row>
    <row r="221" spans="1:44" x14ac:dyDescent="0.35">
      <c r="A221" s="66"/>
      <c r="B221" s="66"/>
      <c r="C221" s="49" t="s">
        <v>220</v>
      </c>
      <c r="D221" s="49"/>
      <c r="E221" s="49"/>
      <c r="F221" s="49"/>
      <c r="G221" s="49"/>
      <c r="H221" s="63"/>
      <c r="I221" s="63"/>
      <c r="J221" s="64"/>
      <c r="K221" s="64"/>
      <c r="L221" s="65"/>
      <c r="M221" s="65"/>
      <c r="N221" s="66"/>
      <c r="O221" s="66"/>
      <c r="P221" s="69"/>
      <c r="Q221" s="69"/>
      <c r="R221" s="294"/>
      <c r="S221" s="49"/>
      <c r="T221" s="49"/>
      <c r="U221" s="49" t="s">
        <v>220</v>
      </c>
      <c r="V221" s="49"/>
      <c r="W221" s="49"/>
      <c r="X221" s="49"/>
      <c r="Y221" s="49"/>
      <c r="Z221" s="66"/>
      <c r="AA221" s="280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M221" s="66"/>
    </row>
    <row r="222" spans="1:44" x14ac:dyDescent="0.35">
      <c r="A222" s="66"/>
      <c r="B222" s="66"/>
      <c r="C222" s="49"/>
      <c r="D222" s="49" t="s">
        <v>221</v>
      </c>
      <c r="E222" s="49"/>
      <c r="F222" s="49"/>
      <c r="G222" s="49"/>
      <c r="H222" s="63"/>
      <c r="I222" s="63"/>
      <c r="J222" s="64"/>
      <c r="K222" s="64"/>
      <c r="L222" s="65"/>
      <c r="M222" s="65"/>
      <c r="N222" s="66"/>
      <c r="O222" s="66"/>
      <c r="P222" s="69"/>
      <c r="Q222" s="69"/>
      <c r="R222" s="294"/>
      <c r="S222" s="49"/>
      <c r="T222" s="49"/>
      <c r="U222" s="49"/>
      <c r="V222" s="49" t="s">
        <v>221</v>
      </c>
      <c r="W222" s="49"/>
      <c r="X222" s="49"/>
      <c r="Y222" s="49"/>
      <c r="Z222" s="66"/>
      <c r="AA222" s="280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M222" s="66"/>
    </row>
    <row r="223" spans="1:44" x14ac:dyDescent="0.35">
      <c r="A223" s="66"/>
      <c r="B223" s="66"/>
      <c r="C223" s="49"/>
      <c r="D223" s="49"/>
      <c r="E223" s="49" t="s">
        <v>222</v>
      </c>
      <c r="F223" s="49"/>
      <c r="G223" s="49"/>
      <c r="H223" s="63">
        <v>5512.62</v>
      </c>
      <c r="I223" s="63">
        <v>4565.17</v>
      </c>
      <c r="J223" s="64">
        <v>4198.5200000000004</v>
      </c>
      <c r="K223" s="64">
        <v>5260.01</v>
      </c>
      <c r="L223" s="65">
        <v>4934.57</v>
      </c>
      <c r="M223" s="65">
        <v>5819.8</v>
      </c>
      <c r="N223" s="66">
        <f t="shared" ref="N223:O225" si="126">ROUND(H223+J223+L223,5)</f>
        <v>14645.71</v>
      </c>
      <c r="O223" s="66">
        <f t="shared" si="126"/>
        <v>15644.98</v>
      </c>
      <c r="P223" s="69">
        <f t="shared" si="110"/>
        <v>4881.9033333333327</v>
      </c>
      <c r="Q223" s="69">
        <f t="shared" si="110"/>
        <v>5214.9933333333329</v>
      </c>
      <c r="R223" s="294"/>
      <c r="S223" s="49"/>
      <c r="T223" s="49"/>
      <c r="U223" s="49"/>
      <c r="V223" s="49"/>
      <c r="W223" s="49" t="s">
        <v>222</v>
      </c>
      <c r="X223" s="49"/>
      <c r="Y223" s="49"/>
      <c r="Z223" s="66">
        <v>5928</v>
      </c>
      <c r="AA223" s="280"/>
      <c r="AB223" s="66">
        <f t="shared" ref="AB223:AM223" si="127">ROUND(5691.67, 0)</f>
        <v>5692</v>
      </c>
      <c r="AC223" s="66">
        <f t="shared" si="127"/>
        <v>5692</v>
      </c>
      <c r="AD223" s="66">
        <f t="shared" si="127"/>
        <v>5692</v>
      </c>
      <c r="AE223" s="66">
        <f t="shared" si="127"/>
        <v>5692</v>
      </c>
      <c r="AF223" s="66">
        <f t="shared" si="127"/>
        <v>5692</v>
      </c>
      <c r="AG223" s="66">
        <f t="shared" si="127"/>
        <v>5692</v>
      </c>
      <c r="AH223" s="66">
        <f t="shared" si="127"/>
        <v>5692</v>
      </c>
      <c r="AI223" s="66">
        <f t="shared" si="127"/>
        <v>5692</v>
      </c>
      <c r="AJ223" s="66">
        <f t="shared" si="127"/>
        <v>5692</v>
      </c>
      <c r="AK223" s="66">
        <f t="shared" si="127"/>
        <v>5692</v>
      </c>
      <c r="AM223" s="66">
        <f t="shared" si="127"/>
        <v>5692</v>
      </c>
    </row>
    <row r="224" spans="1:44" ht="16" thickBot="1" x14ac:dyDescent="0.4">
      <c r="A224" s="66"/>
      <c r="B224" s="66"/>
      <c r="C224" s="49"/>
      <c r="D224" s="49"/>
      <c r="E224" s="49" t="s">
        <v>223</v>
      </c>
      <c r="F224" s="49"/>
      <c r="G224" s="49"/>
      <c r="H224" s="63">
        <v>398.6</v>
      </c>
      <c r="I224" s="63">
        <v>1268.28</v>
      </c>
      <c r="J224" s="64">
        <v>1407</v>
      </c>
      <c r="K224" s="64">
        <v>589.16</v>
      </c>
      <c r="L224" s="65">
        <v>1389.59</v>
      </c>
      <c r="M224" s="65">
        <v>5580</v>
      </c>
      <c r="N224" s="66">
        <f t="shared" si="126"/>
        <v>3195.19</v>
      </c>
      <c r="O224" s="66">
        <f t="shared" si="126"/>
        <v>7437.44</v>
      </c>
      <c r="P224" s="69">
        <f t="shared" si="110"/>
        <v>1065.0633333333333</v>
      </c>
      <c r="Q224" s="69">
        <f t="shared" si="110"/>
        <v>2479.1466666666665</v>
      </c>
      <c r="R224" s="294"/>
      <c r="S224" s="49"/>
      <c r="T224" s="49"/>
      <c r="U224" s="49"/>
      <c r="V224" s="49"/>
      <c r="W224" s="49" t="s">
        <v>223</v>
      </c>
      <c r="X224" s="49"/>
      <c r="Y224" s="49"/>
      <c r="Z224" s="66">
        <v>5952</v>
      </c>
      <c r="AA224" s="280"/>
      <c r="AB224" s="66">
        <v>3348</v>
      </c>
      <c r="AC224" s="66">
        <v>3348</v>
      </c>
      <c r="AD224" s="66">
        <v>3348</v>
      </c>
      <c r="AE224" s="66">
        <v>3348</v>
      </c>
      <c r="AF224" s="66">
        <v>3348</v>
      </c>
      <c r="AG224" s="66">
        <v>3348</v>
      </c>
      <c r="AH224" s="66">
        <v>3348</v>
      </c>
      <c r="AI224" s="66">
        <v>3348</v>
      </c>
      <c r="AJ224" s="66">
        <v>3348</v>
      </c>
      <c r="AK224" s="66">
        <v>3348</v>
      </c>
      <c r="AM224" s="66">
        <v>3348</v>
      </c>
    </row>
    <row r="225" spans="1:39" x14ac:dyDescent="0.35">
      <c r="A225" s="66"/>
      <c r="B225" s="66"/>
      <c r="C225" s="49"/>
      <c r="D225" s="49" t="s">
        <v>224</v>
      </c>
      <c r="E225" s="49"/>
      <c r="F225" s="49"/>
      <c r="G225" s="49"/>
      <c r="H225" s="75">
        <f t="shared" ref="H225:M225" si="128">ROUND(SUM(H222:H224),5)</f>
        <v>5911.22</v>
      </c>
      <c r="I225" s="75">
        <f t="shared" si="128"/>
        <v>5833.45</v>
      </c>
      <c r="J225" s="76">
        <f t="shared" si="128"/>
        <v>5605.52</v>
      </c>
      <c r="K225" s="76">
        <f t="shared" si="128"/>
        <v>5849.17</v>
      </c>
      <c r="L225" s="77">
        <f t="shared" si="128"/>
        <v>6324.16</v>
      </c>
      <c r="M225" s="77">
        <f t="shared" si="128"/>
        <v>11399.8</v>
      </c>
      <c r="N225" s="78">
        <f t="shared" si="126"/>
        <v>17840.900000000001</v>
      </c>
      <c r="O225" s="78">
        <f t="shared" si="126"/>
        <v>23082.42</v>
      </c>
      <c r="P225" s="79">
        <f t="shared" si="110"/>
        <v>5946.9666666666672</v>
      </c>
      <c r="Q225" s="79">
        <f t="shared" si="110"/>
        <v>7694.1399999999994</v>
      </c>
      <c r="R225" s="294"/>
      <c r="S225" s="49"/>
      <c r="T225" s="49"/>
      <c r="U225" s="49"/>
      <c r="V225" s="49" t="s">
        <v>224</v>
      </c>
      <c r="W225" s="49"/>
      <c r="X225" s="49"/>
      <c r="Y225" s="49"/>
      <c r="Z225" s="78">
        <f>ROUND(SUM(Z222:Z224),5)</f>
        <v>11880</v>
      </c>
      <c r="AA225" s="280"/>
      <c r="AB225" s="80">
        <f t="shared" ref="AB225:AK225" si="129">ROUND(SUM(AB222:AB224),5)</f>
        <v>9040</v>
      </c>
      <c r="AC225" s="80">
        <f t="shared" si="129"/>
        <v>9040</v>
      </c>
      <c r="AD225" s="80">
        <f t="shared" si="129"/>
        <v>9040</v>
      </c>
      <c r="AE225" s="80">
        <f t="shared" si="129"/>
        <v>9040</v>
      </c>
      <c r="AF225" s="80">
        <f t="shared" si="129"/>
        <v>9040</v>
      </c>
      <c r="AG225" s="80">
        <f t="shared" si="129"/>
        <v>9040</v>
      </c>
      <c r="AH225" s="80">
        <f t="shared" si="129"/>
        <v>9040</v>
      </c>
      <c r="AI225" s="80">
        <f t="shared" si="129"/>
        <v>9040</v>
      </c>
      <c r="AJ225" s="80">
        <f t="shared" si="129"/>
        <v>9040</v>
      </c>
      <c r="AK225" s="266">
        <f t="shared" si="129"/>
        <v>9040</v>
      </c>
      <c r="AM225" s="270">
        <f t="shared" ref="AM225" si="130">ROUND(SUM(AM222:AM224),5)</f>
        <v>9040</v>
      </c>
    </row>
    <row r="226" spans="1:39" x14ac:dyDescent="0.35">
      <c r="A226" s="66"/>
      <c r="B226" s="66"/>
      <c r="C226" s="49"/>
      <c r="D226" s="49" t="s">
        <v>225</v>
      </c>
      <c r="E226" s="49"/>
      <c r="F226" s="49"/>
      <c r="G226" s="49"/>
      <c r="H226" s="63"/>
      <c r="I226" s="63"/>
      <c r="J226" s="64"/>
      <c r="K226" s="64"/>
      <c r="L226" s="65"/>
      <c r="M226" s="65"/>
      <c r="N226" s="66"/>
      <c r="O226" s="66"/>
      <c r="P226" s="69"/>
      <c r="Q226" s="69"/>
      <c r="R226" s="294"/>
      <c r="S226" s="49"/>
      <c r="T226" s="49"/>
      <c r="U226" s="49"/>
      <c r="V226" s="49" t="s">
        <v>225</v>
      </c>
      <c r="W226" s="49"/>
      <c r="X226" s="49"/>
      <c r="Y226" s="49"/>
      <c r="Z226" s="66"/>
      <c r="AA226" s="280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M226" s="66"/>
    </row>
    <row r="227" spans="1:39" hidden="1" x14ac:dyDescent="0.35">
      <c r="A227" s="66"/>
      <c r="B227" s="66"/>
      <c r="C227" s="49"/>
      <c r="D227" s="49"/>
      <c r="E227" s="49" t="s">
        <v>226</v>
      </c>
      <c r="F227" s="49"/>
      <c r="G227" s="49"/>
      <c r="H227" s="63"/>
      <c r="I227" s="63"/>
      <c r="J227" s="64"/>
      <c r="K227" s="64"/>
      <c r="L227" s="65"/>
      <c r="M227" s="65"/>
      <c r="N227" s="66"/>
      <c r="O227" s="66"/>
      <c r="P227" s="69"/>
      <c r="Q227" s="69"/>
      <c r="R227" s="294"/>
      <c r="S227" s="49"/>
      <c r="T227" s="49"/>
      <c r="U227" s="49"/>
      <c r="V227" s="49"/>
      <c r="W227" s="49" t="s">
        <v>226</v>
      </c>
      <c r="X227" s="49"/>
      <c r="Y227" s="49"/>
      <c r="Z227" s="66"/>
      <c r="AA227" s="280"/>
      <c r="AB227" s="66">
        <f>AB9*0.237196</f>
        <v>227894.31142079999</v>
      </c>
      <c r="AC227" s="66">
        <f>AC9*0.237196</f>
        <v>227894.31142079999</v>
      </c>
      <c r="AD227" s="66">
        <f>AD9*0.237196</f>
        <v>243375.95202319999</v>
      </c>
      <c r="AE227" s="66">
        <f t="shared" ref="AE227:AK227" si="131">AE9*0.2</f>
        <v>205210.84</v>
      </c>
      <c r="AF227" s="66">
        <f t="shared" si="131"/>
        <v>205210.84</v>
      </c>
      <c r="AG227" s="66">
        <f t="shared" si="131"/>
        <v>205210.84</v>
      </c>
      <c r="AH227" s="66">
        <f t="shared" si="131"/>
        <v>205210.84</v>
      </c>
      <c r="AI227" s="66">
        <f t="shared" si="131"/>
        <v>205210.84</v>
      </c>
      <c r="AJ227" s="66">
        <f t="shared" si="131"/>
        <v>205210.84</v>
      </c>
      <c r="AK227" s="66">
        <f t="shared" si="131"/>
        <v>205210.84</v>
      </c>
      <c r="AM227" s="66">
        <f t="shared" ref="AM227" si="132">AM9*0.2</f>
        <v>205210.84</v>
      </c>
    </row>
    <row r="228" spans="1:39" hidden="1" x14ac:dyDescent="0.35">
      <c r="A228" s="66"/>
      <c r="B228" s="66"/>
      <c r="C228" s="49"/>
      <c r="D228" s="49"/>
      <c r="E228" s="49"/>
      <c r="F228" s="49" t="s">
        <v>227</v>
      </c>
      <c r="G228" s="49"/>
      <c r="H228" s="63">
        <v>415.04</v>
      </c>
      <c r="I228" s="63">
        <v>2558.58</v>
      </c>
      <c r="J228" s="64">
        <v>883.07</v>
      </c>
      <c r="K228" s="64">
        <v>6546.96</v>
      </c>
      <c r="L228" s="65">
        <v>566.6</v>
      </c>
      <c r="M228" s="65">
        <v>500</v>
      </c>
      <c r="N228" s="66">
        <f>ROUND(H228+J228+L228,5)</f>
        <v>1864.71</v>
      </c>
      <c r="O228" s="66">
        <f>ROUND(I228+K228+M228,5)</f>
        <v>9605.5400000000009</v>
      </c>
      <c r="P228" s="69">
        <f t="shared" si="110"/>
        <v>621.57000000000005</v>
      </c>
      <c r="Q228" s="69">
        <f t="shared" si="110"/>
        <v>3201.8466666666668</v>
      </c>
      <c r="R228" s="294"/>
      <c r="S228" s="49"/>
      <c r="T228" s="49"/>
      <c r="U228" s="49"/>
      <c r="V228" s="49"/>
      <c r="W228" s="49"/>
      <c r="X228" s="49" t="s">
        <v>227</v>
      </c>
      <c r="Y228" s="49"/>
      <c r="Z228" s="66">
        <v>10481</v>
      </c>
      <c r="AA228" s="280"/>
      <c r="AB228" s="66"/>
      <c r="AC228" s="66"/>
      <c r="AD228" s="66"/>
      <c r="AE228" s="66"/>
      <c r="AF228" s="66"/>
      <c r="AG228" s="66"/>
      <c r="AH228" s="66"/>
      <c r="AI228" s="66"/>
      <c r="AJ228" s="66"/>
      <c r="AK228" s="66"/>
      <c r="AM228" s="66"/>
    </row>
    <row r="229" spans="1:39" hidden="1" x14ac:dyDescent="0.35">
      <c r="A229" s="66"/>
      <c r="B229" s="66"/>
      <c r="C229" s="49"/>
      <c r="D229" s="49"/>
      <c r="E229" s="49"/>
      <c r="F229" s="49" t="s">
        <v>228</v>
      </c>
      <c r="G229" s="49"/>
      <c r="H229" s="63"/>
      <c r="I229" s="63"/>
      <c r="J229" s="64"/>
      <c r="K229" s="64"/>
      <c r="L229" s="65"/>
      <c r="M229" s="65"/>
      <c r="N229" s="66"/>
      <c r="O229" s="66"/>
      <c r="P229" s="69">
        <f t="shared" si="110"/>
        <v>0</v>
      </c>
      <c r="Q229" s="69">
        <f t="shared" si="110"/>
        <v>0</v>
      </c>
      <c r="R229" s="294"/>
      <c r="S229" s="49"/>
      <c r="T229" s="49"/>
      <c r="U229" s="49"/>
      <c r="V229" s="49"/>
      <c r="W229" s="49"/>
      <c r="X229" s="49" t="s">
        <v>228</v>
      </c>
      <c r="Y229" s="49"/>
      <c r="Z229" s="66"/>
      <c r="AA229" s="280"/>
      <c r="AB229" s="66"/>
      <c r="AC229" s="66"/>
      <c r="AD229" s="66"/>
      <c r="AE229" s="66"/>
      <c r="AF229" s="66"/>
      <c r="AG229" s="66"/>
      <c r="AH229" s="66"/>
      <c r="AI229" s="66"/>
      <c r="AJ229" s="66"/>
      <c r="AK229" s="66"/>
      <c r="AM229" s="66"/>
    </row>
    <row r="230" spans="1:39" hidden="1" x14ac:dyDescent="0.35">
      <c r="A230" s="66"/>
      <c r="B230" s="66"/>
      <c r="C230" s="49"/>
      <c r="D230" s="49"/>
      <c r="E230" s="49"/>
      <c r="F230" s="49"/>
      <c r="G230" s="49" t="s">
        <v>229</v>
      </c>
      <c r="H230" s="63">
        <v>61798.53</v>
      </c>
      <c r="I230" s="63">
        <v>0</v>
      </c>
      <c r="J230" s="64">
        <v>49918.01</v>
      </c>
      <c r="K230" s="64">
        <v>10077.48</v>
      </c>
      <c r="L230" s="65">
        <v>48961.65</v>
      </c>
      <c r="M230" s="65">
        <v>66770.23</v>
      </c>
      <c r="N230" s="66">
        <f t="shared" ref="N230:O234" si="133">ROUND(H230+J230+L230,5)</f>
        <v>160678.19</v>
      </c>
      <c r="O230" s="66">
        <f t="shared" si="133"/>
        <v>76847.710000000006</v>
      </c>
      <c r="P230" s="69">
        <f t="shared" si="110"/>
        <v>53559.396666666667</v>
      </c>
      <c r="Q230" s="69">
        <f t="shared" si="110"/>
        <v>25615.903333333335</v>
      </c>
      <c r="R230" s="294"/>
      <c r="S230" s="49"/>
      <c r="T230" s="49"/>
      <c r="U230" s="49"/>
      <c r="V230" s="49"/>
      <c r="W230" s="49"/>
      <c r="X230" s="49"/>
      <c r="Y230" s="49" t="s">
        <v>229</v>
      </c>
      <c r="Z230" s="66">
        <v>89782.62</v>
      </c>
      <c r="AA230" s="280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M230" s="66"/>
    </row>
    <row r="231" spans="1:39" hidden="1" x14ac:dyDescent="0.35">
      <c r="A231" s="66"/>
      <c r="B231" s="66"/>
      <c r="C231" s="49"/>
      <c r="D231" s="49"/>
      <c r="E231" s="49"/>
      <c r="F231" s="49"/>
      <c r="G231" s="49" t="s">
        <v>230</v>
      </c>
      <c r="H231" s="63">
        <v>1254.3699999999999</v>
      </c>
      <c r="I231" s="63">
        <v>0</v>
      </c>
      <c r="J231" s="64">
        <v>2083.0500000000002</v>
      </c>
      <c r="K231" s="64">
        <v>2848.32</v>
      </c>
      <c r="L231" s="65">
        <v>1056.18</v>
      </c>
      <c r="M231" s="65">
        <v>900</v>
      </c>
      <c r="N231" s="66">
        <f t="shared" si="133"/>
        <v>4393.6000000000004</v>
      </c>
      <c r="O231" s="66">
        <f t="shared" si="133"/>
        <v>3748.32</v>
      </c>
      <c r="P231" s="69">
        <f t="shared" si="110"/>
        <v>1464.5333333333335</v>
      </c>
      <c r="Q231" s="69">
        <f t="shared" si="110"/>
        <v>1249.44</v>
      </c>
      <c r="R231" s="294"/>
      <c r="S231" s="49"/>
      <c r="T231" s="49"/>
      <c r="U231" s="49"/>
      <c r="V231" s="49"/>
      <c r="W231" s="49"/>
      <c r="X231" s="49"/>
      <c r="Y231" s="49" t="s">
        <v>230</v>
      </c>
      <c r="Z231" s="66">
        <v>5642.06</v>
      </c>
      <c r="AA231" s="280"/>
      <c r="AB231" s="66"/>
      <c r="AC231" s="66"/>
      <c r="AD231" s="66"/>
      <c r="AE231" s="66"/>
      <c r="AF231" s="66"/>
      <c r="AG231" s="66"/>
      <c r="AH231" s="66"/>
      <c r="AI231" s="66"/>
      <c r="AJ231" s="66"/>
      <c r="AK231" s="66"/>
      <c r="AM231" s="66"/>
    </row>
    <row r="232" spans="1:39" hidden="1" x14ac:dyDescent="0.35">
      <c r="A232" s="66"/>
      <c r="B232" s="66"/>
      <c r="C232" s="49"/>
      <c r="D232" s="49"/>
      <c r="E232" s="49"/>
      <c r="F232" s="49"/>
      <c r="G232" s="49" t="s">
        <v>231</v>
      </c>
      <c r="H232" s="63">
        <v>2951.45</v>
      </c>
      <c r="I232" s="63">
        <v>0</v>
      </c>
      <c r="J232" s="64">
        <v>379.88</v>
      </c>
      <c r="K232" s="64">
        <v>356.04</v>
      </c>
      <c r="L232" s="65">
        <v>600.38</v>
      </c>
      <c r="M232" s="65">
        <v>700</v>
      </c>
      <c r="N232" s="66">
        <f t="shared" si="133"/>
        <v>3931.71</v>
      </c>
      <c r="O232" s="66">
        <f t="shared" si="133"/>
        <v>1056.04</v>
      </c>
      <c r="P232" s="69">
        <f t="shared" si="110"/>
        <v>1310.57</v>
      </c>
      <c r="Q232" s="69">
        <f t="shared" si="110"/>
        <v>352.01333333333332</v>
      </c>
      <c r="R232" s="294"/>
      <c r="S232" s="49"/>
      <c r="T232" s="49"/>
      <c r="U232" s="49"/>
      <c r="V232" s="49"/>
      <c r="W232" s="49"/>
      <c r="X232" s="49"/>
      <c r="Y232" s="49" t="s">
        <v>231</v>
      </c>
      <c r="Z232" s="66">
        <v>2129</v>
      </c>
      <c r="AA232" s="280"/>
      <c r="AB232" s="66"/>
      <c r="AC232" s="66"/>
      <c r="AD232" s="66"/>
      <c r="AE232" s="66"/>
      <c r="AF232" s="66"/>
      <c r="AG232" s="66"/>
      <c r="AH232" s="66"/>
      <c r="AI232" s="66"/>
      <c r="AJ232" s="66"/>
      <c r="AK232" s="66"/>
      <c r="AM232" s="66"/>
    </row>
    <row r="233" spans="1:39" ht="16" hidden="1" thickBot="1" x14ac:dyDescent="0.4">
      <c r="A233" s="66"/>
      <c r="B233" s="66"/>
      <c r="C233" s="49"/>
      <c r="D233" s="49"/>
      <c r="E233" s="49"/>
      <c r="F233" s="49"/>
      <c r="G233" s="49" t="s">
        <v>232</v>
      </c>
      <c r="H233" s="70">
        <v>0</v>
      </c>
      <c r="I233" s="70"/>
      <c r="J233" s="71">
        <v>1594.55</v>
      </c>
      <c r="K233" s="71"/>
      <c r="L233" s="72">
        <v>358.89</v>
      </c>
      <c r="M233" s="72">
        <v>100</v>
      </c>
      <c r="N233" s="73">
        <f t="shared" si="133"/>
        <v>1953.44</v>
      </c>
      <c r="O233" s="73">
        <f t="shared" si="133"/>
        <v>100</v>
      </c>
      <c r="P233" s="74">
        <f t="shared" si="110"/>
        <v>651.14666666666665</v>
      </c>
      <c r="Q233" s="74">
        <f t="shared" si="110"/>
        <v>33.333333333333336</v>
      </c>
      <c r="R233" s="294"/>
      <c r="S233" s="49"/>
      <c r="T233" s="49"/>
      <c r="U233" s="49"/>
      <c r="V233" s="49"/>
      <c r="W233" s="49"/>
      <c r="X233" s="49"/>
      <c r="Y233" s="49" t="s">
        <v>232</v>
      </c>
      <c r="Z233" s="73">
        <v>676.19</v>
      </c>
      <c r="AA233" s="280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M233" s="73"/>
    </row>
    <row r="234" spans="1:39" hidden="1" x14ac:dyDescent="0.35">
      <c r="A234" s="66"/>
      <c r="B234" s="66"/>
      <c r="C234" s="49"/>
      <c r="D234" s="49"/>
      <c r="E234" s="49"/>
      <c r="F234" s="49" t="s">
        <v>233</v>
      </c>
      <c r="G234" s="49"/>
      <c r="H234" s="63">
        <f t="shared" ref="H234:M234" si="134">ROUND(SUM(H229:H233),5)</f>
        <v>66004.350000000006</v>
      </c>
      <c r="I234" s="63">
        <f t="shared" si="134"/>
        <v>0</v>
      </c>
      <c r="J234" s="64">
        <f t="shared" si="134"/>
        <v>53975.49</v>
      </c>
      <c r="K234" s="64">
        <f t="shared" si="134"/>
        <v>13281.84</v>
      </c>
      <c r="L234" s="65">
        <f t="shared" si="134"/>
        <v>50977.1</v>
      </c>
      <c r="M234" s="65">
        <f t="shared" si="134"/>
        <v>68470.23</v>
      </c>
      <c r="N234" s="66">
        <f t="shared" si="133"/>
        <v>170956.94</v>
      </c>
      <c r="O234" s="66">
        <f t="shared" si="133"/>
        <v>81752.070000000007</v>
      </c>
      <c r="P234" s="69">
        <f t="shared" si="110"/>
        <v>56985.646666666667</v>
      </c>
      <c r="Q234" s="69">
        <f t="shared" si="110"/>
        <v>27250.690000000002</v>
      </c>
      <c r="R234" s="294"/>
      <c r="S234" s="49"/>
      <c r="T234" s="49"/>
      <c r="U234" s="49"/>
      <c r="V234" s="49"/>
      <c r="W234" s="49"/>
      <c r="X234" s="49" t="s">
        <v>233</v>
      </c>
      <c r="Y234" s="49"/>
      <c r="Z234" s="66">
        <f>ROUND(SUM(Z229:Z233),5)</f>
        <v>98229.87</v>
      </c>
      <c r="AA234" s="280"/>
      <c r="AB234" s="66">
        <f t="shared" ref="AB234:AK234" si="135">ROUND(SUM(AB229:AB233),5)</f>
        <v>0</v>
      </c>
      <c r="AC234" s="66">
        <f t="shared" si="135"/>
        <v>0</v>
      </c>
      <c r="AD234" s="66">
        <f t="shared" si="135"/>
        <v>0</v>
      </c>
      <c r="AE234" s="66">
        <f t="shared" si="135"/>
        <v>0</v>
      </c>
      <c r="AF234" s="66">
        <f t="shared" si="135"/>
        <v>0</v>
      </c>
      <c r="AG234" s="66">
        <f t="shared" si="135"/>
        <v>0</v>
      </c>
      <c r="AH234" s="66">
        <f t="shared" si="135"/>
        <v>0</v>
      </c>
      <c r="AI234" s="66">
        <f t="shared" si="135"/>
        <v>0</v>
      </c>
      <c r="AJ234" s="66">
        <f t="shared" si="135"/>
        <v>0</v>
      </c>
      <c r="AK234" s="66">
        <f t="shared" si="135"/>
        <v>0</v>
      </c>
      <c r="AM234" s="66">
        <f t="shared" ref="AM234" si="136">ROUND(SUM(AM229:AM233),5)</f>
        <v>0</v>
      </c>
    </row>
    <row r="235" spans="1:39" hidden="1" x14ac:dyDescent="0.35">
      <c r="A235" s="66"/>
      <c r="B235" s="66"/>
      <c r="C235" s="49"/>
      <c r="D235" s="49"/>
      <c r="E235" s="49"/>
      <c r="F235" s="49" t="s">
        <v>234</v>
      </c>
      <c r="G235" s="49"/>
      <c r="H235" s="63"/>
      <c r="I235" s="63"/>
      <c r="J235" s="64"/>
      <c r="K235" s="64"/>
      <c r="L235" s="65"/>
      <c r="M235" s="65"/>
      <c r="N235" s="66"/>
      <c r="O235" s="66"/>
      <c r="P235" s="69"/>
      <c r="Q235" s="69"/>
      <c r="R235" s="294"/>
      <c r="S235" s="49"/>
      <c r="T235" s="49"/>
      <c r="U235" s="49"/>
      <c r="V235" s="49"/>
      <c r="W235" s="49"/>
      <c r="X235" s="49" t="s">
        <v>234</v>
      </c>
      <c r="Y235" s="49"/>
      <c r="Z235" s="66"/>
      <c r="AA235" s="280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M235" s="66"/>
    </row>
    <row r="236" spans="1:39" hidden="1" x14ac:dyDescent="0.35">
      <c r="A236" s="66"/>
      <c r="B236" s="66"/>
      <c r="C236" s="49"/>
      <c r="D236" s="49"/>
      <c r="E236" s="49"/>
      <c r="F236" s="49"/>
      <c r="G236" s="49" t="s">
        <v>235</v>
      </c>
      <c r="H236" s="63">
        <v>3534.22</v>
      </c>
      <c r="I236" s="63">
        <v>0</v>
      </c>
      <c r="J236" s="64">
        <v>4089.04</v>
      </c>
      <c r="K236" s="64">
        <v>7278.18</v>
      </c>
      <c r="L236" s="65">
        <v>2677.11</v>
      </c>
      <c r="M236" s="65">
        <v>700</v>
      </c>
      <c r="N236" s="66">
        <f t="shared" ref="N236:O251" si="137">ROUND(H236+J236+L236,5)</f>
        <v>10300.370000000001</v>
      </c>
      <c r="O236" s="66">
        <f t="shared" si="137"/>
        <v>7978.18</v>
      </c>
      <c r="P236" s="69">
        <f t="shared" si="110"/>
        <v>3433.4566666666669</v>
      </c>
      <c r="Q236" s="69">
        <f t="shared" si="110"/>
        <v>2659.3933333333334</v>
      </c>
      <c r="R236" s="294"/>
      <c r="S236" s="49"/>
      <c r="T236" s="49"/>
      <c r="U236" s="49"/>
      <c r="V236" s="49"/>
      <c r="W236" s="49"/>
      <c r="X236" s="49"/>
      <c r="Y236" s="49" t="s">
        <v>235</v>
      </c>
      <c r="Z236" s="66">
        <v>7263.58</v>
      </c>
      <c r="AA236" s="280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M236" s="66"/>
    </row>
    <row r="237" spans="1:39" hidden="1" x14ac:dyDescent="0.35">
      <c r="A237" s="66"/>
      <c r="B237" s="66"/>
      <c r="C237" s="49"/>
      <c r="D237" s="49"/>
      <c r="E237" s="49"/>
      <c r="F237" s="49"/>
      <c r="G237" s="49" t="s">
        <v>236</v>
      </c>
      <c r="H237" s="63">
        <v>89.98</v>
      </c>
      <c r="I237" s="63">
        <v>0</v>
      </c>
      <c r="J237" s="64">
        <v>0</v>
      </c>
      <c r="K237" s="64">
        <v>1679.58</v>
      </c>
      <c r="L237" s="65">
        <v>175.06</v>
      </c>
      <c r="M237" s="65">
        <v>400</v>
      </c>
      <c r="N237" s="66">
        <f t="shared" si="137"/>
        <v>265.04000000000002</v>
      </c>
      <c r="O237" s="66">
        <f t="shared" si="137"/>
        <v>2079.58</v>
      </c>
      <c r="P237" s="69">
        <f t="shared" si="110"/>
        <v>88.346666666666678</v>
      </c>
      <c r="Q237" s="69">
        <f t="shared" si="110"/>
        <v>693.19333333333327</v>
      </c>
      <c r="R237" s="294"/>
      <c r="S237" s="49"/>
      <c r="T237" s="49"/>
      <c r="U237" s="49"/>
      <c r="V237" s="49"/>
      <c r="W237" s="49"/>
      <c r="X237" s="49"/>
      <c r="Y237" s="49" t="s">
        <v>236</v>
      </c>
      <c r="Z237" s="66">
        <v>0</v>
      </c>
      <c r="AA237" s="280"/>
      <c r="AB237" s="66"/>
      <c r="AC237" s="66"/>
      <c r="AD237" s="66"/>
      <c r="AE237" s="66"/>
      <c r="AF237" s="66"/>
      <c r="AG237" s="66"/>
      <c r="AH237" s="66"/>
      <c r="AI237" s="66"/>
      <c r="AJ237" s="66"/>
      <c r="AK237" s="66"/>
      <c r="AM237" s="66"/>
    </row>
    <row r="238" spans="1:39" hidden="1" x14ac:dyDescent="0.35">
      <c r="A238" s="66"/>
      <c r="B238" s="66"/>
      <c r="C238" s="49"/>
      <c r="D238" s="49"/>
      <c r="E238" s="49"/>
      <c r="F238" s="49"/>
      <c r="G238" s="49" t="s">
        <v>237</v>
      </c>
      <c r="H238" s="63">
        <v>54.54</v>
      </c>
      <c r="I238" s="63">
        <v>0</v>
      </c>
      <c r="J238" s="64">
        <v>0</v>
      </c>
      <c r="K238" s="64">
        <v>6130.08</v>
      </c>
      <c r="L238" s="65">
        <v>237.05</v>
      </c>
      <c r="M238" s="65">
        <v>200</v>
      </c>
      <c r="N238" s="66">
        <f t="shared" si="137"/>
        <v>291.58999999999997</v>
      </c>
      <c r="O238" s="66">
        <f t="shared" si="137"/>
        <v>6330.08</v>
      </c>
      <c r="P238" s="69">
        <f t="shared" si="110"/>
        <v>97.196666666666658</v>
      </c>
      <c r="Q238" s="69">
        <f t="shared" si="110"/>
        <v>2110.0266666666666</v>
      </c>
      <c r="R238" s="294"/>
      <c r="S238" s="49"/>
      <c r="T238" s="49"/>
      <c r="U238" s="49"/>
      <c r="V238" s="49"/>
      <c r="W238" s="49"/>
      <c r="X238" s="49"/>
      <c r="Y238" s="49" t="s">
        <v>237</v>
      </c>
      <c r="Z238" s="66">
        <v>533.77</v>
      </c>
      <c r="AA238" s="280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M238" s="66"/>
    </row>
    <row r="239" spans="1:39" hidden="1" x14ac:dyDescent="0.35">
      <c r="A239" s="66"/>
      <c r="B239" s="66"/>
      <c r="C239" s="49"/>
      <c r="D239" s="49"/>
      <c r="E239" s="49"/>
      <c r="F239" s="49"/>
      <c r="G239" s="49" t="s">
        <v>238</v>
      </c>
      <c r="H239" s="63">
        <v>478.37</v>
      </c>
      <c r="I239" s="63">
        <v>0</v>
      </c>
      <c r="J239" s="64">
        <v>166.32</v>
      </c>
      <c r="K239" s="64">
        <v>2799.3</v>
      </c>
      <c r="L239" s="65">
        <v>357.93</v>
      </c>
      <c r="M239" s="65">
        <v>500</v>
      </c>
      <c r="N239" s="66">
        <f t="shared" si="137"/>
        <v>1002.62</v>
      </c>
      <c r="O239" s="66">
        <f t="shared" si="137"/>
        <v>3299.3</v>
      </c>
      <c r="P239" s="69">
        <f t="shared" si="110"/>
        <v>334.20666666666665</v>
      </c>
      <c r="Q239" s="69">
        <f t="shared" si="110"/>
        <v>1099.7666666666667</v>
      </c>
      <c r="R239" s="294"/>
      <c r="S239" s="49"/>
      <c r="T239" s="49"/>
      <c r="U239" s="49"/>
      <c r="V239" s="49"/>
      <c r="W239" s="49"/>
      <c r="X239" s="49"/>
      <c r="Y239" s="49" t="s">
        <v>238</v>
      </c>
      <c r="Z239" s="66">
        <v>1072.47</v>
      </c>
      <c r="AA239" s="280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M239" s="66"/>
    </row>
    <row r="240" spans="1:39" hidden="1" x14ac:dyDescent="0.35">
      <c r="A240" s="66"/>
      <c r="B240" s="66"/>
      <c r="C240" s="49"/>
      <c r="D240" s="49"/>
      <c r="E240" s="49"/>
      <c r="F240" s="49"/>
      <c r="G240" s="49" t="s">
        <v>239</v>
      </c>
      <c r="H240" s="63">
        <v>168.6</v>
      </c>
      <c r="I240" s="63">
        <v>0</v>
      </c>
      <c r="J240" s="64">
        <v>215.68</v>
      </c>
      <c r="K240" s="64"/>
      <c r="L240" s="65">
        <v>0</v>
      </c>
      <c r="M240" s="65">
        <v>0</v>
      </c>
      <c r="N240" s="66">
        <f t="shared" si="137"/>
        <v>384.28</v>
      </c>
      <c r="O240" s="66">
        <f t="shared" si="137"/>
        <v>0</v>
      </c>
      <c r="P240" s="69">
        <f t="shared" si="110"/>
        <v>128.09333333333333</v>
      </c>
      <c r="Q240" s="69">
        <f t="shared" si="110"/>
        <v>0</v>
      </c>
      <c r="R240" s="294"/>
      <c r="S240" s="49"/>
      <c r="T240" s="49"/>
      <c r="U240" s="49"/>
      <c r="V240" s="49"/>
      <c r="W240" s="49"/>
      <c r="X240" s="49"/>
      <c r="Y240" s="49" t="s">
        <v>239</v>
      </c>
      <c r="Z240" s="66">
        <v>0</v>
      </c>
      <c r="AA240" s="280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M240" s="66"/>
    </row>
    <row r="241" spans="1:39" hidden="1" x14ac:dyDescent="0.35">
      <c r="A241" s="66"/>
      <c r="B241" s="66"/>
      <c r="C241" s="49"/>
      <c r="D241" s="49"/>
      <c r="E241" s="49"/>
      <c r="F241" s="49"/>
      <c r="G241" s="49" t="s">
        <v>240</v>
      </c>
      <c r="H241" s="63">
        <v>0</v>
      </c>
      <c r="I241" s="63">
        <v>0</v>
      </c>
      <c r="J241" s="64">
        <v>1594.04</v>
      </c>
      <c r="K241" s="64">
        <v>6158.46</v>
      </c>
      <c r="L241" s="65">
        <v>108.97</v>
      </c>
      <c r="M241" s="65">
        <v>300</v>
      </c>
      <c r="N241" s="66">
        <f t="shared" si="137"/>
        <v>1703.01</v>
      </c>
      <c r="O241" s="66">
        <f t="shared" si="137"/>
        <v>6458.46</v>
      </c>
      <c r="P241" s="69">
        <f t="shared" si="110"/>
        <v>567.66999999999996</v>
      </c>
      <c r="Q241" s="69">
        <f t="shared" si="110"/>
        <v>2152.8200000000002</v>
      </c>
      <c r="R241" s="294"/>
      <c r="S241" s="49"/>
      <c r="T241" s="49"/>
      <c r="U241" s="49"/>
      <c r="V241" s="49"/>
      <c r="W241" s="49"/>
      <c r="X241" s="49"/>
      <c r="Y241" s="49" t="s">
        <v>240</v>
      </c>
      <c r="Z241" s="66">
        <v>2023.08</v>
      </c>
      <c r="AA241" s="280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M241" s="66"/>
    </row>
    <row r="242" spans="1:39" hidden="1" x14ac:dyDescent="0.35">
      <c r="A242" s="66"/>
      <c r="B242" s="66"/>
      <c r="C242" s="49"/>
      <c r="D242" s="49"/>
      <c r="E242" s="49"/>
      <c r="F242" s="49"/>
      <c r="G242" s="49" t="s">
        <v>241</v>
      </c>
      <c r="H242" s="63">
        <v>764.64</v>
      </c>
      <c r="I242" s="63">
        <v>0</v>
      </c>
      <c r="J242" s="64">
        <v>80.34</v>
      </c>
      <c r="K242" s="64">
        <v>4478.88</v>
      </c>
      <c r="L242" s="65">
        <v>0</v>
      </c>
      <c r="M242" s="65">
        <v>400</v>
      </c>
      <c r="N242" s="66">
        <f t="shared" si="137"/>
        <v>844.98</v>
      </c>
      <c r="O242" s="66">
        <f t="shared" si="137"/>
        <v>4878.88</v>
      </c>
      <c r="P242" s="69">
        <f t="shared" si="110"/>
        <v>281.66000000000003</v>
      </c>
      <c r="Q242" s="69">
        <f t="shared" si="110"/>
        <v>1626.2933333333333</v>
      </c>
      <c r="R242" s="294"/>
      <c r="S242" s="49"/>
      <c r="T242" s="49"/>
      <c r="U242" s="49"/>
      <c r="V242" s="49"/>
      <c r="W242" s="49"/>
      <c r="X242" s="49"/>
      <c r="Y242" s="49" t="s">
        <v>241</v>
      </c>
      <c r="Z242" s="66">
        <v>999.35</v>
      </c>
      <c r="AA242" s="280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M242" s="66"/>
    </row>
    <row r="243" spans="1:39" hidden="1" x14ac:dyDescent="0.35">
      <c r="A243" s="66"/>
      <c r="B243" s="66"/>
      <c r="C243" s="49"/>
      <c r="D243" s="49"/>
      <c r="E243" s="49"/>
      <c r="F243" s="49"/>
      <c r="G243" s="49" t="s">
        <v>242</v>
      </c>
      <c r="H243" s="63">
        <v>127.85</v>
      </c>
      <c r="I243" s="63">
        <v>0</v>
      </c>
      <c r="J243" s="64">
        <v>241.52</v>
      </c>
      <c r="K243" s="64">
        <v>559.86</v>
      </c>
      <c r="L243" s="65">
        <v>583.33000000000004</v>
      </c>
      <c r="M243" s="65">
        <v>200</v>
      </c>
      <c r="N243" s="66">
        <f t="shared" si="137"/>
        <v>952.7</v>
      </c>
      <c r="O243" s="66">
        <f t="shared" si="137"/>
        <v>759.86</v>
      </c>
      <c r="P243" s="69">
        <f t="shared" si="110"/>
        <v>317.56666666666666</v>
      </c>
      <c r="Q243" s="69">
        <f t="shared" si="110"/>
        <v>253.28666666666666</v>
      </c>
      <c r="R243" s="294"/>
      <c r="S243" s="49"/>
      <c r="T243" s="49"/>
      <c r="U243" s="49"/>
      <c r="V243" s="49"/>
      <c r="W243" s="49"/>
      <c r="X243" s="49"/>
      <c r="Y243" s="49" t="s">
        <v>242</v>
      </c>
      <c r="Z243" s="66">
        <v>389.99</v>
      </c>
      <c r="AA243" s="280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  <c r="AM243" s="66"/>
    </row>
    <row r="244" spans="1:39" hidden="1" x14ac:dyDescent="0.35">
      <c r="A244" s="66"/>
      <c r="B244" s="66"/>
      <c r="C244" s="49"/>
      <c r="D244" s="49"/>
      <c r="E244" s="49"/>
      <c r="F244" s="49"/>
      <c r="G244" s="49" t="s">
        <v>243</v>
      </c>
      <c r="H244" s="63">
        <v>-279.7</v>
      </c>
      <c r="I244" s="63">
        <v>0</v>
      </c>
      <c r="J244" s="64">
        <v>0</v>
      </c>
      <c r="K244" s="64">
        <v>0</v>
      </c>
      <c r="L244" s="65">
        <v>0</v>
      </c>
      <c r="M244" s="65">
        <v>0</v>
      </c>
      <c r="N244" s="66">
        <f t="shared" si="137"/>
        <v>-279.7</v>
      </c>
      <c r="O244" s="66">
        <v>0</v>
      </c>
      <c r="P244" s="69">
        <f t="shared" si="110"/>
        <v>-93.233333333333334</v>
      </c>
      <c r="Q244" s="69">
        <f t="shared" si="110"/>
        <v>0</v>
      </c>
      <c r="R244" s="294"/>
      <c r="S244" s="49"/>
      <c r="T244" s="49"/>
      <c r="U244" s="49"/>
      <c r="V244" s="49"/>
      <c r="W244" s="49"/>
      <c r="X244" s="49"/>
      <c r="Y244" s="49" t="s">
        <v>243</v>
      </c>
      <c r="Z244" s="66">
        <v>0</v>
      </c>
      <c r="AA244" s="280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M244" s="66"/>
    </row>
    <row r="245" spans="1:39" hidden="1" x14ac:dyDescent="0.35">
      <c r="A245" s="66"/>
      <c r="B245" s="66"/>
      <c r="C245" s="49"/>
      <c r="D245" s="49"/>
      <c r="E245" s="49"/>
      <c r="F245" s="49"/>
      <c r="G245" s="49" t="s">
        <v>244</v>
      </c>
      <c r="H245" s="63">
        <v>752.32</v>
      </c>
      <c r="I245" s="63">
        <v>0</v>
      </c>
      <c r="J245" s="64">
        <v>1102.95</v>
      </c>
      <c r="K245" s="64">
        <v>0</v>
      </c>
      <c r="L245" s="65">
        <v>213.46</v>
      </c>
      <c r="M245" s="65">
        <v>600</v>
      </c>
      <c r="N245" s="66">
        <f t="shared" si="137"/>
        <v>2068.73</v>
      </c>
      <c r="O245" s="66">
        <f>ROUND(I245+K245+M245,5)</f>
        <v>600</v>
      </c>
      <c r="P245" s="69">
        <f t="shared" si="110"/>
        <v>689.57666666666671</v>
      </c>
      <c r="Q245" s="69">
        <f t="shared" si="110"/>
        <v>200</v>
      </c>
      <c r="R245" s="294"/>
      <c r="S245" s="49"/>
      <c r="T245" s="49"/>
      <c r="U245" s="49"/>
      <c r="V245" s="49"/>
      <c r="W245" s="49"/>
      <c r="X245" s="49"/>
      <c r="Y245" s="49" t="s">
        <v>244</v>
      </c>
      <c r="Z245" s="66">
        <v>1906.37</v>
      </c>
      <c r="AA245" s="280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M245" s="66"/>
    </row>
    <row r="246" spans="1:39" hidden="1" x14ac:dyDescent="0.35">
      <c r="A246" s="66"/>
      <c r="B246" s="66"/>
      <c r="C246" s="49"/>
      <c r="D246" s="49"/>
      <c r="E246" s="49"/>
      <c r="F246" s="49"/>
      <c r="G246" s="49" t="s">
        <v>245</v>
      </c>
      <c r="H246" s="63">
        <v>126.77</v>
      </c>
      <c r="I246" s="63">
        <v>0</v>
      </c>
      <c r="J246" s="64">
        <v>0</v>
      </c>
      <c r="K246" s="64">
        <v>0</v>
      </c>
      <c r="L246" s="65">
        <v>0</v>
      </c>
      <c r="M246" s="65">
        <v>100</v>
      </c>
      <c r="N246" s="66">
        <f t="shared" si="137"/>
        <v>126.77</v>
      </c>
      <c r="O246" s="66">
        <f>ROUND(I246+K246+M246,5)</f>
        <v>100</v>
      </c>
      <c r="P246" s="69">
        <f t="shared" si="110"/>
        <v>42.256666666666668</v>
      </c>
      <c r="Q246" s="69">
        <f t="shared" si="110"/>
        <v>33.333333333333336</v>
      </c>
      <c r="R246" s="294"/>
      <c r="S246" s="49"/>
      <c r="T246" s="49"/>
      <c r="U246" s="49"/>
      <c r="V246" s="49"/>
      <c r="W246" s="49"/>
      <c r="X246" s="49"/>
      <c r="Y246" s="49" t="s">
        <v>245</v>
      </c>
      <c r="Z246" s="66">
        <v>77.5</v>
      </c>
      <c r="AA246" s="280"/>
      <c r="AB246" s="66"/>
      <c r="AC246" s="66"/>
      <c r="AD246" s="66"/>
      <c r="AE246" s="66"/>
      <c r="AF246" s="66"/>
      <c r="AG246" s="66"/>
      <c r="AH246" s="66"/>
      <c r="AI246" s="66"/>
      <c r="AJ246" s="66"/>
      <c r="AK246" s="66"/>
      <c r="AM246" s="66"/>
    </row>
    <row r="247" spans="1:39" hidden="1" x14ac:dyDescent="0.35">
      <c r="A247" s="66"/>
      <c r="B247" s="66"/>
      <c r="C247" s="49"/>
      <c r="D247" s="49"/>
      <c r="E247" s="49"/>
      <c r="F247" s="49"/>
      <c r="G247" s="49" t="s">
        <v>246</v>
      </c>
      <c r="H247" s="63">
        <v>2305.27</v>
      </c>
      <c r="I247" s="63">
        <v>0</v>
      </c>
      <c r="J247" s="64">
        <v>1337.36</v>
      </c>
      <c r="K247" s="64">
        <v>6718.32</v>
      </c>
      <c r="L247" s="65">
        <v>1041.3</v>
      </c>
      <c r="M247" s="65">
        <v>400</v>
      </c>
      <c r="N247" s="66">
        <f t="shared" si="137"/>
        <v>4683.93</v>
      </c>
      <c r="O247" s="66">
        <f>ROUND(I247+K247+M247,5)</f>
        <v>7118.32</v>
      </c>
      <c r="P247" s="69">
        <f t="shared" si="110"/>
        <v>1561.3100000000002</v>
      </c>
      <c r="Q247" s="69">
        <f t="shared" si="110"/>
        <v>2372.7733333333331</v>
      </c>
      <c r="R247" s="294"/>
      <c r="S247" s="49"/>
      <c r="T247" s="49"/>
      <c r="U247" s="49"/>
      <c r="V247" s="49"/>
      <c r="W247" s="49"/>
      <c r="X247" s="49"/>
      <c r="Y247" s="49" t="s">
        <v>246</v>
      </c>
      <c r="Z247" s="66">
        <v>1340.59</v>
      </c>
      <c r="AA247" s="280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  <c r="AM247" s="66"/>
    </row>
    <row r="248" spans="1:39" hidden="1" x14ac:dyDescent="0.35">
      <c r="A248" s="66"/>
      <c r="B248" s="66"/>
      <c r="C248" s="49"/>
      <c r="D248" s="49"/>
      <c r="E248" s="49"/>
      <c r="F248" s="49"/>
      <c r="G248" s="49" t="s">
        <v>247</v>
      </c>
      <c r="H248" s="63">
        <v>1122.5</v>
      </c>
      <c r="I248" s="63">
        <v>0</v>
      </c>
      <c r="J248" s="64">
        <v>1186.44</v>
      </c>
      <c r="K248" s="64">
        <v>3919.02</v>
      </c>
      <c r="L248" s="65">
        <v>604.15</v>
      </c>
      <c r="M248" s="65">
        <v>800</v>
      </c>
      <c r="N248" s="66">
        <f t="shared" si="137"/>
        <v>2913.09</v>
      </c>
      <c r="O248" s="66">
        <f>ROUND(I248+K248+M248,5)</f>
        <v>4719.0200000000004</v>
      </c>
      <c r="P248" s="69">
        <f t="shared" si="110"/>
        <v>971.03000000000009</v>
      </c>
      <c r="Q248" s="69">
        <f t="shared" si="110"/>
        <v>1573.0066666666669</v>
      </c>
      <c r="R248" s="294"/>
      <c r="S248" s="49"/>
      <c r="T248" s="49"/>
      <c r="U248" s="49"/>
      <c r="V248" s="49"/>
      <c r="W248" s="49"/>
      <c r="X248" s="49"/>
      <c r="Y248" s="49" t="s">
        <v>247</v>
      </c>
      <c r="Z248" s="66">
        <v>1267.47</v>
      </c>
      <c r="AA248" s="280"/>
      <c r="AB248" s="66"/>
      <c r="AC248" s="66"/>
      <c r="AD248" s="66"/>
      <c r="AE248" s="66"/>
      <c r="AF248" s="66"/>
      <c r="AG248" s="66"/>
      <c r="AH248" s="66"/>
      <c r="AI248" s="66"/>
      <c r="AJ248" s="66"/>
      <c r="AK248" s="66"/>
      <c r="AM248" s="66"/>
    </row>
    <row r="249" spans="1:39" hidden="1" x14ac:dyDescent="0.35">
      <c r="A249" s="66"/>
      <c r="B249" s="66"/>
      <c r="C249" s="49"/>
      <c r="D249" s="49"/>
      <c r="E249" s="49"/>
      <c r="F249" s="49"/>
      <c r="G249" s="49" t="s">
        <v>248</v>
      </c>
      <c r="H249" s="63">
        <v>707.41</v>
      </c>
      <c r="I249" s="63">
        <v>0</v>
      </c>
      <c r="J249" s="64">
        <v>1531</v>
      </c>
      <c r="K249" s="64">
        <v>1119.72</v>
      </c>
      <c r="L249" s="65">
        <v>2370.2199999999998</v>
      </c>
      <c r="M249" s="65">
        <v>500</v>
      </c>
      <c r="N249" s="66">
        <f t="shared" si="137"/>
        <v>4608.63</v>
      </c>
      <c r="O249" s="66">
        <f>ROUND(I249+K249+M249,5)</f>
        <v>1619.72</v>
      </c>
      <c r="P249" s="69">
        <f t="shared" si="110"/>
        <v>1536.21</v>
      </c>
      <c r="Q249" s="69">
        <f t="shared" si="110"/>
        <v>539.90666666666664</v>
      </c>
      <c r="R249" s="294"/>
      <c r="S249" s="49"/>
      <c r="T249" s="49"/>
      <c r="U249" s="49"/>
      <c r="V249" s="49"/>
      <c r="W249" s="49"/>
      <c r="X249" s="49"/>
      <c r="Y249" s="49" t="s">
        <v>248</v>
      </c>
      <c r="Z249" s="66">
        <v>5069.88</v>
      </c>
      <c r="AA249" s="280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  <c r="AM249" s="66"/>
    </row>
    <row r="250" spans="1:39" hidden="1" x14ac:dyDescent="0.35">
      <c r="A250" s="66"/>
      <c r="B250" s="66"/>
      <c r="C250" s="49"/>
      <c r="D250" s="49"/>
      <c r="E250" s="49"/>
      <c r="F250" s="49"/>
      <c r="G250" s="49" t="s">
        <v>249</v>
      </c>
      <c r="H250" s="63">
        <v>0</v>
      </c>
      <c r="I250" s="63">
        <v>0</v>
      </c>
      <c r="J250" s="64">
        <v>78.989999999999995</v>
      </c>
      <c r="K250" s="64">
        <v>0</v>
      </c>
      <c r="L250" s="65">
        <v>0</v>
      </c>
      <c r="M250" s="65">
        <v>0</v>
      </c>
      <c r="N250" s="66">
        <f t="shared" si="137"/>
        <v>78.989999999999995</v>
      </c>
      <c r="O250" s="66">
        <v>0</v>
      </c>
      <c r="P250" s="69">
        <f t="shared" si="110"/>
        <v>26.33</v>
      </c>
      <c r="Q250" s="69">
        <f t="shared" si="110"/>
        <v>0</v>
      </c>
      <c r="R250" s="294"/>
      <c r="S250" s="49"/>
      <c r="T250" s="49"/>
      <c r="U250" s="49"/>
      <c r="V250" s="49"/>
      <c r="W250" s="49"/>
      <c r="X250" s="49"/>
      <c r="Y250" s="49" t="s">
        <v>249</v>
      </c>
      <c r="Z250" s="66">
        <v>0</v>
      </c>
      <c r="AA250" s="280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  <c r="AM250" s="66"/>
    </row>
    <row r="251" spans="1:39" hidden="1" x14ac:dyDescent="0.35">
      <c r="A251" s="66"/>
      <c r="B251" s="66"/>
      <c r="C251" s="49"/>
      <c r="D251" s="49"/>
      <c r="E251" s="49"/>
      <c r="F251" s="49"/>
      <c r="G251" s="49" t="s">
        <v>250</v>
      </c>
      <c r="H251" s="63">
        <v>0</v>
      </c>
      <c r="I251" s="63">
        <v>0</v>
      </c>
      <c r="J251" s="64">
        <v>0</v>
      </c>
      <c r="K251" s="64">
        <v>1119.72</v>
      </c>
      <c r="L251" s="65">
        <v>0</v>
      </c>
      <c r="M251" s="65">
        <v>100</v>
      </c>
      <c r="N251" s="66">
        <f t="shared" si="137"/>
        <v>0</v>
      </c>
      <c r="O251" s="66">
        <f>ROUND(I251+K251+M251,5)</f>
        <v>1219.72</v>
      </c>
      <c r="P251" s="69">
        <f t="shared" si="110"/>
        <v>0</v>
      </c>
      <c r="Q251" s="69">
        <f t="shared" si="110"/>
        <v>406.57333333333332</v>
      </c>
      <c r="R251" s="294"/>
      <c r="S251" s="49"/>
      <c r="T251" s="49"/>
      <c r="U251" s="49"/>
      <c r="V251" s="49"/>
      <c r="W251" s="49"/>
      <c r="X251" s="49"/>
      <c r="Y251" s="49" t="s">
        <v>250</v>
      </c>
      <c r="Z251" s="66">
        <v>124.01</v>
      </c>
      <c r="AA251" s="280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M251" s="66"/>
    </row>
    <row r="252" spans="1:39" hidden="1" x14ac:dyDescent="0.35">
      <c r="A252" s="66"/>
      <c r="B252" s="66"/>
      <c r="C252" s="49"/>
      <c r="D252" s="49"/>
      <c r="E252" s="49"/>
      <c r="F252" s="49"/>
      <c r="G252" s="49" t="s">
        <v>251</v>
      </c>
      <c r="H252" s="63">
        <v>0</v>
      </c>
      <c r="I252" s="63">
        <v>0</v>
      </c>
      <c r="J252" s="64">
        <v>469.32</v>
      </c>
      <c r="K252" s="64">
        <v>356.04</v>
      </c>
      <c r="L252" s="65">
        <v>0</v>
      </c>
      <c r="M252" s="65">
        <v>0</v>
      </c>
      <c r="N252" s="66">
        <f t="shared" ref="N252:N257" si="138">ROUND(H252+J252+L252,5)</f>
        <v>469.32</v>
      </c>
      <c r="O252" s="66">
        <f>ROUND(I252+K252+M252,5)</f>
        <v>356.04</v>
      </c>
      <c r="P252" s="69">
        <f t="shared" si="110"/>
        <v>156.44</v>
      </c>
      <c r="Q252" s="69">
        <f t="shared" si="110"/>
        <v>118.68</v>
      </c>
      <c r="R252" s="294"/>
      <c r="S252" s="49"/>
      <c r="T252" s="49"/>
      <c r="U252" s="49"/>
      <c r="V252" s="49"/>
      <c r="W252" s="49"/>
      <c r="X252" s="49"/>
      <c r="Y252" s="49" t="s">
        <v>251</v>
      </c>
      <c r="Z252" s="66">
        <v>180.39</v>
      </c>
      <c r="AA252" s="280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M252" s="66"/>
    </row>
    <row r="253" spans="1:39" hidden="1" x14ac:dyDescent="0.35">
      <c r="A253" s="66"/>
      <c r="B253" s="66"/>
      <c r="C253" s="49"/>
      <c r="D253" s="49"/>
      <c r="E253" s="49"/>
      <c r="F253" s="49"/>
      <c r="G253" s="49" t="s">
        <v>252</v>
      </c>
      <c r="H253" s="63">
        <v>0</v>
      </c>
      <c r="I253" s="63">
        <v>0</v>
      </c>
      <c r="J253" s="64">
        <v>0</v>
      </c>
      <c r="K253" s="64">
        <v>1424.16</v>
      </c>
      <c r="L253" s="65">
        <v>0</v>
      </c>
      <c r="M253" s="65">
        <v>100</v>
      </c>
      <c r="N253" s="66">
        <f t="shared" si="138"/>
        <v>0</v>
      </c>
      <c r="O253" s="66">
        <f>ROUND(I253+K253+M253,5)</f>
        <v>1524.16</v>
      </c>
      <c r="P253" s="69">
        <f t="shared" si="110"/>
        <v>0</v>
      </c>
      <c r="Q253" s="69">
        <f t="shared" si="110"/>
        <v>508.05333333333334</v>
      </c>
      <c r="R253" s="294"/>
      <c r="S253" s="49"/>
      <c r="T253" s="49"/>
      <c r="U253" s="49"/>
      <c r="V253" s="49"/>
      <c r="W253" s="49"/>
      <c r="X253" s="49"/>
      <c r="Y253" s="49" t="s">
        <v>252</v>
      </c>
      <c r="Z253" s="66">
        <v>121.87</v>
      </c>
      <c r="AA253" s="280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M253" s="66"/>
    </row>
    <row r="254" spans="1:39" hidden="1" x14ac:dyDescent="0.35">
      <c r="A254" s="66"/>
      <c r="B254" s="66"/>
      <c r="C254" s="49"/>
      <c r="D254" s="49"/>
      <c r="E254" s="49"/>
      <c r="F254" s="49"/>
      <c r="G254" s="49" t="s">
        <v>253</v>
      </c>
      <c r="H254" s="63">
        <v>0</v>
      </c>
      <c r="I254" s="63">
        <v>0</v>
      </c>
      <c r="J254" s="64">
        <v>164.65</v>
      </c>
      <c r="K254" s="64">
        <v>0</v>
      </c>
      <c r="L254" s="65">
        <v>131.30000000000001</v>
      </c>
      <c r="M254" s="65">
        <v>0</v>
      </c>
      <c r="N254" s="66">
        <f t="shared" si="138"/>
        <v>295.95</v>
      </c>
      <c r="O254" s="66">
        <v>0</v>
      </c>
      <c r="P254" s="69">
        <f t="shared" si="110"/>
        <v>98.649999999999991</v>
      </c>
      <c r="Q254" s="69">
        <f t="shared" si="110"/>
        <v>0</v>
      </c>
      <c r="R254" s="294"/>
      <c r="S254" s="49"/>
      <c r="T254" s="49"/>
      <c r="U254" s="49"/>
      <c r="V254" s="49"/>
      <c r="W254" s="49"/>
      <c r="X254" s="49"/>
      <c r="Y254" s="49" t="s">
        <v>253</v>
      </c>
      <c r="Z254" s="66">
        <v>463</v>
      </c>
      <c r="AA254" s="280"/>
      <c r="AB254" s="66"/>
      <c r="AC254" s="66"/>
      <c r="AD254" s="66"/>
      <c r="AE254" s="66"/>
      <c r="AF254" s="66"/>
      <c r="AG254" s="66"/>
      <c r="AH254" s="66"/>
      <c r="AI254" s="66"/>
      <c r="AJ254" s="66"/>
      <c r="AK254" s="66"/>
      <c r="AM254" s="66"/>
    </row>
    <row r="255" spans="1:39" hidden="1" x14ac:dyDescent="0.35">
      <c r="A255" s="66"/>
      <c r="B255" s="66"/>
      <c r="C255" s="49"/>
      <c r="D255" s="49"/>
      <c r="E255" s="49"/>
      <c r="F255" s="49"/>
      <c r="G255" s="49" t="s">
        <v>254</v>
      </c>
      <c r="H255" s="63">
        <v>0</v>
      </c>
      <c r="I255" s="63">
        <v>0</v>
      </c>
      <c r="J255" s="64">
        <v>0</v>
      </c>
      <c r="K255" s="64">
        <v>0</v>
      </c>
      <c r="L255" s="65">
        <v>0</v>
      </c>
      <c r="M255" s="65">
        <v>0</v>
      </c>
      <c r="N255" s="66">
        <f t="shared" si="138"/>
        <v>0</v>
      </c>
      <c r="O255" s="66">
        <f>ROUND(I255+K255+M255,5)</f>
        <v>0</v>
      </c>
      <c r="P255" s="69">
        <f t="shared" si="110"/>
        <v>0</v>
      </c>
      <c r="Q255" s="69">
        <f t="shared" si="110"/>
        <v>0</v>
      </c>
      <c r="R255" s="294"/>
      <c r="S255" s="49"/>
      <c r="T255" s="49"/>
      <c r="U255" s="49"/>
      <c r="V255" s="49"/>
      <c r="W255" s="49"/>
      <c r="X255" s="49"/>
      <c r="Y255" s="49" t="s">
        <v>254</v>
      </c>
      <c r="Z255" s="66">
        <v>31.45</v>
      </c>
      <c r="AA255" s="280"/>
      <c r="AB255" s="66"/>
      <c r="AC255" s="66"/>
      <c r="AD255" s="66"/>
      <c r="AE255" s="66"/>
      <c r="AF255" s="66"/>
      <c r="AG255" s="66"/>
      <c r="AH255" s="66"/>
      <c r="AI255" s="66"/>
      <c r="AJ255" s="66"/>
      <c r="AK255" s="66"/>
      <c r="AM255" s="66"/>
    </row>
    <row r="256" spans="1:39" ht="16" hidden="1" thickBot="1" x14ac:dyDescent="0.4">
      <c r="A256" s="66"/>
      <c r="B256" s="66"/>
      <c r="C256" s="49"/>
      <c r="D256" s="49"/>
      <c r="E256" s="49"/>
      <c r="F256" s="49"/>
      <c r="G256" s="49" t="s">
        <v>255</v>
      </c>
      <c r="H256" s="70">
        <v>0</v>
      </c>
      <c r="I256" s="70">
        <v>0</v>
      </c>
      <c r="J256" s="71">
        <v>0</v>
      </c>
      <c r="K256" s="71">
        <v>0</v>
      </c>
      <c r="L256" s="72">
        <v>0</v>
      </c>
      <c r="M256" s="72">
        <v>0</v>
      </c>
      <c r="N256" s="73">
        <f t="shared" si="138"/>
        <v>0</v>
      </c>
      <c r="O256" s="73">
        <f>ROUND(I256+K256+M256,5)</f>
        <v>0</v>
      </c>
      <c r="P256" s="74">
        <f t="shared" si="110"/>
        <v>0</v>
      </c>
      <c r="Q256" s="74">
        <f t="shared" si="110"/>
        <v>0</v>
      </c>
      <c r="R256" s="294"/>
      <c r="S256" s="49"/>
      <c r="T256" s="49"/>
      <c r="U256" s="49"/>
      <c r="V256" s="49"/>
      <c r="W256" s="49"/>
      <c r="X256" s="49"/>
      <c r="Y256" s="49" t="s">
        <v>255</v>
      </c>
      <c r="Z256" s="73">
        <v>31.45</v>
      </c>
      <c r="AA256" s="280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M256" s="73"/>
    </row>
    <row r="257" spans="1:39" hidden="1" x14ac:dyDescent="0.35">
      <c r="A257" s="66"/>
      <c r="B257" s="66"/>
      <c r="C257" s="49"/>
      <c r="D257" s="49"/>
      <c r="E257" s="49"/>
      <c r="F257" s="49" t="s">
        <v>256</v>
      </c>
      <c r="G257" s="49"/>
      <c r="H257" s="63">
        <f t="shared" ref="H257:M257" si="139">ROUND(SUM(H235:H256),5)</f>
        <v>9952.77</v>
      </c>
      <c r="I257" s="63">
        <f t="shared" si="139"/>
        <v>0</v>
      </c>
      <c r="J257" s="64">
        <f t="shared" si="139"/>
        <v>12257.65</v>
      </c>
      <c r="K257" s="64">
        <f t="shared" si="139"/>
        <v>43741.32</v>
      </c>
      <c r="L257" s="65">
        <f t="shared" si="139"/>
        <v>8499.8799999999992</v>
      </c>
      <c r="M257" s="65">
        <f t="shared" si="139"/>
        <v>5300</v>
      </c>
      <c r="N257" s="66">
        <f t="shared" si="138"/>
        <v>30710.3</v>
      </c>
      <c r="O257" s="66">
        <f>ROUND(I257+K257+M257,5)</f>
        <v>49041.32</v>
      </c>
      <c r="P257" s="69">
        <f t="shared" si="110"/>
        <v>10236.766666666666</v>
      </c>
      <c r="Q257" s="69">
        <f t="shared" si="110"/>
        <v>16347.106666666667</v>
      </c>
      <c r="R257" s="294"/>
      <c r="S257" s="49"/>
      <c r="T257" s="49"/>
      <c r="U257" s="49"/>
      <c r="V257" s="49"/>
      <c r="W257" s="49"/>
      <c r="X257" s="49" t="s">
        <v>256</v>
      </c>
      <c r="Y257" s="49"/>
      <c r="Z257" s="66">
        <f>ROUND(SUM(Z235:Z256),5)</f>
        <v>22896.22</v>
      </c>
      <c r="AA257" s="280"/>
      <c r="AB257" s="66">
        <f t="shared" ref="AB257:AK257" si="140">ROUND(SUM(AB235:AB256),5)</f>
        <v>0</v>
      </c>
      <c r="AC257" s="66">
        <f t="shared" si="140"/>
        <v>0</v>
      </c>
      <c r="AD257" s="66">
        <f t="shared" si="140"/>
        <v>0</v>
      </c>
      <c r="AE257" s="66">
        <f t="shared" si="140"/>
        <v>0</v>
      </c>
      <c r="AF257" s="66">
        <f t="shared" si="140"/>
        <v>0</v>
      </c>
      <c r="AG257" s="66">
        <f t="shared" si="140"/>
        <v>0</v>
      </c>
      <c r="AH257" s="66">
        <f t="shared" si="140"/>
        <v>0</v>
      </c>
      <c r="AI257" s="66">
        <f t="shared" si="140"/>
        <v>0</v>
      </c>
      <c r="AJ257" s="66">
        <f t="shared" si="140"/>
        <v>0</v>
      </c>
      <c r="AK257" s="66">
        <f t="shared" si="140"/>
        <v>0</v>
      </c>
      <c r="AM257" s="66">
        <f t="shared" ref="AM257" si="141">ROUND(SUM(AM235:AM256),5)</f>
        <v>0</v>
      </c>
    </row>
    <row r="258" spans="1:39" hidden="1" x14ac:dyDescent="0.35">
      <c r="A258" s="66"/>
      <c r="B258" s="66"/>
      <c r="C258" s="49"/>
      <c r="D258" s="49"/>
      <c r="E258" s="49"/>
      <c r="F258" s="49" t="s">
        <v>257</v>
      </c>
      <c r="G258" s="49"/>
      <c r="H258" s="63"/>
      <c r="I258" s="63"/>
      <c r="J258" s="64"/>
      <c r="K258" s="64"/>
      <c r="L258" s="65"/>
      <c r="M258" s="65"/>
      <c r="N258" s="66"/>
      <c r="O258" s="66"/>
      <c r="P258" s="69">
        <f t="shared" si="110"/>
        <v>0</v>
      </c>
      <c r="Q258" s="69">
        <f t="shared" si="110"/>
        <v>0</v>
      </c>
      <c r="R258" s="294"/>
      <c r="S258" s="49"/>
      <c r="T258" s="49"/>
      <c r="U258" s="49"/>
      <c r="V258" s="49"/>
      <c r="W258" s="49"/>
      <c r="X258" s="49" t="s">
        <v>257</v>
      </c>
      <c r="Y258" s="49"/>
      <c r="Z258" s="66"/>
      <c r="AA258" s="280"/>
      <c r="AB258" s="66"/>
      <c r="AC258" s="66"/>
      <c r="AD258" s="66"/>
      <c r="AE258" s="66"/>
      <c r="AF258" s="66"/>
      <c r="AG258" s="66"/>
      <c r="AH258" s="66"/>
      <c r="AI258" s="66"/>
      <c r="AJ258" s="66"/>
      <c r="AK258" s="66"/>
      <c r="AM258" s="66"/>
    </row>
    <row r="259" spans="1:39" hidden="1" x14ac:dyDescent="0.35">
      <c r="A259" s="66"/>
      <c r="B259" s="66"/>
      <c r="C259" s="49"/>
      <c r="D259" s="49"/>
      <c r="E259" s="49"/>
      <c r="F259" s="49"/>
      <c r="G259" s="49" t="s">
        <v>258</v>
      </c>
      <c r="H259" s="63">
        <v>0</v>
      </c>
      <c r="I259" s="63">
        <v>0</v>
      </c>
      <c r="J259" s="64">
        <v>73.44</v>
      </c>
      <c r="K259" s="64">
        <v>3359.16</v>
      </c>
      <c r="L259" s="65">
        <v>218.63</v>
      </c>
      <c r="M259" s="65">
        <v>200</v>
      </c>
      <c r="N259" s="66">
        <f t="shared" ref="N259:O263" si="142">ROUND(H259+J259+L259,5)</f>
        <v>292.07</v>
      </c>
      <c r="O259" s="66">
        <f t="shared" si="142"/>
        <v>3559.16</v>
      </c>
      <c r="P259" s="69">
        <f t="shared" si="110"/>
        <v>97.356666666666669</v>
      </c>
      <c r="Q259" s="69">
        <f t="shared" si="110"/>
        <v>1186.3866666666665</v>
      </c>
      <c r="R259" s="294"/>
      <c r="S259" s="49"/>
      <c r="T259" s="49"/>
      <c r="U259" s="49"/>
      <c r="V259" s="49"/>
      <c r="W259" s="49"/>
      <c r="X259" s="49"/>
      <c r="Y259" s="49" t="s">
        <v>258</v>
      </c>
      <c r="Z259" s="66">
        <v>1413.72</v>
      </c>
      <c r="AA259" s="280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M259" s="66"/>
    </row>
    <row r="260" spans="1:39" hidden="1" x14ac:dyDescent="0.35">
      <c r="A260" s="66"/>
      <c r="B260" s="66"/>
      <c r="C260" s="49"/>
      <c r="D260" s="49"/>
      <c r="E260" s="49"/>
      <c r="F260" s="49"/>
      <c r="G260" s="49" t="s">
        <v>259</v>
      </c>
      <c r="H260" s="63">
        <v>0</v>
      </c>
      <c r="I260" s="63">
        <v>0</v>
      </c>
      <c r="J260" s="64">
        <v>0</v>
      </c>
      <c r="K260" s="64">
        <v>0</v>
      </c>
      <c r="L260" s="65">
        <v>0</v>
      </c>
      <c r="M260" s="65">
        <v>0</v>
      </c>
      <c r="N260" s="66">
        <f t="shared" si="142"/>
        <v>0</v>
      </c>
      <c r="O260" s="66">
        <f t="shared" si="142"/>
        <v>0</v>
      </c>
      <c r="P260" s="69">
        <f t="shared" ref="P260:Q323" si="143">N260/3</f>
        <v>0</v>
      </c>
      <c r="Q260" s="69">
        <f t="shared" si="143"/>
        <v>0</v>
      </c>
      <c r="R260" s="294"/>
      <c r="S260" s="49"/>
      <c r="T260" s="49"/>
      <c r="U260" s="49"/>
      <c r="V260" s="49"/>
      <c r="W260" s="49"/>
      <c r="X260" s="49"/>
      <c r="Y260" s="49" t="s">
        <v>259</v>
      </c>
      <c r="Z260" s="66">
        <v>0</v>
      </c>
      <c r="AA260" s="280"/>
      <c r="AB260" s="66"/>
      <c r="AC260" s="66"/>
      <c r="AD260" s="66"/>
      <c r="AE260" s="66"/>
      <c r="AF260" s="66"/>
      <c r="AG260" s="66"/>
      <c r="AH260" s="66"/>
      <c r="AI260" s="66"/>
      <c r="AJ260" s="66"/>
      <c r="AK260" s="66"/>
      <c r="AM260" s="66"/>
    </row>
    <row r="261" spans="1:39" hidden="1" x14ac:dyDescent="0.35">
      <c r="A261" s="66"/>
      <c r="B261" s="66"/>
      <c r="C261" s="49"/>
      <c r="D261" s="49"/>
      <c r="E261" s="49"/>
      <c r="F261" s="49"/>
      <c r="G261" s="49" t="s">
        <v>260</v>
      </c>
      <c r="H261" s="63">
        <v>414.94</v>
      </c>
      <c r="I261" s="63">
        <v>0</v>
      </c>
      <c r="J261" s="64">
        <v>0</v>
      </c>
      <c r="K261" s="64">
        <v>1424.16</v>
      </c>
      <c r="L261" s="65">
        <v>0</v>
      </c>
      <c r="M261" s="65">
        <v>200</v>
      </c>
      <c r="N261" s="66">
        <f t="shared" si="142"/>
        <v>414.94</v>
      </c>
      <c r="O261" s="66">
        <f t="shared" si="142"/>
        <v>1624.16</v>
      </c>
      <c r="P261" s="69">
        <f t="shared" si="143"/>
        <v>138.31333333333333</v>
      </c>
      <c r="Q261" s="69">
        <f t="shared" si="143"/>
        <v>541.38666666666666</v>
      </c>
      <c r="R261" s="294"/>
      <c r="S261" s="49"/>
      <c r="T261" s="49"/>
      <c r="U261" s="49"/>
      <c r="V261" s="49"/>
      <c r="W261" s="49"/>
      <c r="X261" s="49"/>
      <c r="Y261" s="49" t="s">
        <v>260</v>
      </c>
      <c r="Z261" s="66">
        <v>144.44999999999999</v>
      </c>
      <c r="AA261" s="280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M261" s="66"/>
    </row>
    <row r="262" spans="1:39" ht="16" hidden="1" thickBot="1" x14ac:dyDescent="0.4">
      <c r="A262" s="66"/>
      <c r="B262" s="66"/>
      <c r="C262" s="49"/>
      <c r="D262" s="49"/>
      <c r="E262" s="49"/>
      <c r="F262" s="49"/>
      <c r="G262" s="49" t="s">
        <v>261</v>
      </c>
      <c r="H262" s="70">
        <v>0</v>
      </c>
      <c r="I262" s="70">
        <v>0</v>
      </c>
      <c r="J262" s="71">
        <v>0</v>
      </c>
      <c r="K262" s="71">
        <v>0</v>
      </c>
      <c r="L262" s="72">
        <v>0</v>
      </c>
      <c r="M262" s="72">
        <v>0</v>
      </c>
      <c r="N262" s="73">
        <f t="shared" si="142"/>
        <v>0</v>
      </c>
      <c r="O262" s="73">
        <f t="shared" si="142"/>
        <v>0</v>
      </c>
      <c r="P262" s="74">
        <f t="shared" si="143"/>
        <v>0</v>
      </c>
      <c r="Q262" s="74">
        <f t="shared" si="143"/>
        <v>0</v>
      </c>
      <c r="R262" s="294"/>
      <c r="S262" s="49"/>
      <c r="T262" s="49"/>
      <c r="U262" s="49"/>
      <c r="V262" s="49"/>
      <c r="W262" s="49"/>
      <c r="X262" s="49"/>
      <c r="Y262" s="49" t="s">
        <v>261</v>
      </c>
      <c r="Z262" s="73">
        <v>170.62</v>
      </c>
      <c r="AA262" s="280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M262" s="73"/>
    </row>
    <row r="263" spans="1:39" hidden="1" x14ac:dyDescent="0.35">
      <c r="A263" s="66"/>
      <c r="B263" s="66"/>
      <c r="C263" s="49"/>
      <c r="D263" s="49"/>
      <c r="E263" s="49"/>
      <c r="F263" s="49" t="s">
        <v>262</v>
      </c>
      <c r="G263" s="49"/>
      <c r="H263" s="63">
        <f t="shared" ref="H263:M263" si="144">ROUND(SUM(H258:H262),5)</f>
        <v>414.94</v>
      </c>
      <c r="I263" s="63">
        <f t="shared" si="144"/>
        <v>0</v>
      </c>
      <c r="J263" s="64">
        <f t="shared" si="144"/>
        <v>73.44</v>
      </c>
      <c r="K263" s="64">
        <f t="shared" si="144"/>
        <v>4783.32</v>
      </c>
      <c r="L263" s="65">
        <f t="shared" si="144"/>
        <v>218.63</v>
      </c>
      <c r="M263" s="65">
        <f t="shared" si="144"/>
        <v>400</v>
      </c>
      <c r="N263" s="66">
        <f t="shared" si="142"/>
        <v>707.01</v>
      </c>
      <c r="O263" s="66">
        <f t="shared" si="142"/>
        <v>5183.32</v>
      </c>
      <c r="P263" s="69">
        <f t="shared" si="143"/>
        <v>235.67</v>
      </c>
      <c r="Q263" s="69">
        <f t="shared" si="143"/>
        <v>1727.7733333333333</v>
      </c>
      <c r="R263" s="294"/>
      <c r="S263" s="49"/>
      <c r="T263" s="49"/>
      <c r="U263" s="49"/>
      <c r="V263" s="49"/>
      <c r="W263" s="49"/>
      <c r="X263" s="49" t="s">
        <v>262</v>
      </c>
      <c r="Y263" s="49"/>
      <c r="Z263" s="66">
        <f>ROUND(SUM(Z258:Z262),5)</f>
        <v>1728.79</v>
      </c>
      <c r="AA263" s="280"/>
      <c r="AB263" s="66">
        <f t="shared" ref="AB263:AK263" si="145">ROUND(SUM(AB258:AB262),5)</f>
        <v>0</v>
      </c>
      <c r="AC263" s="66">
        <f t="shared" si="145"/>
        <v>0</v>
      </c>
      <c r="AD263" s="66">
        <f t="shared" si="145"/>
        <v>0</v>
      </c>
      <c r="AE263" s="66">
        <f t="shared" si="145"/>
        <v>0</v>
      </c>
      <c r="AF263" s="66">
        <f t="shared" si="145"/>
        <v>0</v>
      </c>
      <c r="AG263" s="66">
        <f t="shared" si="145"/>
        <v>0</v>
      </c>
      <c r="AH263" s="66">
        <f t="shared" si="145"/>
        <v>0</v>
      </c>
      <c r="AI263" s="66">
        <f t="shared" si="145"/>
        <v>0</v>
      </c>
      <c r="AJ263" s="66">
        <f t="shared" si="145"/>
        <v>0</v>
      </c>
      <c r="AK263" s="66">
        <f t="shared" si="145"/>
        <v>0</v>
      </c>
      <c r="AM263" s="66">
        <f t="shared" ref="AM263" si="146">ROUND(SUM(AM258:AM262),5)</f>
        <v>0</v>
      </c>
    </row>
    <row r="264" spans="1:39" hidden="1" x14ac:dyDescent="0.35">
      <c r="A264" s="66"/>
      <c r="B264" s="66"/>
      <c r="C264" s="49"/>
      <c r="D264" s="49"/>
      <c r="E264" s="49"/>
      <c r="F264" s="49" t="s">
        <v>263</v>
      </c>
      <c r="G264" s="49"/>
      <c r="H264" s="63"/>
      <c r="I264" s="63"/>
      <c r="J264" s="64"/>
      <c r="K264" s="64"/>
      <c r="L264" s="65"/>
      <c r="M264" s="65"/>
      <c r="N264" s="66"/>
      <c r="O264" s="66"/>
      <c r="P264" s="69"/>
      <c r="Q264" s="69"/>
      <c r="R264" s="294"/>
      <c r="S264" s="49"/>
      <c r="T264" s="49"/>
      <c r="U264" s="49"/>
      <c r="V264" s="49"/>
      <c r="W264" s="49"/>
      <c r="X264" s="49" t="s">
        <v>263</v>
      </c>
      <c r="Y264" s="49"/>
      <c r="Z264" s="66"/>
      <c r="AA264" s="280"/>
      <c r="AB264" s="66"/>
      <c r="AC264" s="66"/>
      <c r="AD264" s="66"/>
      <c r="AE264" s="66"/>
      <c r="AF264" s="66"/>
      <c r="AG264" s="66"/>
      <c r="AH264" s="66"/>
      <c r="AI264" s="66"/>
      <c r="AJ264" s="66"/>
      <c r="AK264" s="66"/>
      <c r="AM264" s="66"/>
    </row>
    <row r="265" spans="1:39" hidden="1" x14ac:dyDescent="0.35">
      <c r="A265" s="66"/>
      <c r="B265" s="66"/>
      <c r="C265" s="49"/>
      <c r="D265" s="49"/>
      <c r="E265" s="49"/>
      <c r="F265" s="49"/>
      <c r="G265" s="49" t="s">
        <v>264</v>
      </c>
      <c r="H265" s="63">
        <v>5352.6</v>
      </c>
      <c r="I265" s="63">
        <v>0</v>
      </c>
      <c r="J265" s="64">
        <v>2003.94</v>
      </c>
      <c r="K265" s="64">
        <v>5038.74</v>
      </c>
      <c r="L265" s="65">
        <v>1876.51</v>
      </c>
      <c r="M265" s="65">
        <v>400</v>
      </c>
      <c r="N265" s="66">
        <f t="shared" ref="N265:O280" si="147">ROUND(H265+J265+L265,5)</f>
        <v>9233.0499999999993</v>
      </c>
      <c r="O265" s="66">
        <f t="shared" si="147"/>
        <v>5438.74</v>
      </c>
      <c r="P265" s="69">
        <f t="shared" si="143"/>
        <v>3077.6833333333329</v>
      </c>
      <c r="Q265" s="69">
        <f t="shared" si="143"/>
        <v>1812.9133333333332</v>
      </c>
      <c r="R265" s="294"/>
      <c r="S265" s="49"/>
      <c r="T265" s="49"/>
      <c r="U265" s="49"/>
      <c r="V265" s="49"/>
      <c r="W265" s="49"/>
      <c r="X265" s="49"/>
      <c r="Y265" s="49" t="s">
        <v>264</v>
      </c>
      <c r="Z265" s="66">
        <v>4241.1499999999996</v>
      </c>
      <c r="AA265" s="280"/>
      <c r="AB265" s="66"/>
      <c r="AC265" s="66"/>
      <c r="AD265" s="66"/>
      <c r="AE265" s="66"/>
      <c r="AF265" s="66"/>
      <c r="AG265" s="66"/>
      <c r="AH265" s="66"/>
      <c r="AI265" s="66"/>
      <c r="AJ265" s="66"/>
      <c r="AK265" s="66"/>
      <c r="AM265" s="66"/>
    </row>
    <row r="266" spans="1:39" hidden="1" x14ac:dyDescent="0.35">
      <c r="A266" s="66"/>
      <c r="B266" s="66"/>
      <c r="C266" s="49"/>
      <c r="D266" s="49"/>
      <c r="E266" s="49"/>
      <c r="F266" s="49"/>
      <c r="G266" s="49" t="s">
        <v>265</v>
      </c>
      <c r="H266" s="63">
        <v>0</v>
      </c>
      <c r="I266" s="63">
        <v>0</v>
      </c>
      <c r="J266" s="64">
        <v>173.59</v>
      </c>
      <c r="K266" s="64">
        <v>2239.44</v>
      </c>
      <c r="L266" s="65">
        <v>0</v>
      </c>
      <c r="M266" s="65">
        <v>300</v>
      </c>
      <c r="N266" s="66">
        <f t="shared" si="147"/>
        <v>173.59</v>
      </c>
      <c r="O266" s="66">
        <f t="shared" si="147"/>
        <v>2539.44</v>
      </c>
      <c r="P266" s="69">
        <f t="shared" si="143"/>
        <v>57.863333333333337</v>
      </c>
      <c r="Q266" s="69">
        <f t="shared" si="143"/>
        <v>846.48</v>
      </c>
      <c r="R266" s="294"/>
      <c r="S266" s="49"/>
      <c r="T266" s="49"/>
      <c r="U266" s="49"/>
      <c r="V266" s="49"/>
      <c r="W266" s="49"/>
      <c r="X266" s="49"/>
      <c r="Y266" s="49" t="s">
        <v>265</v>
      </c>
      <c r="Z266" s="66">
        <v>463.11</v>
      </c>
      <c r="AA266" s="280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M266" s="66"/>
    </row>
    <row r="267" spans="1:39" hidden="1" x14ac:dyDescent="0.35">
      <c r="A267" s="66"/>
      <c r="B267" s="66"/>
      <c r="C267" s="49"/>
      <c r="D267" s="49"/>
      <c r="E267" s="49"/>
      <c r="F267" s="49"/>
      <c r="G267" s="49" t="s">
        <v>266</v>
      </c>
      <c r="H267" s="63">
        <v>99.76</v>
      </c>
      <c r="I267" s="63">
        <v>0</v>
      </c>
      <c r="J267" s="64">
        <v>0</v>
      </c>
      <c r="K267" s="64">
        <v>1780.2</v>
      </c>
      <c r="L267" s="65">
        <v>0</v>
      </c>
      <c r="M267" s="65">
        <v>200</v>
      </c>
      <c r="N267" s="66">
        <f t="shared" si="147"/>
        <v>99.76</v>
      </c>
      <c r="O267" s="66">
        <f t="shared" si="147"/>
        <v>1980.2</v>
      </c>
      <c r="P267" s="69">
        <f t="shared" si="143"/>
        <v>33.253333333333337</v>
      </c>
      <c r="Q267" s="69">
        <f t="shared" si="143"/>
        <v>660.06666666666672</v>
      </c>
      <c r="R267" s="294"/>
      <c r="S267" s="49"/>
      <c r="T267" s="49"/>
      <c r="U267" s="49"/>
      <c r="V267" s="49"/>
      <c r="W267" s="49"/>
      <c r="X267" s="49"/>
      <c r="Y267" s="49" t="s">
        <v>266</v>
      </c>
      <c r="Z267" s="66">
        <v>77.5</v>
      </c>
      <c r="AA267" s="280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M267" s="66"/>
    </row>
    <row r="268" spans="1:39" hidden="1" x14ac:dyDescent="0.35">
      <c r="A268" s="66"/>
      <c r="B268" s="66"/>
      <c r="C268" s="49"/>
      <c r="D268" s="49"/>
      <c r="E268" s="49"/>
      <c r="F268" s="49"/>
      <c r="G268" s="49" t="s">
        <v>267</v>
      </c>
      <c r="H268" s="63">
        <v>1190.79</v>
      </c>
      <c r="I268" s="63">
        <v>0</v>
      </c>
      <c r="J268" s="64">
        <v>1195.3800000000001</v>
      </c>
      <c r="K268" s="64">
        <v>356.04</v>
      </c>
      <c r="L268" s="65">
        <v>370.17</v>
      </c>
      <c r="M268" s="65">
        <v>600</v>
      </c>
      <c r="N268" s="66">
        <f t="shared" si="147"/>
        <v>2756.34</v>
      </c>
      <c r="O268" s="66">
        <f t="shared" si="147"/>
        <v>956.04</v>
      </c>
      <c r="P268" s="69">
        <f t="shared" si="143"/>
        <v>918.78000000000009</v>
      </c>
      <c r="Q268" s="69">
        <f t="shared" si="143"/>
        <v>318.68</v>
      </c>
      <c r="R268" s="294"/>
      <c r="S268" s="49"/>
      <c r="T268" s="49"/>
      <c r="U268" s="49"/>
      <c r="V268" s="49"/>
      <c r="W268" s="49"/>
      <c r="X268" s="49"/>
      <c r="Y268" s="49" t="s">
        <v>267</v>
      </c>
      <c r="Z268" s="66">
        <v>2227.62</v>
      </c>
      <c r="AA268" s="280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M268" s="66"/>
    </row>
    <row r="269" spans="1:39" hidden="1" x14ac:dyDescent="0.35">
      <c r="A269" s="66"/>
      <c r="B269" s="66"/>
      <c r="C269" s="49"/>
      <c r="D269" s="49"/>
      <c r="E269" s="49"/>
      <c r="F269" s="49"/>
      <c r="G269" s="49" t="s">
        <v>268</v>
      </c>
      <c r="H269" s="63">
        <v>62</v>
      </c>
      <c r="I269" s="63">
        <v>0</v>
      </c>
      <c r="J269" s="64">
        <v>0</v>
      </c>
      <c r="K269" s="64">
        <v>0</v>
      </c>
      <c r="L269" s="65">
        <v>0</v>
      </c>
      <c r="M269" s="65">
        <v>718</v>
      </c>
      <c r="N269" s="66">
        <f t="shared" si="147"/>
        <v>62</v>
      </c>
      <c r="O269" s="66">
        <f t="shared" si="147"/>
        <v>718</v>
      </c>
      <c r="P269" s="69">
        <f t="shared" si="143"/>
        <v>20.666666666666668</v>
      </c>
      <c r="Q269" s="69">
        <f t="shared" si="143"/>
        <v>239.33333333333334</v>
      </c>
      <c r="R269" s="294"/>
      <c r="S269" s="49"/>
      <c r="T269" s="49"/>
      <c r="U269" s="49"/>
      <c r="V269" s="49"/>
      <c r="W269" s="49"/>
      <c r="X269" s="49"/>
      <c r="Y269" s="49" t="s">
        <v>268</v>
      </c>
      <c r="Z269" s="66">
        <v>121.87</v>
      </c>
      <c r="AA269" s="280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M269" s="66"/>
    </row>
    <row r="270" spans="1:39" hidden="1" x14ac:dyDescent="0.35">
      <c r="A270" s="66"/>
      <c r="B270" s="66"/>
      <c r="C270" s="49"/>
      <c r="D270" s="49"/>
      <c r="E270" s="49"/>
      <c r="F270" s="49"/>
      <c r="G270" s="49" t="s">
        <v>269</v>
      </c>
      <c r="H270" s="63">
        <v>0</v>
      </c>
      <c r="I270" s="63">
        <v>0</v>
      </c>
      <c r="J270" s="64">
        <v>5017.79</v>
      </c>
      <c r="K270" s="64">
        <v>1535.1</v>
      </c>
      <c r="L270" s="65">
        <v>0</v>
      </c>
      <c r="M270" s="65">
        <v>0</v>
      </c>
      <c r="N270" s="66">
        <f t="shared" si="147"/>
        <v>5017.79</v>
      </c>
      <c r="O270" s="66">
        <f t="shared" si="147"/>
        <v>1535.1</v>
      </c>
      <c r="P270" s="69">
        <f t="shared" si="143"/>
        <v>1672.5966666666666</v>
      </c>
      <c r="Q270" s="69">
        <f t="shared" si="143"/>
        <v>511.7</v>
      </c>
      <c r="R270" s="294"/>
      <c r="S270" s="49"/>
      <c r="T270" s="49"/>
      <c r="U270" s="49"/>
      <c r="V270" s="49"/>
      <c r="W270" s="49"/>
      <c r="X270" s="49"/>
      <c r="Y270" s="49" t="s">
        <v>269</v>
      </c>
      <c r="Z270" s="66">
        <v>725.17</v>
      </c>
      <c r="AA270" s="280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M270" s="66"/>
    </row>
    <row r="271" spans="1:39" hidden="1" x14ac:dyDescent="0.35">
      <c r="A271" s="66"/>
      <c r="B271" s="66"/>
      <c r="C271" s="49"/>
      <c r="D271" s="49"/>
      <c r="E271" s="49"/>
      <c r="F271" s="49"/>
      <c r="G271" s="49" t="s">
        <v>270</v>
      </c>
      <c r="H271" s="63">
        <v>0</v>
      </c>
      <c r="I271" s="63">
        <v>0</v>
      </c>
      <c r="J271" s="64">
        <v>0</v>
      </c>
      <c r="K271" s="64">
        <v>1780.2</v>
      </c>
      <c r="L271" s="65">
        <v>0</v>
      </c>
      <c r="M271" s="65">
        <v>100</v>
      </c>
      <c r="N271" s="66">
        <f t="shared" si="147"/>
        <v>0</v>
      </c>
      <c r="O271" s="66">
        <f t="shared" si="147"/>
        <v>1880.2</v>
      </c>
      <c r="P271" s="69">
        <f t="shared" si="143"/>
        <v>0</v>
      </c>
      <c r="Q271" s="69">
        <f t="shared" si="143"/>
        <v>626.73333333333335</v>
      </c>
      <c r="R271" s="294"/>
      <c r="S271" s="49"/>
      <c r="T271" s="49"/>
      <c r="U271" s="49"/>
      <c r="V271" s="49"/>
      <c r="W271" s="49"/>
      <c r="X271" s="49"/>
      <c r="Y271" s="49" t="s">
        <v>270</v>
      </c>
      <c r="Z271" s="66">
        <v>77.5</v>
      </c>
      <c r="AA271" s="280"/>
      <c r="AB271" s="66"/>
      <c r="AC271" s="66"/>
      <c r="AD271" s="66"/>
      <c r="AE271" s="66"/>
      <c r="AF271" s="66"/>
      <c r="AG271" s="66"/>
      <c r="AH271" s="66"/>
      <c r="AI271" s="66"/>
      <c r="AJ271" s="66"/>
      <c r="AK271" s="66"/>
      <c r="AM271" s="66"/>
    </row>
    <row r="272" spans="1:39" hidden="1" x14ac:dyDescent="0.35">
      <c r="A272" s="66"/>
      <c r="B272" s="66"/>
      <c r="C272" s="49"/>
      <c r="D272" s="49"/>
      <c r="E272" s="49"/>
      <c r="F272" s="49"/>
      <c r="G272" s="49" t="s">
        <v>271</v>
      </c>
      <c r="H272" s="63">
        <v>727.86</v>
      </c>
      <c r="I272" s="63">
        <v>0</v>
      </c>
      <c r="J272" s="64">
        <v>862.95</v>
      </c>
      <c r="K272" s="64">
        <v>1424.16</v>
      </c>
      <c r="L272" s="65">
        <v>260.79000000000002</v>
      </c>
      <c r="M272" s="65">
        <v>200</v>
      </c>
      <c r="N272" s="66">
        <f t="shared" si="147"/>
        <v>1851.6</v>
      </c>
      <c r="O272" s="66">
        <f t="shared" si="147"/>
        <v>1624.16</v>
      </c>
      <c r="P272" s="69">
        <f t="shared" si="143"/>
        <v>617.19999999999993</v>
      </c>
      <c r="Q272" s="69">
        <f t="shared" si="143"/>
        <v>541.38666666666666</v>
      </c>
      <c r="R272" s="294"/>
      <c r="S272" s="49"/>
      <c r="T272" s="49"/>
      <c r="U272" s="49"/>
      <c r="V272" s="49"/>
      <c r="W272" s="49"/>
      <c r="X272" s="49"/>
      <c r="Y272" s="49" t="s">
        <v>271</v>
      </c>
      <c r="Z272" s="66">
        <v>732.13</v>
      </c>
      <c r="AA272" s="280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M272" s="66"/>
    </row>
    <row r="273" spans="1:39" hidden="1" x14ac:dyDescent="0.35">
      <c r="A273" s="66"/>
      <c r="B273" s="66"/>
      <c r="C273" s="49"/>
      <c r="D273" s="49"/>
      <c r="E273" s="49"/>
      <c r="F273" s="49"/>
      <c r="G273" s="49" t="s">
        <v>272</v>
      </c>
      <c r="H273" s="63">
        <v>0</v>
      </c>
      <c r="I273" s="63">
        <v>0</v>
      </c>
      <c r="J273" s="64">
        <v>0</v>
      </c>
      <c r="K273" s="64">
        <v>4597.5600000000004</v>
      </c>
      <c r="L273" s="65">
        <v>0</v>
      </c>
      <c r="M273" s="65">
        <v>2111.7600000000002</v>
      </c>
      <c r="N273" s="66">
        <f t="shared" si="147"/>
        <v>0</v>
      </c>
      <c r="O273" s="66">
        <f t="shared" si="147"/>
        <v>6709.32</v>
      </c>
      <c r="P273" s="69">
        <f t="shared" si="143"/>
        <v>0</v>
      </c>
      <c r="Q273" s="69">
        <f t="shared" si="143"/>
        <v>2236.44</v>
      </c>
      <c r="R273" s="294"/>
      <c r="S273" s="49"/>
      <c r="T273" s="49"/>
      <c r="U273" s="49"/>
      <c r="V273" s="49"/>
      <c r="W273" s="49"/>
      <c r="X273" s="49"/>
      <c r="Y273" s="49" t="s">
        <v>272</v>
      </c>
      <c r="Z273" s="66">
        <v>200.16</v>
      </c>
      <c r="AA273" s="280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M273" s="66"/>
    </row>
    <row r="274" spans="1:39" hidden="1" x14ac:dyDescent="0.35">
      <c r="A274" s="66"/>
      <c r="B274" s="66"/>
      <c r="C274" s="49"/>
      <c r="D274" s="49"/>
      <c r="E274" s="49"/>
      <c r="F274" s="49"/>
      <c r="G274" s="49" t="s">
        <v>273</v>
      </c>
      <c r="H274" s="63">
        <v>0</v>
      </c>
      <c r="I274" s="63">
        <v>0</v>
      </c>
      <c r="J274" s="64">
        <v>0</v>
      </c>
      <c r="K274" s="64">
        <v>712.08</v>
      </c>
      <c r="L274" s="65">
        <v>0</v>
      </c>
      <c r="M274" s="65">
        <v>1271.28</v>
      </c>
      <c r="N274" s="66">
        <f t="shared" si="147"/>
        <v>0</v>
      </c>
      <c r="O274" s="66">
        <f t="shared" si="147"/>
        <v>1983.36</v>
      </c>
      <c r="P274" s="69">
        <f t="shared" si="143"/>
        <v>0</v>
      </c>
      <c r="Q274" s="69">
        <f t="shared" si="143"/>
        <v>661.12</v>
      </c>
      <c r="R274" s="294"/>
      <c r="S274" s="49"/>
      <c r="T274" s="49"/>
      <c r="U274" s="49"/>
      <c r="V274" s="49"/>
      <c r="W274" s="49"/>
      <c r="X274" s="49"/>
      <c r="Y274" s="49" t="s">
        <v>273</v>
      </c>
      <c r="Z274" s="66">
        <v>77.5</v>
      </c>
      <c r="AA274" s="280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M274" s="66"/>
    </row>
    <row r="275" spans="1:39" hidden="1" x14ac:dyDescent="0.35">
      <c r="A275" s="66"/>
      <c r="B275" s="66"/>
      <c r="C275" s="49"/>
      <c r="D275" s="49"/>
      <c r="E275" s="49"/>
      <c r="F275" s="49"/>
      <c r="G275" s="49" t="s">
        <v>274</v>
      </c>
      <c r="H275" s="63">
        <v>0</v>
      </c>
      <c r="I275" s="63">
        <v>0</v>
      </c>
      <c r="J275" s="64">
        <v>0</v>
      </c>
      <c r="K275" s="64">
        <v>2799.3</v>
      </c>
      <c r="L275" s="65">
        <v>0</v>
      </c>
      <c r="M275" s="65">
        <v>1959.71</v>
      </c>
      <c r="N275" s="66">
        <f t="shared" si="147"/>
        <v>0</v>
      </c>
      <c r="O275" s="66">
        <f t="shared" si="147"/>
        <v>4759.01</v>
      </c>
      <c r="P275" s="69">
        <f t="shared" si="143"/>
        <v>0</v>
      </c>
      <c r="Q275" s="69">
        <f t="shared" si="143"/>
        <v>1586.3366666666668</v>
      </c>
      <c r="R275" s="294"/>
      <c r="S275" s="49"/>
      <c r="T275" s="49"/>
      <c r="U275" s="49"/>
      <c r="V275" s="49"/>
      <c r="W275" s="49"/>
      <c r="X275" s="49"/>
      <c r="Y275" s="49" t="s">
        <v>274</v>
      </c>
      <c r="Z275" s="66">
        <v>121.87</v>
      </c>
      <c r="AA275" s="280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M275" s="66"/>
    </row>
    <row r="276" spans="1:39" hidden="1" x14ac:dyDescent="0.35">
      <c r="A276" s="66"/>
      <c r="B276" s="66"/>
      <c r="C276" s="49"/>
      <c r="D276" s="49"/>
      <c r="E276" s="49"/>
      <c r="F276" s="49"/>
      <c r="G276" s="49" t="s">
        <v>275</v>
      </c>
      <c r="H276" s="63">
        <v>3328.52</v>
      </c>
      <c r="I276" s="63">
        <v>0</v>
      </c>
      <c r="J276" s="64">
        <v>2944.43</v>
      </c>
      <c r="K276" s="64">
        <v>16388.16</v>
      </c>
      <c r="L276" s="65">
        <v>2714.16</v>
      </c>
      <c r="M276" s="65">
        <v>700</v>
      </c>
      <c r="N276" s="66">
        <f t="shared" si="147"/>
        <v>8987.11</v>
      </c>
      <c r="O276" s="66">
        <f t="shared" si="147"/>
        <v>17088.16</v>
      </c>
      <c r="P276" s="69">
        <f t="shared" si="143"/>
        <v>2995.7033333333334</v>
      </c>
      <c r="Q276" s="69">
        <f t="shared" si="143"/>
        <v>5696.0533333333333</v>
      </c>
      <c r="R276" s="294"/>
      <c r="S276" s="49"/>
      <c r="T276" s="49"/>
      <c r="U276" s="49"/>
      <c r="V276" s="49"/>
      <c r="W276" s="49"/>
      <c r="X276" s="49"/>
      <c r="Y276" s="49" t="s">
        <v>275</v>
      </c>
      <c r="Z276" s="66">
        <v>14155.92</v>
      </c>
      <c r="AA276" s="280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M276" s="66"/>
    </row>
    <row r="277" spans="1:39" hidden="1" x14ac:dyDescent="0.35">
      <c r="A277" s="66"/>
      <c r="B277" s="66"/>
      <c r="C277" s="49"/>
      <c r="D277" s="49"/>
      <c r="E277" s="49"/>
      <c r="F277" s="49"/>
      <c r="G277" s="49" t="s">
        <v>276</v>
      </c>
      <c r="H277" s="63">
        <v>170.91</v>
      </c>
      <c r="I277" s="63">
        <v>0</v>
      </c>
      <c r="J277" s="64">
        <v>0</v>
      </c>
      <c r="K277" s="64">
        <v>4097.04</v>
      </c>
      <c r="L277" s="65">
        <v>0</v>
      </c>
      <c r="M277" s="65">
        <v>0</v>
      </c>
      <c r="N277" s="66">
        <f t="shared" si="147"/>
        <v>170.91</v>
      </c>
      <c r="O277" s="66">
        <f t="shared" si="147"/>
        <v>4097.04</v>
      </c>
      <c r="P277" s="69">
        <f t="shared" si="143"/>
        <v>56.97</v>
      </c>
      <c r="Q277" s="69">
        <f t="shared" si="143"/>
        <v>1365.68</v>
      </c>
      <c r="R277" s="294"/>
      <c r="S277" s="49"/>
      <c r="T277" s="49"/>
      <c r="U277" s="49"/>
      <c r="V277" s="49"/>
      <c r="W277" s="49"/>
      <c r="X277" s="49"/>
      <c r="Y277" s="49" t="s">
        <v>276</v>
      </c>
      <c r="Z277" s="66">
        <v>0</v>
      </c>
      <c r="AA277" s="280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M277" s="66"/>
    </row>
    <row r="278" spans="1:39" hidden="1" x14ac:dyDescent="0.35">
      <c r="A278" s="66"/>
      <c r="B278" s="66"/>
      <c r="C278" s="49"/>
      <c r="D278" s="49"/>
      <c r="E278" s="49"/>
      <c r="F278" s="49"/>
      <c r="G278" s="49" t="s">
        <v>277</v>
      </c>
      <c r="H278" s="63">
        <v>257.77</v>
      </c>
      <c r="I278" s="63">
        <v>0</v>
      </c>
      <c r="J278" s="64">
        <v>815.66</v>
      </c>
      <c r="K278" s="64">
        <v>1068.1199999999999</v>
      </c>
      <c r="L278" s="65">
        <v>841.43</v>
      </c>
      <c r="M278" s="65">
        <v>600</v>
      </c>
      <c r="N278" s="66">
        <f t="shared" si="147"/>
        <v>1914.86</v>
      </c>
      <c r="O278" s="66">
        <f t="shared" si="147"/>
        <v>1668.12</v>
      </c>
      <c r="P278" s="69">
        <f t="shared" si="143"/>
        <v>638.28666666666663</v>
      </c>
      <c r="Q278" s="69">
        <f t="shared" si="143"/>
        <v>556.04</v>
      </c>
      <c r="R278" s="294"/>
      <c r="S278" s="49"/>
      <c r="T278" s="49"/>
      <c r="U278" s="49"/>
      <c r="V278" s="49"/>
      <c r="W278" s="49"/>
      <c r="X278" s="49"/>
      <c r="Y278" s="49" t="s">
        <v>277</v>
      </c>
      <c r="Z278" s="66">
        <v>1341.15</v>
      </c>
      <c r="AA278" s="280"/>
      <c r="AB278" s="66"/>
      <c r="AC278" s="66"/>
      <c r="AD278" s="66"/>
      <c r="AE278" s="66"/>
      <c r="AF278" s="66"/>
      <c r="AG278" s="66"/>
      <c r="AH278" s="66"/>
      <c r="AI278" s="66"/>
      <c r="AJ278" s="66"/>
      <c r="AK278" s="66"/>
      <c r="AM278" s="66"/>
    </row>
    <row r="279" spans="1:39" ht="16" hidden="1" thickBot="1" x14ac:dyDescent="0.4">
      <c r="A279" s="66"/>
      <c r="B279" s="66"/>
      <c r="C279" s="49"/>
      <c r="D279" s="49"/>
      <c r="E279" s="49"/>
      <c r="F279" s="49"/>
      <c r="G279" s="49" t="s">
        <v>278</v>
      </c>
      <c r="H279" s="70">
        <v>57.2</v>
      </c>
      <c r="I279" s="70">
        <v>0</v>
      </c>
      <c r="J279" s="71">
        <v>524.6</v>
      </c>
      <c r="K279" s="71">
        <v>0</v>
      </c>
      <c r="L279" s="72">
        <v>0</v>
      </c>
      <c r="M279" s="72">
        <v>0</v>
      </c>
      <c r="N279" s="73">
        <f t="shared" si="147"/>
        <v>581.79999999999995</v>
      </c>
      <c r="O279" s="73">
        <f t="shared" si="147"/>
        <v>0</v>
      </c>
      <c r="P279" s="74">
        <f t="shared" si="143"/>
        <v>193.93333333333331</v>
      </c>
      <c r="Q279" s="74">
        <f t="shared" si="143"/>
        <v>0</v>
      </c>
      <c r="R279" s="294"/>
      <c r="S279" s="49"/>
      <c r="T279" s="49"/>
      <c r="U279" s="49"/>
      <c r="V279" s="49"/>
      <c r="W279" s="49"/>
      <c r="X279" s="49"/>
      <c r="Y279" s="49" t="s">
        <v>278</v>
      </c>
      <c r="Z279" s="73">
        <v>416.5</v>
      </c>
      <c r="AA279" s="280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M279" s="73"/>
    </row>
    <row r="280" spans="1:39" hidden="1" x14ac:dyDescent="0.35">
      <c r="A280" s="66"/>
      <c r="B280" s="66"/>
      <c r="C280" s="49"/>
      <c r="D280" s="49"/>
      <c r="E280" s="49"/>
      <c r="F280" s="49" t="s">
        <v>279</v>
      </c>
      <c r="G280" s="49"/>
      <c r="H280" s="63">
        <f t="shared" ref="H280:M280" si="148">ROUND(SUM(H264:H279),5)</f>
        <v>11247.41</v>
      </c>
      <c r="I280" s="63">
        <f t="shared" si="148"/>
        <v>0</v>
      </c>
      <c r="J280" s="64">
        <f t="shared" si="148"/>
        <v>13538.34</v>
      </c>
      <c r="K280" s="64">
        <f t="shared" si="148"/>
        <v>43816.14</v>
      </c>
      <c r="L280" s="65">
        <f t="shared" si="148"/>
        <v>6063.06</v>
      </c>
      <c r="M280" s="65">
        <f t="shared" si="148"/>
        <v>9160.75</v>
      </c>
      <c r="N280" s="66">
        <f t="shared" si="147"/>
        <v>30848.81</v>
      </c>
      <c r="O280" s="66">
        <f t="shared" si="147"/>
        <v>52976.89</v>
      </c>
      <c r="P280" s="69">
        <f t="shared" si="143"/>
        <v>10282.936666666666</v>
      </c>
      <c r="Q280" s="69">
        <f t="shared" si="143"/>
        <v>17658.963333333333</v>
      </c>
      <c r="R280" s="294"/>
      <c r="S280" s="49"/>
      <c r="T280" s="49"/>
      <c r="U280" s="49"/>
      <c r="V280" s="49"/>
      <c r="W280" s="49"/>
      <c r="X280" s="49" t="s">
        <v>279</v>
      </c>
      <c r="Y280" s="49"/>
      <c r="Z280" s="66">
        <f>ROUND(SUM(Z264:Z279),5)</f>
        <v>24979.15</v>
      </c>
      <c r="AA280" s="280"/>
      <c r="AB280" s="66">
        <f t="shared" ref="AB280:AK280" si="149">ROUND(SUM(AB264:AB279),5)</f>
        <v>0</v>
      </c>
      <c r="AC280" s="66">
        <f t="shared" si="149"/>
        <v>0</v>
      </c>
      <c r="AD280" s="66">
        <f t="shared" si="149"/>
        <v>0</v>
      </c>
      <c r="AE280" s="66">
        <f t="shared" si="149"/>
        <v>0</v>
      </c>
      <c r="AF280" s="66">
        <f t="shared" si="149"/>
        <v>0</v>
      </c>
      <c r="AG280" s="66">
        <f t="shared" si="149"/>
        <v>0</v>
      </c>
      <c r="AH280" s="66">
        <f t="shared" si="149"/>
        <v>0</v>
      </c>
      <c r="AI280" s="66">
        <f t="shared" si="149"/>
        <v>0</v>
      </c>
      <c r="AJ280" s="66">
        <f t="shared" si="149"/>
        <v>0</v>
      </c>
      <c r="AK280" s="66">
        <f t="shared" si="149"/>
        <v>0</v>
      </c>
      <c r="AM280" s="66">
        <f t="shared" ref="AM280" si="150">ROUND(SUM(AM264:AM279),5)</f>
        <v>0</v>
      </c>
    </row>
    <row r="281" spans="1:39" hidden="1" x14ac:dyDescent="0.35">
      <c r="A281" s="66"/>
      <c r="B281" s="66"/>
      <c r="C281" s="49"/>
      <c r="D281" s="49"/>
      <c r="E281" s="49"/>
      <c r="F281" s="49" t="s">
        <v>280</v>
      </c>
      <c r="G281" s="49"/>
      <c r="H281" s="63"/>
      <c r="I281" s="63"/>
      <c r="J281" s="64"/>
      <c r="K281" s="64"/>
      <c r="L281" s="65"/>
      <c r="M281" s="65"/>
      <c r="N281" s="66"/>
      <c r="O281" s="66"/>
      <c r="P281" s="69">
        <f t="shared" si="143"/>
        <v>0</v>
      </c>
      <c r="Q281" s="69">
        <f t="shared" si="143"/>
        <v>0</v>
      </c>
      <c r="R281" s="294"/>
      <c r="S281" s="49"/>
      <c r="T281" s="49"/>
      <c r="U281" s="49"/>
      <c r="V281" s="49"/>
      <c r="W281" s="49"/>
      <c r="X281" s="49" t="s">
        <v>280</v>
      </c>
      <c r="Y281" s="49"/>
      <c r="Z281" s="66"/>
      <c r="AA281" s="280"/>
      <c r="AB281" s="66"/>
      <c r="AC281" s="66"/>
      <c r="AD281" s="66"/>
      <c r="AE281" s="66"/>
      <c r="AF281" s="66"/>
      <c r="AG281" s="66"/>
      <c r="AH281" s="66"/>
      <c r="AI281" s="66"/>
      <c r="AJ281" s="66"/>
      <c r="AK281" s="66"/>
      <c r="AM281" s="66"/>
    </row>
    <row r="282" spans="1:39" hidden="1" x14ac:dyDescent="0.35">
      <c r="A282" s="66"/>
      <c r="B282" s="66"/>
      <c r="C282" s="49"/>
      <c r="D282" s="49"/>
      <c r="E282" s="49"/>
      <c r="F282" s="49"/>
      <c r="G282" s="49" t="s">
        <v>281</v>
      </c>
      <c r="H282" s="63">
        <v>2047.12</v>
      </c>
      <c r="I282" s="63">
        <v>0</v>
      </c>
      <c r="J282" s="64">
        <v>2372.16</v>
      </c>
      <c r="K282" s="64">
        <v>6158.46</v>
      </c>
      <c r="L282" s="65">
        <v>5420.82</v>
      </c>
      <c r="M282" s="65">
        <v>500</v>
      </c>
      <c r="N282" s="66">
        <f t="shared" ref="N282:O288" si="151">ROUND(H282+J282+L282,5)</f>
        <v>9840.1</v>
      </c>
      <c r="O282" s="66">
        <f t="shared" si="151"/>
        <v>6658.46</v>
      </c>
      <c r="P282" s="69">
        <f t="shared" si="143"/>
        <v>3280.0333333333333</v>
      </c>
      <c r="Q282" s="69">
        <f t="shared" si="143"/>
        <v>2219.4866666666667</v>
      </c>
      <c r="R282" s="294"/>
      <c r="S282" s="49"/>
      <c r="T282" s="49"/>
      <c r="U282" s="49"/>
      <c r="V282" s="49"/>
      <c r="W282" s="49"/>
      <c r="X282" s="49"/>
      <c r="Y282" s="49" t="s">
        <v>281</v>
      </c>
      <c r="Z282" s="66">
        <v>4753.01</v>
      </c>
      <c r="AA282" s="280"/>
      <c r="AB282" s="66"/>
      <c r="AC282" s="66"/>
      <c r="AD282" s="66"/>
      <c r="AE282" s="66"/>
      <c r="AF282" s="66"/>
      <c r="AG282" s="66"/>
      <c r="AH282" s="66"/>
      <c r="AI282" s="66"/>
      <c r="AJ282" s="66"/>
      <c r="AK282" s="66"/>
      <c r="AM282" s="66"/>
    </row>
    <row r="283" spans="1:39" hidden="1" x14ac:dyDescent="0.35">
      <c r="A283" s="66"/>
      <c r="B283" s="66"/>
      <c r="C283" s="49"/>
      <c r="D283" s="49"/>
      <c r="E283" s="49"/>
      <c r="F283" s="49"/>
      <c r="G283" s="49" t="s">
        <v>282</v>
      </c>
      <c r="H283" s="63">
        <v>2800.92</v>
      </c>
      <c r="I283" s="63">
        <v>0</v>
      </c>
      <c r="J283" s="64">
        <v>4074.46</v>
      </c>
      <c r="K283" s="64">
        <v>6718.32</v>
      </c>
      <c r="L283" s="65">
        <v>2160.14</v>
      </c>
      <c r="M283" s="65">
        <v>700</v>
      </c>
      <c r="N283" s="66">
        <f t="shared" si="151"/>
        <v>9035.52</v>
      </c>
      <c r="O283" s="66">
        <f t="shared" si="151"/>
        <v>7418.32</v>
      </c>
      <c r="P283" s="69">
        <f t="shared" si="143"/>
        <v>3011.84</v>
      </c>
      <c r="Q283" s="69">
        <f t="shared" si="143"/>
        <v>2472.7733333333331</v>
      </c>
      <c r="R283" s="294"/>
      <c r="S283" s="49"/>
      <c r="T283" s="49"/>
      <c r="U283" s="49"/>
      <c r="V283" s="49"/>
      <c r="W283" s="49"/>
      <c r="X283" s="49"/>
      <c r="Y283" s="49" t="s">
        <v>282</v>
      </c>
      <c r="Z283" s="66">
        <v>3826.78</v>
      </c>
      <c r="AA283" s="280"/>
      <c r="AB283" s="66"/>
      <c r="AC283" s="66"/>
      <c r="AD283" s="66"/>
      <c r="AE283" s="66"/>
      <c r="AF283" s="66"/>
      <c r="AG283" s="66"/>
      <c r="AH283" s="66"/>
      <c r="AI283" s="66"/>
      <c r="AJ283" s="66"/>
      <c r="AK283" s="66"/>
      <c r="AM283" s="66"/>
    </row>
    <row r="284" spans="1:39" hidden="1" x14ac:dyDescent="0.35">
      <c r="A284" s="66"/>
      <c r="B284" s="66"/>
      <c r="C284" s="49"/>
      <c r="D284" s="49"/>
      <c r="E284" s="49"/>
      <c r="F284" s="49"/>
      <c r="G284" s="49" t="s">
        <v>283</v>
      </c>
      <c r="H284" s="63">
        <v>0</v>
      </c>
      <c r="I284" s="63">
        <v>0</v>
      </c>
      <c r="J284" s="64">
        <v>0</v>
      </c>
      <c r="K284" s="64">
        <v>356.04</v>
      </c>
      <c r="L284" s="65">
        <v>0</v>
      </c>
      <c r="M284" s="65">
        <v>300</v>
      </c>
      <c r="N284" s="66">
        <f t="shared" si="151"/>
        <v>0</v>
      </c>
      <c r="O284" s="66">
        <f t="shared" si="151"/>
        <v>656.04</v>
      </c>
      <c r="P284" s="69">
        <f t="shared" si="143"/>
        <v>0</v>
      </c>
      <c r="Q284" s="69">
        <f t="shared" si="143"/>
        <v>218.67999999999998</v>
      </c>
      <c r="R284" s="294"/>
      <c r="S284" s="49"/>
      <c r="T284" s="49"/>
      <c r="U284" s="49"/>
      <c r="V284" s="49"/>
      <c r="W284" s="49"/>
      <c r="X284" s="49"/>
      <c r="Y284" s="49" t="s">
        <v>283</v>
      </c>
      <c r="Z284" s="66">
        <v>170.51</v>
      </c>
      <c r="AA284" s="280"/>
      <c r="AB284" s="66"/>
      <c r="AC284" s="66"/>
      <c r="AD284" s="66"/>
      <c r="AE284" s="66"/>
      <c r="AF284" s="66"/>
      <c r="AG284" s="66"/>
      <c r="AH284" s="66"/>
      <c r="AI284" s="66"/>
      <c r="AJ284" s="66"/>
      <c r="AK284" s="66"/>
      <c r="AM284" s="66"/>
    </row>
    <row r="285" spans="1:39" hidden="1" x14ac:dyDescent="0.35">
      <c r="A285" s="66"/>
      <c r="B285" s="66"/>
      <c r="C285" s="49"/>
      <c r="D285" s="49"/>
      <c r="E285" s="49"/>
      <c r="F285" s="49"/>
      <c r="G285" s="49" t="s">
        <v>284</v>
      </c>
      <c r="H285" s="63">
        <v>296.14999999999998</v>
      </c>
      <c r="I285" s="63">
        <v>0</v>
      </c>
      <c r="J285" s="64">
        <v>299.3</v>
      </c>
      <c r="K285" s="64">
        <v>6718.32</v>
      </c>
      <c r="L285" s="65">
        <v>2024.61</v>
      </c>
      <c r="M285" s="65">
        <v>400</v>
      </c>
      <c r="N285" s="66">
        <f t="shared" si="151"/>
        <v>2620.06</v>
      </c>
      <c r="O285" s="66">
        <f t="shared" si="151"/>
        <v>7118.32</v>
      </c>
      <c r="P285" s="69">
        <f t="shared" si="143"/>
        <v>873.35333333333335</v>
      </c>
      <c r="Q285" s="69">
        <f t="shared" si="143"/>
        <v>2372.7733333333331</v>
      </c>
      <c r="R285" s="294"/>
      <c r="S285" s="49"/>
      <c r="T285" s="49"/>
      <c r="U285" s="49"/>
      <c r="V285" s="49"/>
      <c r="W285" s="49"/>
      <c r="X285" s="49"/>
      <c r="Y285" s="49" t="s">
        <v>284</v>
      </c>
      <c r="Z285" s="66">
        <v>974.98</v>
      </c>
      <c r="AA285" s="280"/>
      <c r="AB285" s="66"/>
      <c r="AC285" s="66"/>
      <c r="AD285" s="66"/>
      <c r="AE285" s="66"/>
      <c r="AF285" s="66"/>
      <c r="AG285" s="66"/>
      <c r="AH285" s="66"/>
      <c r="AI285" s="66"/>
      <c r="AJ285" s="66"/>
      <c r="AK285" s="66"/>
      <c r="AM285" s="66"/>
    </row>
    <row r="286" spans="1:39" hidden="1" x14ac:dyDescent="0.35">
      <c r="A286" s="66"/>
      <c r="B286" s="66"/>
      <c r="C286" s="49"/>
      <c r="D286" s="49"/>
      <c r="E286" s="49"/>
      <c r="F286" s="49"/>
      <c r="G286" s="49" t="s">
        <v>285</v>
      </c>
      <c r="H286" s="63">
        <v>159.88999999999999</v>
      </c>
      <c r="I286" s="63">
        <v>0</v>
      </c>
      <c r="J286" s="64">
        <v>1814.49</v>
      </c>
      <c r="K286" s="64">
        <v>712.08</v>
      </c>
      <c r="L286" s="65">
        <v>125.19</v>
      </c>
      <c r="M286" s="65">
        <v>300</v>
      </c>
      <c r="N286" s="66">
        <f t="shared" si="151"/>
        <v>2099.5700000000002</v>
      </c>
      <c r="O286" s="66">
        <f t="shared" si="151"/>
        <v>1012.08</v>
      </c>
      <c r="P286" s="69">
        <f t="shared" si="143"/>
        <v>699.85666666666668</v>
      </c>
      <c r="Q286" s="69">
        <f t="shared" si="143"/>
        <v>337.36</v>
      </c>
      <c r="R286" s="294"/>
      <c r="S286" s="49"/>
      <c r="T286" s="49"/>
      <c r="U286" s="49"/>
      <c r="V286" s="49"/>
      <c r="W286" s="49"/>
      <c r="X286" s="49"/>
      <c r="Y286" s="49" t="s">
        <v>285</v>
      </c>
      <c r="Z286" s="66">
        <v>586.33000000000004</v>
      </c>
      <c r="AA286" s="280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M286" s="66"/>
    </row>
    <row r="287" spans="1:39" ht="16" hidden="1" thickBot="1" x14ac:dyDescent="0.4">
      <c r="A287" s="66"/>
      <c r="B287" s="66"/>
      <c r="C287" s="49"/>
      <c r="D287" s="49"/>
      <c r="E287" s="49"/>
      <c r="F287" s="49"/>
      <c r="G287" s="49" t="s">
        <v>286</v>
      </c>
      <c r="H287" s="70">
        <v>62.31</v>
      </c>
      <c r="I287" s="70">
        <v>0</v>
      </c>
      <c r="J287" s="71">
        <v>886.61</v>
      </c>
      <c r="K287" s="71">
        <v>6718.32</v>
      </c>
      <c r="L287" s="72">
        <v>117.83</v>
      </c>
      <c r="M287" s="72">
        <v>200</v>
      </c>
      <c r="N287" s="73">
        <f t="shared" si="151"/>
        <v>1066.75</v>
      </c>
      <c r="O287" s="73">
        <f t="shared" si="151"/>
        <v>6918.32</v>
      </c>
      <c r="P287" s="74">
        <f t="shared" si="143"/>
        <v>355.58333333333331</v>
      </c>
      <c r="Q287" s="74">
        <f t="shared" si="143"/>
        <v>2306.1066666666666</v>
      </c>
      <c r="R287" s="294"/>
      <c r="S287" s="49"/>
      <c r="T287" s="49"/>
      <c r="U287" s="49"/>
      <c r="V287" s="49"/>
      <c r="W287" s="49"/>
      <c r="X287" s="49"/>
      <c r="Y287" s="49" t="s">
        <v>286</v>
      </c>
      <c r="Z287" s="73">
        <v>926.23</v>
      </c>
      <c r="AA287" s="280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M287" s="73"/>
    </row>
    <row r="288" spans="1:39" hidden="1" x14ac:dyDescent="0.35">
      <c r="A288" s="66"/>
      <c r="B288" s="66"/>
      <c r="C288" s="49"/>
      <c r="D288" s="49"/>
      <c r="E288" s="49"/>
      <c r="F288" s="49" t="s">
        <v>287</v>
      </c>
      <c r="G288" s="49"/>
      <c r="H288" s="63">
        <f t="shared" ref="H288:M288" si="152">ROUND(SUM(H281:H287),5)</f>
        <v>5366.39</v>
      </c>
      <c r="I288" s="63">
        <f t="shared" si="152"/>
        <v>0</v>
      </c>
      <c r="J288" s="64">
        <f t="shared" si="152"/>
        <v>9447.02</v>
      </c>
      <c r="K288" s="64">
        <f t="shared" si="152"/>
        <v>27381.54</v>
      </c>
      <c r="L288" s="65">
        <f t="shared" si="152"/>
        <v>9848.59</v>
      </c>
      <c r="M288" s="65">
        <f t="shared" si="152"/>
        <v>2400</v>
      </c>
      <c r="N288" s="66">
        <f t="shared" si="151"/>
        <v>24662</v>
      </c>
      <c r="O288" s="66">
        <f t="shared" si="151"/>
        <v>29781.54</v>
      </c>
      <c r="P288" s="69">
        <f t="shared" si="143"/>
        <v>8220.6666666666661</v>
      </c>
      <c r="Q288" s="69">
        <f t="shared" si="143"/>
        <v>9927.18</v>
      </c>
      <c r="R288" s="294"/>
      <c r="S288" s="49"/>
      <c r="T288" s="49"/>
      <c r="U288" s="49"/>
      <c r="V288" s="49"/>
      <c r="W288" s="49"/>
      <c r="X288" s="49" t="s">
        <v>287</v>
      </c>
      <c r="Y288" s="49"/>
      <c r="Z288" s="66">
        <f>ROUND(SUM(Z281:Z287),5)</f>
        <v>11237.84</v>
      </c>
      <c r="AA288" s="280"/>
      <c r="AB288" s="66">
        <f t="shared" ref="AB288:AK288" si="153">ROUND(SUM(AB281:AB287),5)</f>
        <v>0</v>
      </c>
      <c r="AC288" s="66">
        <f t="shared" si="153"/>
        <v>0</v>
      </c>
      <c r="AD288" s="66">
        <f t="shared" si="153"/>
        <v>0</v>
      </c>
      <c r="AE288" s="66">
        <f t="shared" si="153"/>
        <v>0</v>
      </c>
      <c r="AF288" s="66">
        <f t="shared" si="153"/>
        <v>0</v>
      </c>
      <c r="AG288" s="66">
        <f t="shared" si="153"/>
        <v>0</v>
      </c>
      <c r="AH288" s="66">
        <f t="shared" si="153"/>
        <v>0</v>
      </c>
      <c r="AI288" s="66">
        <f t="shared" si="153"/>
        <v>0</v>
      </c>
      <c r="AJ288" s="66">
        <f t="shared" si="153"/>
        <v>0</v>
      </c>
      <c r="AK288" s="66">
        <f t="shared" si="153"/>
        <v>0</v>
      </c>
      <c r="AM288" s="66">
        <f t="shared" ref="AM288" si="154">ROUND(SUM(AM281:AM287),5)</f>
        <v>0</v>
      </c>
    </row>
    <row r="289" spans="1:39" hidden="1" x14ac:dyDescent="0.35">
      <c r="A289" s="66"/>
      <c r="B289" s="66"/>
      <c r="C289" s="49"/>
      <c r="D289" s="49"/>
      <c r="E289" s="49"/>
      <c r="F289" s="49" t="s">
        <v>288</v>
      </c>
      <c r="G289" s="49"/>
      <c r="H289" s="63"/>
      <c r="I289" s="63"/>
      <c r="J289" s="64"/>
      <c r="K289" s="64"/>
      <c r="L289" s="65"/>
      <c r="M289" s="65"/>
      <c r="N289" s="66"/>
      <c r="O289" s="66"/>
      <c r="P289" s="69"/>
      <c r="Q289" s="69"/>
      <c r="R289" s="294"/>
      <c r="S289" s="49"/>
      <c r="T289" s="49"/>
      <c r="U289" s="49"/>
      <c r="V289" s="49"/>
      <c r="W289" s="49"/>
      <c r="X289" s="49" t="s">
        <v>288</v>
      </c>
      <c r="Y289" s="49"/>
      <c r="Z289" s="66"/>
      <c r="AA289" s="280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M289" s="66"/>
    </row>
    <row r="290" spans="1:39" hidden="1" x14ac:dyDescent="0.35">
      <c r="A290" s="66"/>
      <c r="B290" s="66"/>
      <c r="C290" s="49"/>
      <c r="D290" s="49"/>
      <c r="E290" s="49"/>
      <c r="F290" s="49"/>
      <c r="G290" s="49" t="s">
        <v>289</v>
      </c>
      <c r="H290" s="63">
        <v>513.95000000000005</v>
      </c>
      <c r="I290" s="63">
        <v>0</v>
      </c>
      <c r="J290" s="64">
        <v>0</v>
      </c>
      <c r="K290" s="64">
        <v>0</v>
      </c>
      <c r="L290" s="65">
        <v>0</v>
      </c>
      <c r="M290" s="65">
        <v>300</v>
      </c>
      <c r="N290" s="66">
        <f t="shared" ref="N290:O301" si="155">ROUND(H290+J290+L290,5)</f>
        <v>513.95000000000005</v>
      </c>
      <c r="O290" s="66">
        <f t="shared" si="155"/>
        <v>300</v>
      </c>
      <c r="P290" s="69">
        <f t="shared" si="143"/>
        <v>171.31666666666669</v>
      </c>
      <c r="Q290" s="69">
        <f t="shared" si="143"/>
        <v>100</v>
      </c>
      <c r="R290" s="294"/>
      <c r="S290" s="49"/>
      <c r="T290" s="49"/>
      <c r="U290" s="49"/>
      <c r="V290" s="49"/>
      <c r="W290" s="49"/>
      <c r="X290" s="49"/>
      <c r="Y290" s="49" t="s">
        <v>289</v>
      </c>
      <c r="Z290" s="66">
        <v>0</v>
      </c>
      <c r="AA290" s="280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M290" s="66"/>
    </row>
    <row r="291" spans="1:39" hidden="1" x14ac:dyDescent="0.35">
      <c r="A291" s="66"/>
      <c r="B291" s="66"/>
      <c r="C291" s="49"/>
      <c r="D291" s="49"/>
      <c r="E291" s="49"/>
      <c r="F291" s="49"/>
      <c r="G291" s="49" t="s">
        <v>290</v>
      </c>
      <c r="H291" s="63">
        <v>535.4</v>
      </c>
      <c r="I291" s="63">
        <v>0</v>
      </c>
      <c r="J291" s="64">
        <v>2068.04</v>
      </c>
      <c r="K291" s="64">
        <v>0</v>
      </c>
      <c r="L291" s="65">
        <v>2940.43</v>
      </c>
      <c r="M291" s="65">
        <v>800</v>
      </c>
      <c r="N291" s="66">
        <f t="shared" si="155"/>
        <v>5543.87</v>
      </c>
      <c r="O291" s="66">
        <f t="shared" si="155"/>
        <v>800</v>
      </c>
      <c r="P291" s="69">
        <f t="shared" si="143"/>
        <v>1847.9566666666667</v>
      </c>
      <c r="Q291" s="69">
        <f t="shared" si="143"/>
        <v>266.66666666666669</v>
      </c>
      <c r="R291" s="294"/>
      <c r="S291" s="49"/>
      <c r="T291" s="49"/>
      <c r="U291" s="49"/>
      <c r="V291" s="49"/>
      <c r="W291" s="49"/>
      <c r="X291" s="49"/>
      <c r="Y291" s="49" t="s">
        <v>290</v>
      </c>
      <c r="Z291" s="66">
        <v>2421.27</v>
      </c>
      <c r="AA291" s="280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M291" s="66"/>
    </row>
    <row r="292" spans="1:39" hidden="1" x14ac:dyDescent="0.35">
      <c r="A292" s="66"/>
      <c r="B292" s="66"/>
      <c r="C292" s="49"/>
      <c r="D292" s="49"/>
      <c r="E292" s="49"/>
      <c r="F292" s="49"/>
      <c r="G292" s="49" t="s">
        <v>291</v>
      </c>
      <c r="H292" s="63">
        <v>0</v>
      </c>
      <c r="I292" s="63">
        <v>0</v>
      </c>
      <c r="J292" s="64">
        <v>0</v>
      </c>
      <c r="K292" s="64">
        <v>6718.32</v>
      </c>
      <c r="L292" s="65">
        <v>0</v>
      </c>
      <c r="M292" s="65">
        <v>0</v>
      </c>
      <c r="N292" s="66">
        <f t="shared" si="155"/>
        <v>0</v>
      </c>
      <c r="O292" s="66">
        <f t="shared" si="155"/>
        <v>6718.32</v>
      </c>
      <c r="P292" s="69">
        <f t="shared" si="143"/>
        <v>0</v>
      </c>
      <c r="Q292" s="69">
        <f t="shared" si="143"/>
        <v>2239.44</v>
      </c>
      <c r="R292" s="294"/>
      <c r="S292" s="49"/>
      <c r="T292" s="49"/>
      <c r="U292" s="49"/>
      <c r="V292" s="49"/>
      <c r="W292" s="49"/>
      <c r="X292" s="49"/>
      <c r="Y292" s="49" t="s">
        <v>291</v>
      </c>
      <c r="Z292" s="66">
        <v>0</v>
      </c>
      <c r="AA292" s="280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M292" s="66"/>
    </row>
    <row r="293" spans="1:39" hidden="1" x14ac:dyDescent="0.35">
      <c r="A293" s="66"/>
      <c r="B293" s="66"/>
      <c r="C293" s="49"/>
      <c r="D293" s="49"/>
      <c r="E293" s="49"/>
      <c r="F293" s="49"/>
      <c r="G293" s="49" t="s">
        <v>292</v>
      </c>
      <c r="H293" s="63">
        <v>798.6</v>
      </c>
      <c r="I293" s="63">
        <v>0</v>
      </c>
      <c r="J293" s="64">
        <v>683.12</v>
      </c>
      <c r="K293" s="64">
        <v>0</v>
      </c>
      <c r="L293" s="65">
        <v>348.25</v>
      </c>
      <c r="M293" s="65">
        <v>400</v>
      </c>
      <c r="N293" s="66">
        <f t="shared" si="155"/>
        <v>1829.97</v>
      </c>
      <c r="O293" s="66">
        <f t="shared" si="155"/>
        <v>400</v>
      </c>
      <c r="P293" s="69">
        <f t="shared" si="143"/>
        <v>609.99</v>
      </c>
      <c r="Q293" s="69">
        <f t="shared" si="143"/>
        <v>133.33333333333334</v>
      </c>
      <c r="R293" s="294"/>
      <c r="S293" s="49"/>
      <c r="T293" s="49"/>
      <c r="U293" s="49"/>
      <c r="V293" s="49"/>
      <c r="W293" s="49"/>
      <c r="X293" s="49"/>
      <c r="Y293" s="49" t="s">
        <v>292</v>
      </c>
      <c r="Z293" s="66">
        <v>1796.97</v>
      </c>
      <c r="AA293" s="280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M293" s="66"/>
    </row>
    <row r="294" spans="1:39" hidden="1" x14ac:dyDescent="0.35">
      <c r="A294" s="66"/>
      <c r="B294" s="66"/>
      <c r="C294" s="49"/>
      <c r="D294" s="49"/>
      <c r="E294" s="49"/>
      <c r="F294" s="49"/>
      <c r="G294" s="49" t="s">
        <v>293</v>
      </c>
      <c r="H294" s="63">
        <v>574.11</v>
      </c>
      <c r="I294" s="63">
        <v>0</v>
      </c>
      <c r="J294" s="64">
        <v>0</v>
      </c>
      <c r="K294" s="64">
        <v>0</v>
      </c>
      <c r="L294" s="65">
        <v>0</v>
      </c>
      <c r="M294" s="65">
        <v>200</v>
      </c>
      <c r="N294" s="66">
        <f t="shared" si="155"/>
        <v>574.11</v>
      </c>
      <c r="O294" s="66">
        <f t="shared" si="155"/>
        <v>200</v>
      </c>
      <c r="P294" s="69">
        <f t="shared" si="143"/>
        <v>191.37</v>
      </c>
      <c r="Q294" s="69">
        <f t="shared" si="143"/>
        <v>66.666666666666671</v>
      </c>
      <c r="R294" s="294"/>
      <c r="S294" s="49"/>
      <c r="T294" s="49"/>
      <c r="U294" s="49"/>
      <c r="V294" s="49"/>
      <c r="W294" s="49"/>
      <c r="X294" s="49"/>
      <c r="Y294" s="49" t="s">
        <v>293</v>
      </c>
      <c r="Z294" s="66">
        <v>113.45</v>
      </c>
      <c r="AA294" s="280"/>
      <c r="AB294" s="66"/>
      <c r="AC294" s="66"/>
      <c r="AD294" s="66"/>
      <c r="AE294" s="66"/>
      <c r="AF294" s="66"/>
      <c r="AG294" s="66"/>
      <c r="AH294" s="66"/>
      <c r="AI294" s="66"/>
      <c r="AJ294" s="66"/>
      <c r="AK294" s="66"/>
      <c r="AM294" s="66"/>
    </row>
    <row r="295" spans="1:39" hidden="1" x14ac:dyDescent="0.35">
      <c r="A295" s="66"/>
      <c r="B295" s="66"/>
      <c r="C295" s="49"/>
      <c r="D295" s="49"/>
      <c r="E295" s="49"/>
      <c r="F295" s="49"/>
      <c r="G295" s="49" t="s">
        <v>294</v>
      </c>
      <c r="H295" s="63">
        <v>1269.55</v>
      </c>
      <c r="I295" s="63">
        <v>0</v>
      </c>
      <c r="J295" s="64">
        <v>292.20999999999998</v>
      </c>
      <c r="K295" s="64">
        <v>0</v>
      </c>
      <c r="L295" s="65">
        <v>532.79999999999995</v>
      </c>
      <c r="M295" s="65">
        <v>700</v>
      </c>
      <c r="N295" s="66">
        <f t="shared" si="155"/>
        <v>2094.56</v>
      </c>
      <c r="O295" s="66">
        <f t="shared" si="155"/>
        <v>700</v>
      </c>
      <c r="P295" s="69">
        <f t="shared" si="143"/>
        <v>698.18666666666661</v>
      </c>
      <c r="Q295" s="69">
        <f t="shared" si="143"/>
        <v>233.33333333333334</v>
      </c>
      <c r="R295" s="294"/>
      <c r="S295" s="49"/>
      <c r="T295" s="49"/>
      <c r="U295" s="49"/>
      <c r="V295" s="49"/>
      <c r="W295" s="49"/>
      <c r="X295" s="49"/>
      <c r="Y295" s="49" t="s">
        <v>294</v>
      </c>
      <c r="Z295" s="66">
        <v>934.32</v>
      </c>
      <c r="AA295" s="280"/>
      <c r="AB295" s="66"/>
      <c r="AC295" s="66"/>
      <c r="AD295" s="66"/>
      <c r="AE295" s="66"/>
      <c r="AF295" s="66"/>
      <c r="AG295" s="66"/>
      <c r="AH295" s="66"/>
      <c r="AI295" s="66"/>
      <c r="AJ295" s="66"/>
      <c r="AK295" s="66"/>
      <c r="AM295" s="66"/>
    </row>
    <row r="296" spans="1:39" hidden="1" x14ac:dyDescent="0.35">
      <c r="A296" s="66"/>
      <c r="B296" s="66"/>
      <c r="C296" s="49"/>
      <c r="D296" s="49"/>
      <c r="E296" s="49"/>
      <c r="F296" s="49"/>
      <c r="G296" s="49" t="s">
        <v>295</v>
      </c>
      <c r="H296" s="63">
        <v>0</v>
      </c>
      <c r="I296" s="63">
        <v>0</v>
      </c>
      <c r="J296" s="64">
        <v>0</v>
      </c>
      <c r="K296" s="64">
        <v>0</v>
      </c>
      <c r="L296" s="65">
        <v>143.52000000000001</v>
      </c>
      <c r="M296" s="65">
        <v>0</v>
      </c>
      <c r="N296" s="66">
        <f t="shared" si="155"/>
        <v>143.52000000000001</v>
      </c>
      <c r="O296" s="66">
        <f t="shared" si="155"/>
        <v>0</v>
      </c>
      <c r="P296" s="69">
        <f t="shared" si="143"/>
        <v>47.84</v>
      </c>
      <c r="Q296" s="69">
        <f t="shared" si="143"/>
        <v>0</v>
      </c>
      <c r="R296" s="294"/>
      <c r="S296" s="49"/>
      <c r="T296" s="49"/>
      <c r="U296" s="49"/>
      <c r="V296" s="49"/>
      <c r="W296" s="49"/>
      <c r="X296" s="49"/>
      <c r="Y296" s="49" t="s">
        <v>295</v>
      </c>
      <c r="Z296" s="66">
        <v>0</v>
      </c>
      <c r="AA296" s="280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M296" s="66"/>
    </row>
    <row r="297" spans="1:39" hidden="1" x14ac:dyDescent="0.35">
      <c r="A297" s="66"/>
      <c r="B297" s="66"/>
      <c r="C297" s="49"/>
      <c r="D297" s="49"/>
      <c r="E297" s="49"/>
      <c r="F297" s="49"/>
      <c r="G297" s="49" t="s">
        <v>296</v>
      </c>
      <c r="H297" s="63">
        <v>0</v>
      </c>
      <c r="I297" s="63">
        <v>0</v>
      </c>
      <c r="J297" s="64">
        <v>0</v>
      </c>
      <c r="K297" s="64">
        <v>0</v>
      </c>
      <c r="L297" s="65">
        <v>0</v>
      </c>
      <c r="M297" s="65">
        <v>100</v>
      </c>
      <c r="N297" s="66">
        <f t="shared" si="155"/>
        <v>0</v>
      </c>
      <c r="O297" s="66">
        <f t="shared" si="155"/>
        <v>100</v>
      </c>
      <c r="P297" s="69">
        <f t="shared" si="143"/>
        <v>0</v>
      </c>
      <c r="Q297" s="69">
        <f t="shared" si="143"/>
        <v>33.333333333333336</v>
      </c>
      <c r="R297" s="294"/>
      <c r="S297" s="49"/>
      <c r="T297" s="49"/>
      <c r="U297" s="49"/>
      <c r="V297" s="49"/>
      <c r="W297" s="49"/>
      <c r="X297" s="49"/>
      <c r="Y297" s="49" t="s">
        <v>296</v>
      </c>
      <c r="Z297" s="66">
        <v>0</v>
      </c>
      <c r="AA297" s="280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M297" s="66"/>
    </row>
    <row r="298" spans="1:39" hidden="1" x14ac:dyDescent="0.35">
      <c r="A298" s="66"/>
      <c r="B298" s="66"/>
      <c r="C298" s="49"/>
      <c r="D298" s="49"/>
      <c r="E298" s="49"/>
      <c r="F298" s="49"/>
      <c r="G298" s="49" t="s">
        <v>297</v>
      </c>
      <c r="H298" s="63">
        <v>0</v>
      </c>
      <c r="I298" s="63">
        <v>0</v>
      </c>
      <c r="J298" s="64">
        <v>1205.7</v>
      </c>
      <c r="K298" s="64">
        <v>0</v>
      </c>
      <c r="L298" s="65">
        <v>0</v>
      </c>
      <c r="M298" s="65">
        <v>0</v>
      </c>
      <c r="N298" s="66">
        <f t="shared" si="155"/>
        <v>1205.7</v>
      </c>
      <c r="O298" s="66">
        <f t="shared" si="155"/>
        <v>0</v>
      </c>
      <c r="P298" s="69">
        <f t="shared" si="143"/>
        <v>401.90000000000003</v>
      </c>
      <c r="Q298" s="69">
        <f t="shared" si="143"/>
        <v>0</v>
      </c>
      <c r="R298" s="294"/>
      <c r="S298" s="49"/>
      <c r="T298" s="49"/>
      <c r="U298" s="49"/>
      <c r="V298" s="49"/>
      <c r="W298" s="49"/>
      <c r="X298" s="49"/>
      <c r="Y298" s="49" t="s">
        <v>297</v>
      </c>
      <c r="Z298" s="66">
        <v>172.98</v>
      </c>
      <c r="AA298" s="280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M298" s="66"/>
    </row>
    <row r="299" spans="1:39" hidden="1" x14ac:dyDescent="0.35">
      <c r="A299" s="66"/>
      <c r="B299" s="66"/>
      <c r="C299" s="49"/>
      <c r="D299" s="49"/>
      <c r="E299" s="49"/>
      <c r="F299" s="49"/>
      <c r="G299" s="49" t="s">
        <v>298</v>
      </c>
      <c r="H299" s="63">
        <v>0</v>
      </c>
      <c r="I299" s="63">
        <v>0</v>
      </c>
      <c r="J299" s="64">
        <v>0</v>
      </c>
      <c r="K299" s="64">
        <v>0</v>
      </c>
      <c r="L299" s="65">
        <v>0</v>
      </c>
      <c r="M299" s="65">
        <v>0</v>
      </c>
      <c r="N299" s="66">
        <f t="shared" si="155"/>
        <v>0</v>
      </c>
      <c r="O299" s="66">
        <f t="shared" si="155"/>
        <v>0</v>
      </c>
      <c r="P299" s="69">
        <f t="shared" si="143"/>
        <v>0</v>
      </c>
      <c r="Q299" s="69">
        <f t="shared" si="143"/>
        <v>0</v>
      </c>
      <c r="R299" s="294"/>
      <c r="S299" s="49"/>
      <c r="T299" s="49"/>
      <c r="U299" s="49"/>
      <c r="V299" s="49"/>
      <c r="W299" s="49"/>
      <c r="X299" s="49"/>
      <c r="Y299" s="49" t="s">
        <v>298</v>
      </c>
      <c r="Z299" s="66">
        <v>78.63</v>
      </c>
      <c r="AA299" s="280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M299" s="66"/>
    </row>
    <row r="300" spans="1:39" ht="16" hidden="1" thickBot="1" x14ac:dyDescent="0.4">
      <c r="A300" s="66"/>
      <c r="B300" s="66"/>
      <c r="C300" s="49"/>
      <c r="D300" s="49"/>
      <c r="E300" s="49"/>
      <c r="F300" s="49"/>
      <c r="G300" s="49" t="s">
        <v>299</v>
      </c>
      <c r="H300" s="70">
        <v>0</v>
      </c>
      <c r="I300" s="70">
        <v>0</v>
      </c>
      <c r="J300" s="71">
        <v>0</v>
      </c>
      <c r="K300" s="71">
        <v>0</v>
      </c>
      <c r="L300" s="72">
        <v>0</v>
      </c>
      <c r="M300" s="72">
        <v>0</v>
      </c>
      <c r="N300" s="73">
        <f t="shared" si="155"/>
        <v>0</v>
      </c>
      <c r="O300" s="73">
        <f t="shared" si="155"/>
        <v>0</v>
      </c>
      <c r="P300" s="74">
        <f t="shared" si="143"/>
        <v>0</v>
      </c>
      <c r="Q300" s="74">
        <f t="shared" si="143"/>
        <v>0</v>
      </c>
      <c r="R300" s="294"/>
      <c r="S300" s="49"/>
      <c r="T300" s="49"/>
      <c r="U300" s="49"/>
      <c r="V300" s="49"/>
      <c r="W300" s="49"/>
      <c r="X300" s="49"/>
      <c r="Y300" s="49" t="s">
        <v>299</v>
      </c>
      <c r="Z300" s="73">
        <v>78.63</v>
      </c>
      <c r="AA300" s="280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M300" s="73"/>
    </row>
    <row r="301" spans="1:39" hidden="1" x14ac:dyDescent="0.35">
      <c r="A301" s="66"/>
      <c r="B301" s="66"/>
      <c r="C301" s="49"/>
      <c r="D301" s="49"/>
      <c r="E301" s="49"/>
      <c r="F301" s="49" t="s">
        <v>300</v>
      </c>
      <c r="G301" s="49"/>
      <c r="H301" s="63">
        <f t="shared" ref="H301:M301" si="156">ROUND(SUM(H289:H300),5)</f>
        <v>3691.61</v>
      </c>
      <c r="I301" s="63">
        <f t="shared" si="156"/>
        <v>0</v>
      </c>
      <c r="J301" s="64">
        <f t="shared" si="156"/>
        <v>4249.07</v>
      </c>
      <c r="K301" s="64">
        <f t="shared" si="156"/>
        <v>6718.32</v>
      </c>
      <c r="L301" s="65">
        <f t="shared" si="156"/>
        <v>3965</v>
      </c>
      <c r="M301" s="65">
        <f t="shared" si="156"/>
        <v>2500</v>
      </c>
      <c r="N301" s="66">
        <f t="shared" si="155"/>
        <v>11905.68</v>
      </c>
      <c r="O301" s="66">
        <f t="shared" si="155"/>
        <v>9218.32</v>
      </c>
      <c r="P301" s="69">
        <f t="shared" si="143"/>
        <v>3968.56</v>
      </c>
      <c r="Q301" s="69">
        <f t="shared" si="143"/>
        <v>3072.7733333333331</v>
      </c>
      <c r="R301" s="294"/>
      <c r="S301" s="49"/>
      <c r="T301" s="49"/>
      <c r="U301" s="49"/>
      <c r="V301" s="49"/>
      <c r="W301" s="49"/>
      <c r="X301" s="49" t="s">
        <v>300</v>
      </c>
      <c r="Y301" s="49"/>
      <c r="Z301" s="66">
        <f>ROUND(SUM(Z289:Z300),5)</f>
        <v>5596.25</v>
      </c>
      <c r="AA301" s="280"/>
      <c r="AB301" s="66">
        <f t="shared" ref="AB301:AK301" si="157">ROUND(SUM(AB289:AB300),5)</f>
        <v>0</v>
      </c>
      <c r="AC301" s="66">
        <f t="shared" si="157"/>
        <v>0</v>
      </c>
      <c r="AD301" s="66">
        <f t="shared" si="157"/>
        <v>0</v>
      </c>
      <c r="AE301" s="66">
        <f t="shared" si="157"/>
        <v>0</v>
      </c>
      <c r="AF301" s="66">
        <f t="shared" si="157"/>
        <v>0</v>
      </c>
      <c r="AG301" s="66">
        <f t="shared" si="157"/>
        <v>0</v>
      </c>
      <c r="AH301" s="66">
        <f t="shared" si="157"/>
        <v>0</v>
      </c>
      <c r="AI301" s="66">
        <f t="shared" si="157"/>
        <v>0</v>
      </c>
      <c r="AJ301" s="66">
        <f t="shared" si="157"/>
        <v>0</v>
      </c>
      <c r="AK301" s="66">
        <f t="shared" si="157"/>
        <v>0</v>
      </c>
      <c r="AM301" s="66">
        <f t="shared" ref="AM301" si="158">ROUND(SUM(AM289:AM300),5)</f>
        <v>0</v>
      </c>
    </row>
    <row r="302" spans="1:39" hidden="1" x14ac:dyDescent="0.35">
      <c r="A302" s="66"/>
      <c r="B302" s="66"/>
      <c r="C302" s="49"/>
      <c r="D302" s="49"/>
      <c r="E302" s="49"/>
      <c r="F302" s="49" t="s">
        <v>301</v>
      </c>
      <c r="G302" s="49"/>
      <c r="H302" s="63"/>
      <c r="I302" s="63"/>
      <c r="J302" s="64"/>
      <c r="K302" s="64"/>
      <c r="L302" s="65"/>
      <c r="M302" s="65"/>
      <c r="N302" s="66"/>
      <c r="O302" s="66"/>
      <c r="P302" s="69"/>
      <c r="Q302" s="69"/>
      <c r="R302" s="294"/>
      <c r="S302" s="49"/>
      <c r="T302" s="49"/>
      <c r="U302" s="49"/>
      <c r="V302" s="49"/>
      <c r="W302" s="49"/>
      <c r="X302" s="49" t="s">
        <v>301</v>
      </c>
      <c r="Y302" s="49"/>
      <c r="Z302" s="66"/>
      <c r="AA302" s="280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M302" s="66"/>
    </row>
    <row r="303" spans="1:39" hidden="1" x14ac:dyDescent="0.35">
      <c r="A303" s="66"/>
      <c r="B303" s="66"/>
      <c r="C303" s="49"/>
      <c r="D303" s="49"/>
      <c r="E303" s="49"/>
      <c r="F303" s="49"/>
      <c r="G303" s="49" t="s">
        <v>302</v>
      </c>
      <c r="H303" s="63">
        <v>193.82</v>
      </c>
      <c r="I303" s="63">
        <v>0</v>
      </c>
      <c r="J303" s="64">
        <v>1711.98</v>
      </c>
      <c r="K303" s="64">
        <v>6718.32</v>
      </c>
      <c r="L303" s="65">
        <v>2501.83</v>
      </c>
      <c r="M303" s="65">
        <v>500</v>
      </c>
      <c r="N303" s="66">
        <f t="shared" ref="N303:O307" si="159">ROUND(H303+J303+L303,5)</f>
        <v>4407.63</v>
      </c>
      <c r="O303" s="66">
        <f t="shared" si="159"/>
        <v>7218.32</v>
      </c>
      <c r="P303" s="69">
        <f t="shared" si="143"/>
        <v>1469.21</v>
      </c>
      <c r="Q303" s="69">
        <f t="shared" si="143"/>
        <v>2406.1066666666666</v>
      </c>
      <c r="R303" s="294"/>
      <c r="S303" s="49"/>
      <c r="T303" s="49"/>
      <c r="U303" s="49"/>
      <c r="V303" s="49"/>
      <c r="W303" s="49"/>
      <c r="X303" s="49"/>
      <c r="Y303" s="49" t="s">
        <v>302</v>
      </c>
      <c r="Z303" s="66">
        <v>2510.56</v>
      </c>
      <c r="AA303" s="280"/>
      <c r="AB303" s="66"/>
      <c r="AC303" s="66"/>
      <c r="AD303" s="66"/>
      <c r="AE303" s="66"/>
      <c r="AF303" s="66"/>
      <c r="AG303" s="66"/>
      <c r="AH303" s="66"/>
      <c r="AI303" s="66"/>
      <c r="AJ303" s="66"/>
      <c r="AK303" s="66"/>
      <c r="AM303" s="66"/>
    </row>
    <row r="304" spans="1:39" hidden="1" x14ac:dyDescent="0.35">
      <c r="A304" s="66"/>
      <c r="B304" s="66"/>
      <c r="C304" s="49"/>
      <c r="D304" s="49"/>
      <c r="E304" s="49"/>
      <c r="F304" s="49"/>
      <c r="G304" s="49" t="s">
        <v>303</v>
      </c>
      <c r="H304" s="63">
        <v>62.18</v>
      </c>
      <c r="I304" s="63">
        <v>0</v>
      </c>
      <c r="J304" s="64">
        <v>0</v>
      </c>
      <c r="K304" s="64">
        <v>559.86</v>
      </c>
      <c r="L304" s="65">
        <v>0</v>
      </c>
      <c r="M304" s="65">
        <v>100</v>
      </c>
      <c r="N304" s="66">
        <f t="shared" si="159"/>
        <v>62.18</v>
      </c>
      <c r="O304" s="66">
        <f t="shared" si="159"/>
        <v>659.86</v>
      </c>
      <c r="P304" s="69">
        <f t="shared" si="143"/>
        <v>20.726666666666667</v>
      </c>
      <c r="Q304" s="69">
        <f t="shared" si="143"/>
        <v>219.95333333333335</v>
      </c>
      <c r="R304" s="294"/>
      <c r="S304" s="49"/>
      <c r="T304" s="49"/>
      <c r="U304" s="49"/>
      <c r="V304" s="49"/>
      <c r="W304" s="49"/>
      <c r="X304" s="49"/>
      <c r="Y304" s="49" t="s">
        <v>303</v>
      </c>
      <c r="Z304" s="66">
        <v>0</v>
      </c>
      <c r="AA304" s="280"/>
      <c r="AB304" s="66"/>
      <c r="AC304" s="66"/>
      <c r="AD304" s="66"/>
      <c r="AE304" s="66"/>
      <c r="AF304" s="66"/>
      <c r="AG304" s="66"/>
      <c r="AH304" s="66"/>
      <c r="AI304" s="66"/>
      <c r="AJ304" s="66"/>
      <c r="AK304" s="66"/>
      <c r="AM304" s="66"/>
    </row>
    <row r="305" spans="1:39" hidden="1" x14ac:dyDescent="0.35">
      <c r="A305" s="66"/>
      <c r="B305" s="66"/>
      <c r="C305" s="49"/>
      <c r="D305" s="49"/>
      <c r="E305" s="49"/>
      <c r="F305" s="49"/>
      <c r="G305" s="49" t="s">
        <v>304</v>
      </c>
      <c r="H305" s="63">
        <v>0</v>
      </c>
      <c r="I305" s="63">
        <v>0</v>
      </c>
      <c r="J305" s="64">
        <v>0</v>
      </c>
      <c r="K305" s="64">
        <v>5038.74</v>
      </c>
      <c r="L305" s="65">
        <v>1422.94</v>
      </c>
      <c r="M305" s="65">
        <v>400</v>
      </c>
      <c r="N305" s="66">
        <f t="shared" si="159"/>
        <v>1422.94</v>
      </c>
      <c r="O305" s="66">
        <f t="shared" si="159"/>
        <v>5438.74</v>
      </c>
      <c r="P305" s="69">
        <f t="shared" si="143"/>
        <v>474.31333333333333</v>
      </c>
      <c r="Q305" s="69">
        <f t="shared" si="143"/>
        <v>1812.9133333333332</v>
      </c>
      <c r="R305" s="294"/>
      <c r="S305" s="49"/>
      <c r="T305" s="49"/>
      <c r="U305" s="49"/>
      <c r="V305" s="49"/>
      <c r="W305" s="49"/>
      <c r="X305" s="49"/>
      <c r="Y305" s="49" t="s">
        <v>304</v>
      </c>
      <c r="Z305" s="66">
        <v>268.12</v>
      </c>
      <c r="AA305" s="280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M305" s="66"/>
    </row>
    <row r="306" spans="1:39" ht="16" hidden="1" thickBot="1" x14ac:dyDescent="0.4">
      <c r="A306" s="66"/>
      <c r="B306" s="66"/>
      <c r="C306" s="49"/>
      <c r="D306" s="49"/>
      <c r="E306" s="49"/>
      <c r="F306" s="49"/>
      <c r="G306" s="49" t="s">
        <v>305</v>
      </c>
      <c r="H306" s="70">
        <v>102.49</v>
      </c>
      <c r="I306" s="70">
        <v>0</v>
      </c>
      <c r="J306" s="71">
        <v>0</v>
      </c>
      <c r="K306" s="71">
        <v>356.04</v>
      </c>
      <c r="L306" s="72">
        <v>499.97</v>
      </c>
      <c r="M306" s="72">
        <v>400</v>
      </c>
      <c r="N306" s="73">
        <f t="shared" si="159"/>
        <v>602.46</v>
      </c>
      <c r="O306" s="73">
        <f t="shared" si="159"/>
        <v>756.04</v>
      </c>
      <c r="P306" s="74">
        <f t="shared" si="143"/>
        <v>200.82000000000002</v>
      </c>
      <c r="Q306" s="74">
        <f t="shared" si="143"/>
        <v>252.01333333333332</v>
      </c>
      <c r="R306" s="294"/>
      <c r="S306" s="49"/>
      <c r="T306" s="49"/>
      <c r="U306" s="49"/>
      <c r="V306" s="49"/>
      <c r="W306" s="49"/>
      <c r="X306" s="49"/>
      <c r="Y306" s="49" t="s">
        <v>305</v>
      </c>
      <c r="Z306" s="73">
        <v>340.34</v>
      </c>
      <c r="AA306" s="280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M306" s="73"/>
    </row>
    <row r="307" spans="1:39" hidden="1" x14ac:dyDescent="0.35">
      <c r="A307" s="66"/>
      <c r="B307" s="66"/>
      <c r="C307" s="49"/>
      <c r="D307" s="49"/>
      <c r="E307" s="49"/>
      <c r="F307" s="49" t="s">
        <v>306</v>
      </c>
      <c r="G307" s="49"/>
      <c r="H307" s="63">
        <f t="shared" ref="H307:M307" si="160">ROUND(SUM(H302:H306),5)</f>
        <v>358.49</v>
      </c>
      <c r="I307" s="63">
        <f t="shared" si="160"/>
        <v>0</v>
      </c>
      <c r="J307" s="64">
        <f t="shared" si="160"/>
        <v>1711.98</v>
      </c>
      <c r="K307" s="64">
        <f t="shared" si="160"/>
        <v>12672.96</v>
      </c>
      <c r="L307" s="65">
        <f t="shared" si="160"/>
        <v>4424.74</v>
      </c>
      <c r="M307" s="65">
        <f t="shared" si="160"/>
        <v>1400</v>
      </c>
      <c r="N307" s="66">
        <f t="shared" si="159"/>
        <v>6495.21</v>
      </c>
      <c r="O307" s="66">
        <f t="shared" si="159"/>
        <v>14072.96</v>
      </c>
      <c r="P307" s="69">
        <f t="shared" si="143"/>
        <v>2165.0700000000002</v>
      </c>
      <c r="Q307" s="69">
        <f t="shared" si="143"/>
        <v>4690.9866666666667</v>
      </c>
      <c r="R307" s="294"/>
      <c r="S307" s="49"/>
      <c r="T307" s="49"/>
      <c r="U307" s="49"/>
      <c r="V307" s="49"/>
      <c r="W307" s="49"/>
      <c r="X307" s="49" t="s">
        <v>306</v>
      </c>
      <c r="Y307" s="49"/>
      <c r="Z307" s="66">
        <f>ROUND(SUM(Z302:Z306),5)</f>
        <v>3119.02</v>
      </c>
      <c r="AA307" s="280"/>
      <c r="AB307" s="66">
        <f t="shared" ref="AB307:AK307" si="161">ROUND(SUM(AB302:AB306),5)</f>
        <v>0</v>
      </c>
      <c r="AC307" s="66">
        <f t="shared" si="161"/>
        <v>0</v>
      </c>
      <c r="AD307" s="66">
        <f t="shared" si="161"/>
        <v>0</v>
      </c>
      <c r="AE307" s="66">
        <f t="shared" si="161"/>
        <v>0</v>
      </c>
      <c r="AF307" s="66">
        <f t="shared" si="161"/>
        <v>0</v>
      </c>
      <c r="AG307" s="66">
        <f t="shared" si="161"/>
        <v>0</v>
      </c>
      <c r="AH307" s="66">
        <f t="shared" si="161"/>
        <v>0</v>
      </c>
      <c r="AI307" s="66">
        <f t="shared" si="161"/>
        <v>0</v>
      </c>
      <c r="AJ307" s="66">
        <f t="shared" si="161"/>
        <v>0</v>
      </c>
      <c r="AK307" s="66">
        <f t="shared" si="161"/>
        <v>0</v>
      </c>
      <c r="AM307" s="66">
        <f t="shared" ref="AM307" si="162">ROUND(SUM(AM302:AM306),5)</f>
        <v>0</v>
      </c>
    </row>
    <row r="308" spans="1:39" hidden="1" x14ac:dyDescent="0.35">
      <c r="A308" s="66"/>
      <c r="B308" s="66"/>
      <c r="C308" s="49"/>
      <c r="D308" s="49"/>
      <c r="E308" s="49"/>
      <c r="F308" s="49" t="s">
        <v>307</v>
      </c>
      <c r="G308" s="49"/>
      <c r="H308" s="63"/>
      <c r="I308" s="63"/>
      <c r="J308" s="64"/>
      <c r="K308" s="64"/>
      <c r="L308" s="65"/>
      <c r="M308" s="65"/>
      <c r="N308" s="66"/>
      <c r="O308" s="66"/>
      <c r="P308" s="69"/>
      <c r="Q308" s="69"/>
      <c r="R308" s="294"/>
      <c r="S308" s="49"/>
      <c r="T308" s="49"/>
      <c r="U308" s="49"/>
      <c r="V308" s="49"/>
      <c r="W308" s="49"/>
      <c r="X308" s="49" t="s">
        <v>307</v>
      </c>
      <c r="Y308" s="49"/>
      <c r="Z308" s="66"/>
      <c r="AA308" s="280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M308" s="66"/>
    </row>
    <row r="309" spans="1:39" hidden="1" x14ac:dyDescent="0.35">
      <c r="A309" s="66"/>
      <c r="B309" s="66"/>
      <c r="C309" s="49"/>
      <c r="D309" s="49"/>
      <c r="E309" s="49"/>
      <c r="F309" s="49"/>
      <c r="G309" s="49" t="s">
        <v>308</v>
      </c>
      <c r="H309" s="63">
        <v>1390.67</v>
      </c>
      <c r="I309" s="63">
        <v>0</v>
      </c>
      <c r="J309" s="64">
        <v>5478.26</v>
      </c>
      <c r="K309" s="64">
        <v>4478.88</v>
      </c>
      <c r="L309" s="65">
        <v>2834.75</v>
      </c>
      <c r="M309" s="65">
        <v>800</v>
      </c>
      <c r="N309" s="66">
        <f t="shared" ref="N309:O319" si="163">ROUND(H309+J309+L309,5)</f>
        <v>9703.68</v>
      </c>
      <c r="O309" s="66">
        <f t="shared" si="163"/>
        <v>5278.88</v>
      </c>
      <c r="P309" s="69">
        <f t="shared" si="143"/>
        <v>3234.56</v>
      </c>
      <c r="Q309" s="69">
        <f t="shared" si="143"/>
        <v>1759.6266666666668</v>
      </c>
      <c r="R309" s="294"/>
      <c r="S309" s="49"/>
      <c r="T309" s="49"/>
      <c r="U309" s="49"/>
      <c r="V309" s="49"/>
      <c r="W309" s="49"/>
      <c r="X309" s="49"/>
      <c r="Y309" s="49" t="s">
        <v>308</v>
      </c>
      <c r="Z309" s="66">
        <v>5289.25</v>
      </c>
      <c r="AA309" s="280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M309" s="66"/>
    </row>
    <row r="310" spans="1:39" hidden="1" x14ac:dyDescent="0.35">
      <c r="A310" s="66"/>
      <c r="B310" s="66"/>
      <c r="C310" s="49"/>
      <c r="D310" s="49"/>
      <c r="E310" s="49"/>
      <c r="F310" s="49"/>
      <c r="G310" s="49" t="s">
        <v>309</v>
      </c>
      <c r="H310" s="63">
        <v>126.52</v>
      </c>
      <c r="I310" s="63">
        <v>0</v>
      </c>
      <c r="J310" s="64">
        <v>757.87</v>
      </c>
      <c r="K310" s="64">
        <v>2239.44</v>
      </c>
      <c r="L310" s="65">
        <v>0</v>
      </c>
      <c r="M310" s="65">
        <v>200</v>
      </c>
      <c r="N310" s="66">
        <f t="shared" si="163"/>
        <v>884.39</v>
      </c>
      <c r="O310" s="66">
        <f t="shared" si="163"/>
        <v>2439.44</v>
      </c>
      <c r="P310" s="69">
        <f t="shared" si="143"/>
        <v>294.79666666666668</v>
      </c>
      <c r="Q310" s="69">
        <f t="shared" si="143"/>
        <v>813.14666666666665</v>
      </c>
      <c r="R310" s="294"/>
      <c r="S310" s="49"/>
      <c r="T310" s="49"/>
      <c r="U310" s="49"/>
      <c r="V310" s="49"/>
      <c r="W310" s="49"/>
      <c r="X310" s="49"/>
      <c r="Y310" s="49" t="s">
        <v>309</v>
      </c>
      <c r="Z310" s="66">
        <v>1584.34</v>
      </c>
      <c r="AA310" s="280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M310" s="66"/>
    </row>
    <row r="311" spans="1:39" hidden="1" x14ac:dyDescent="0.35">
      <c r="A311" s="66"/>
      <c r="B311" s="66"/>
      <c r="C311" s="49"/>
      <c r="D311" s="49"/>
      <c r="E311" s="49"/>
      <c r="F311" s="49"/>
      <c r="G311" s="49" t="s">
        <v>310</v>
      </c>
      <c r="H311" s="63">
        <v>563.01</v>
      </c>
      <c r="I311" s="63">
        <v>0</v>
      </c>
      <c r="J311" s="64">
        <v>107.92</v>
      </c>
      <c r="K311" s="64">
        <v>6158.46</v>
      </c>
      <c r="L311" s="65">
        <v>309.04000000000002</v>
      </c>
      <c r="M311" s="65">
        <v>600</v>
      </c>
      <c r="N311" s="66">
        <f t="shared" si="163"/>
        <v>979.97</v>
      </c>
      <c r="O311" s="66">
        <f t="shared" si="163"/>
        <v>6758.46</v>
      </c>
      <c r="P311" s="69">
        <f t="shared" si="143"/>
        <v>326.65666666666669</v>
      </c>
      <c r="Q311" s="69">
        <f t="shared" si="143"/>
        <v>2252.8200000000002</v>
      </c>
      <c r="R311" s="294"/>
      <c r="S311" s="49"/>
      <c r="T311" s="49"/>
      <c r="U311" s="49"/>
      <c r="V311" s="49"/>
      <c r="W311" s="49"/>
      <c r="X311" s="49"/>
      <c r="Y311" s="49" t="s">
        <v>310</v>
      </c>
      <c r="Z311" s="66">
        <v>2120.5700000000002</v>
      </c>
      <c r="AA311" s="280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M311" s="66"/>
    </row>
    <row r="312" spans="1:39" hidden="1" x14ac:dyDescent="0.35">
      <c r="A312" s="66"/>
      <c r="B312" s="66"/>
      <c r="C312" s="49"/>
      <c r="D312" s="49"/>
      <c r="E312" s="49"/>
      <c r="F312" s="49"/>
      <c r="G312" s="49" t="s">
        <v>311</v>
      </c>
      <c r="H312" s="63">
        <v>0</v>
      </c>
      <c r="I312" s="63">
        <v>0</v>
      </c>
      <c r="J312" s="64">
        <v>404.46</v>
      </c>
      <c r="K312" s="64">
        <v>1679.58</v>
      </c>
      <c r="L312" s="65">
        <v>0</v>
      </c>
      <c r="M312" s="65">
        <v>0</v>
      </c>
      <c r="N312" s="66">
        <f t="shared" si="163"/>
        <v>404.46</v>
      </c>
      <c r="O312" s="66">
        <f t="shared" si="163"/>
        <v>1679.58</v>
      </c>
      <c r="P312" s="69">
        <f t="shared" si="143"/>
        <v>134.82</v>
      </c>
      <c r="Q312" s="69">
        <f t="shared" si="143"/>
        <v>559.86</v>
      </c>
      <c r="R312" s="294"/>
      <c r="S312" s="49"/>
      <c r="T312" s="49"/>
      <c r="U312" s="49"/>
      <c r="V312" s="49"/>
      <c r="W312" s="49"/>
      <c r="X312" s="49"/>
      <c r="Y312" s="49" t="s">
        <v>311</v>
      </c>
      <c r="Z312" s="66">
        <v>219.37</v>
      </c>
      <c r="AA312" s="280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M312" s="66"/>
    </row>
    <row r="313" spans="1:39" hidden="1" x14ac:dyDescent="0.35">
      <c r="A313" s="66"/>
      <c r="B313" s="66"/>
      <c r="C313" s="49"/>
      <c r="D313" s="49"/>
      <c r="E313" s="49"/>
      <c r="F313" s="49"/>
      <c r="G313" s="49" t="s">
        <v>312</v>
      </c>
      <c r="H313" s="63">
        <v>2510.63</v>
      </c>
      <c r="I313" s="63">
        <v>0</v>
      </c>
      <c r="J313" s="64">
        <v>1511.71</v>
      </c>
      <c r="K313" s="64">
        <v>1780.2</v>
      </c>
      <c r="L313" s="65">
        <v>291.73</v>
      </c>
      <c r="M313" s="65">
        <v>700</v>
      </c>
      <c r="N313" s="66">
        <f t="shared" si="163"/>
        <v>4314.07</v>
      </c>
      <c r="O313" s="66">
        <f t="shared" si="163"/>
        <v>2480.1999999999998</v>
      </c>
      <c r="P313" s="69">
        <f t="shared" si="143"/>
        <v>1438.0233333333333</v>
      </c>
      <c r="Q313" s="69">
        <f t="shared" si="143"/>
        <v>826.73333333333323</v>
      </c>
      <c r="R313" s="294"/>
      <c r="S313" s="49"/>
      <c r="T313" s="49"/>
      <c r="U313" s="49"/>
      <c r="V313" s="49"/>
      <c r="W313" s="49"/>
      <c r="X313" s="49"/>
      <c r="Y313" s="49" t="s">
        <v>312</v>
      </c>
      <c r="Z313" s="66">
        <v>2684.33</v>
      </c>
      <c r="AA313" s="280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M313" s="66"/>
    </row>
    <row r="314" spans="1:39" hidden="1" x14ac:dyDescent="0.35">
      <c r="A314" s="66"/>
      <c r="B314" s="66"/>
      <c r="C314" s="49"/>
      <c r="D314" s="49"/>
      <c r="E314" s="49"/>
      <c r="F314" s="49"/>
      <c r="G314" s="49" t="s">
        <v>313</v>
      </c>
      <c r="H314" s="63">
        <v>250.32</v>
      </c>
      <c r="I314" s="63">
        <v>0</v>
      </c>
      <c r="J314" s="64">
        <v>237.42</v>
      </c>
      <c r="K314" s="64">
        <v>712.08</v>
      </c>
      <c r="L314" s="65">
        <v>0</v>
      </c>
      <c r="M314" s="65">
        <v>200</v>
      </c>
      <c r="N314" s="66">
        <f t="shared" si="163"/>
        <v>487.74</v>
      </c>
      <c r="O314" s="66">
        <f t="shared" si="163"/>
        <v>912.08</v>
      </c>
      <c r="P314" s="69">
        <f t="shared" si="143"/>
        <v>162.58000000000001</v>
      </c>
      <c r="Q314" s="69">
        <f t="shared" si="143"/>
        <v>304.0266666666667</v>
      </c>
      <c r="R314" s="294"/>
      <c r="S314" s="49"/>
      <c r="T314" s="49"/>
      <c r="U314" s="49"/>
      <c r="V314" s="49"/>
      <c r="W314" s="49"/>
      <c r="X314" s="49"/>
      <c r="Y314" s="49" t="s">
        <v>313</v>
      </c>
      <c r="Z314" s="66">
        <v>144.44999999999999</v>
      </c>
      <c r="AA314" s="280"/>
      <c r="AB314" s="66"/>
      <c r="AC314" s="66"/>
      <c r="AD314" s="66"/>
      <c r="AE314" s="66"/>
      <c r="AF314" s="66"/>
      <c r="AG314" s="66"/>
      <c r="AH314" s="66"/>
      <c r="AI314" s="66"/>
      <c r="AJ314" s="66"/>
      <c r="AK314" s="66"/>
      <c r="AM314" s="66"/>
    </row>
    <row r="315" spans="1:39" hidden="1" x14ac:dyDescent="0.35">
      <c r="A315" s="66"/>
      <c r="B315" s="66"/>
      <c r="C315" s="49"/>
      <c r="D315" s="49"/>
      <c r="E315" s="49"/>
      <c r="F315" s="49"/>
      <c r="G315" s="49" t="s">
        <v>314</v>
      </c>
      <c r="H315" s="63">
        <v>949.74</v>
      </c>
      <c r="I315" s="63">
        <v>0</v>
      </c>
      <c r="J315" s="64">
        <v>68.59</v>
      </c>
      <c r="K315" s="64">
        <v>5598.6</v>
      </c>
      <c r="L315" s="65">
        <v>1307.8599999999999</v>
      </c>
      <c r="M315" s="65">
        <v>800</v>
      </c>
      <c r="N315" s="66">
        <f t="shared" si="163"/>
        <v>2326.19</v>
      </c>
      <c r="O315" s="66">
        <f t="shared" si="163"/>
        <v>6398.6</v>
      </c>
      <c r="P315" s="69">
        <f t="shared" si="143"/>
        <v>775.39666666666665</v>
      </c>
      <c r="Q315" s="69">
        <f t="shared" si="143"/>
        <v>2132.8666666666668</v>
      </c>
      <c r="R315" s="294"/>
      <c r="S315" s="49"/>
      <c r="T315" s="49"/>
      <c r="U315" s="49"/>
      <c r="V315" s="49"/>
      <c r="W315" s="49"/>
      <c r="X315" s="49"/>
      <c r="Y315" s="49" t="s">
        <v>314</v>
      </c>
      <c r="Z315" s="66">
        <v>2315.5700000000002</v>
      </c>
      <c r="AA315" s="280"/>
      <c r="AB315" s="66"/>
      <c r="AC315" s="66"/>
      <c r="AD315" s="66"/>
      <c r="AE315" s="66"/>
      <c r="AF315" s="66"/>
      <c r="AG315" s="66"/>
      <c r="AH315" s="66"/>
      <c r="AI315" s="66"/>
      <c r="AJ315" s="66"/>
      <c r="AK315" s="66"/>
      <c r="AM315" s="66"/>
    </row>
    <row r="316" spans="1:39" hidden="1" x14ac:dyDescent="0.35">
      <c r="A316" s="66"/>
      <c r="B316" s="66"/>
      <c r="C316" s="49"/>
      <c r="D316" s="49"/>
      <c r="E316" s="49"/>
      <c r="F316" s="49"/>
      <c r="G316" s="49" t="s">
        <v>315</v>
      </c>
      <c r="H316" s="63">
        <v>0</v>
      </c>
      <c r="I316" s="63">
        <v>0</v>
      </c>
      <c r="J316" s="64">
        <v>229.23</v>
      </c>
      <c r="K316" s="64">
        <v>2239.44</v>
      </c>
      <c r="L316" s="65">
        <v>0</v>
      </c>
      <c r="M316" s="65">
        <v>0</v>
      </c>
      <c r="N316" s="66">
        <f t="shared" si="163"/>
        <v>229.23</v>
      </c>
      <c r="O316" s="66">
        <f t="shared" si="163"/>
        <v>2239.44</v>
      </c>
      <c r="P316" s="69">
        <f t="shared" si="143"/>
        <v>76.41</v>
      </c>
      <c r="Q316" s="69">
        <f t="shared" si="143"/>
        <v>746.48</v>
      </c>
      <c r="R316" s="294"/>
      <c r="S316" s="49"/>
      <c r="T316" s="49"/>
      <c r="U316" s="49"/>
      <c r="V316" s="49"/>
      <c r="W316" s="49"/>
      <c r="X316" s="49"/>
      <c r="Y316" s="49" t="s">
        <v>315</v>
      </c>
      <c r="Z316" s="66">
        <v>779.98</v>
      </c>
      <c r="AA316" s="280"/>
      <c r="AB316" s="66"/>
      <c r="AC316" s="66"/>
      <c r="AD316" s="66"/>
      <c r="AE316" s="66"/>
      <c r="AF316" s="66"/>
      <c r="AG316" s="66"/>
      <c r="AH316" s="66"/>
      <c r="AI316" s="66"/>
      <c r="AJ316" s="66"/>
      <c r="AK316" s="66"/>
      <c r="AM316" s="66"/>
    </row>
    <row r="317" spans="1:39" hidden="1" x14ac:dyDescent="0.35">
      <c r="A317" s="66"/>
      <c r="B317" s="66"/>
      <c r="C317" s="49"/>
      <c r="D317" s="49"/>
      <c r="E317" s="49"/>
      <c r="F317" s="49"/>
      <c r="G317" s="49" t="s">
        <v>316</v>
      </c>
      <c r="H317" s="63">
        <v>160.91999999999999</v>
      </c>
      <c r="I317" s="63">
        <v>0</v>
      </c>
      <c r="J317" s="64">
        <v>598.82000000000005</v>
      </c>
      <c r="K317" s="64">
        <v>1424.12</v>
      </c>
      <c r="L317" s="65">
        <v>0</v>
      </c>
      <c r="M317" s="65">
        <v>100</v>
      </c>
      <c r="N317" s="66">
        <f t="shared" si="163"/>
        <v>759.74</v>
      </c>
      <c r="O317" s="66">
        <f t="shared" si="163"/>
        <v>1524.12</v>
      </c>
      <c r="P317" s="69">
        <f t="shared" si="143"/>
        <v>253.24666666666667</v>
      </c>
      <c r="Q317" s="69">
        <f t="shared" si="143"/>
        <v>508.03999999999996</v>
      </c>
      <c r="R317" s="294"/>
      <c r="S317" s="49"/>
      <c r="T317" s="49"/>
      <c r="U317" s="49"/>
      <c r="V317" s="49"/>
      <c r="W317" s="49"/>
      <c r="X317" s="49"/>
      <c r="Y317" s="49" t="s">
        <v>316</v>
      </c>
      <c r="Z317" s="66">
        <v>609.47</v>
      </c>
      <c r="AA317" s="280"/>
      <c r="AB317" s="66"/>
      <c r="AC317" s="66"/>
      <c r="AD317" s="66"/>
      <c r="AE317" s="66"/>
      <c r="AF317" s="66"/>
      <c r="AG317" s="66"/>
      <c r="AH317" s="66"/>
      <c r="AI317" s="66"/>
      <c r="AJ317" s="66"/>
      <c r="AK317" s="66"/>
      <c r="AM317" s="66"/>
    </row>
    <row r="318" spans="1:39" ht="16" hidden="1" thickBot="1" x14ac:dyDescent="0.4">
      <c r="A318" s="66"/>
      <c r="B318" s="66"/>
      <c r="C318" s="49"/>
      <c r="D318" s="49"/>
      <c r="E318" s="49"/>
      <c r="F318" s="49"/>
      <c r="G318" s="49" t="s">
        <v>317</v>
      </c>
      <c r="H318" s="70">
        <v>0</v>
      </c>
      <c r="I318" s="70">
        <v>0</v>
      </c>
      <c r="J318" s="71">
        <v>0</v>
      </c>
      <c r="K318" s="71">
        <v>0</v>
      </c>
      <c r="L318" s="72">
        <v>84.4</v>
      </c>
      <c r="M318" s="72">
        <v>0</v>
      </c>
      <c r="N318" s="73">
        <f t="shared" si="163"/>
        <v>84.4</v>
      </c>
      <c r="O318" s="73">
        <f t="shared" si="163"/>
        <v>0</v>
      </c>
      <c r="P318" s="74">
        <f t="shared" si="143"/>
        <v>28.133333333333336</v>
      </c>
      <c r="Q318" s="74">
        <f t="shared" si="143"/>
        <v>0</v>
      </c>
      <c r="R318" s="294"/>
      <c r="S318" s="49"/>
      <c r="T318" s="49"/>
      <c r="U318" s="49"/>
      <c r="V318" s="49"/>
      <c r="W318" s="49"/>
      <c r="X318" s="49"/>
      <c r="Y318" s="49" t="s">
        <v>317</v>
      </c>
      <c r="Z318" s="73">
        <v>31.45</v>
      </c>
      <c r="AA318" s="280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M318" s="73"/>
    </row>
    <row r="319" spans="1:39" hidden="1" x14ac:dyDescent="0.35">
      <c r="A319" s="66"/>
      <c r="B319" s="66"/>
      <c r="C319" s="49"/>
      <c r="D319" s="49"/>
      <c r="E319" s="49"/>
      <c r="F319" s="49" t="s">
        <v>318</v>
      </c>
      <c r="G319" s="49"/>
      <c r="H319" s="63">
        <f t="shared" ref="H319:M319" si="164">ROUND(SUM(H308:H318),5)</f>
        <v>5951.81</v>
      </c>
      <c r="I319" s="63">
        <f t="shared" si="164"/>
        <v>0</v>
      </c>
      <c r="J319" s="64">
        <f t="shared" si="164"/>
        <v>9394.2800000000007</v>
      </c>
      <c r="K319" s="64">
        <f t="shared" si="164"/>
        <v>26310.799999999999</v>
      </c>
      <c r="L319" s="65">
        <f t="shared" si="164"/>
        <v>4827.78</v>
      </c>
      <c r="M319" s="65">
        <f t="shared" si="164"/>
        <v>3400</v>
      </c>
      <c r="N319" s="66">
        <f t="shared" si="163"/>
        <v>20173.87</v>
      </c>
      <c r="O319" s="66">
        <f t="shared" si="163"/>
        <v>29710.799999999999</v>
      </c>
      <c r="P319" s="69">
        <f t="shared" si="143"/>
        <v>6724.623333333333</v>
      </c>
      <c r="Q319" s="69">
        <f t="shared" si="143"/>
        <v>9903.6</v>
      </c>
      <c r="R319" s="294"/>
      <c r="S319" s="49"/>
      <c r="T319" s="49"/>
      <c r="U319" s="49"/>
      <c r="V319" s="49"/>
      <c r="W319" s="49"/>
      <c r="X319" s="49" t="s">
        <v>318</v>
      </c>
      <c r="Y319" s="49"/>
      <c r="Z319" s="66">
        <f>ROUND(SUM(Z308:Z318),5)</f>
        <v>15778.78</v>
      </c>
      <c r="AA319" s="280"/>
      <c r="AB319" s="66">
        <f t="shared" ref="AB319:AK319" si="165">ROUND(SUM(AB308:AB318),5)</f>
        <v>0</v>
      </c>
      <c r="AC319" s="66">
        <f t="shared" si="165"/>
        <v>0</v>
      </c>
      <c r="AD319" s="66">
        <f t="shared" si="165"/>
        <v>0</v>
      </c>
      <c r="AE319" s="66">
        <f t="shared" si="165"/>
        <v>0</v>
      </c>
      <c r="AF319" s="66">
        <f t="shared" si="165"/>
        <v>0</v>
      </c>
      <c r="AG319" s="66">
        <f t="shared" si="165"/>
        <v>0</v>
      </c>
      <c r="AH319" s="66">
        <f t="shared" si="165"/>
        <v>0</v>
      </c>
      <c r="AI319" s="66">
        <f t="shared" si="165"/>
        <v>0</v>
      </c>
      <c r="AJ319" s="66">
        <f t="shared" si="165"/>
        <v>0</v>
      </c>
      <c r="AK319" s="66">
        <f t="shared" si="165"/>
        <v>0</v>
      </c>
      <c r="AM319" s="66">
        <f t="shared" ref="AM319" si="166">ROUND(SUM(AM308:AM318),5)</f>
        <v>0</v>
      </c>
    </row>
    <row r="320" spans="1:39" hidden="1" x14ac:dyDescent="0.35">
      <c r="A320" s="66"/>
      <c r="B320" s="66"/>
      <c r="C320" s="49"/>
      <c r="D320" s="49"/>
      <c r="E320" s="49"/>
      <c r="F320" s="49" t="s">
        <v>319</v>
      </c>
      <c r="G320" s="49"/>
      <c r="H320" s="63"/>
      <c r="I320" s="63"/>
      <c r="J320" s="64"/>
      <c r="K320" s="64"/>
      <c r="L320" s="65"/>
      <c r="M320" s="65"/>
      <c r="N320" s="66"/>
      <c r="O320" s="66"/>
      <c r="P320" s="69"/>
      <c r="Q320" s="69"/>
      <c r="R320" s="294"/>
      <c r="S320" s="49"/>
      <c r="T320" s="49"/>
      <c r="U320" s="49"/>
      <c r="V320" s="49"/>
      <c r="W320" s="49"/>
      <c r="X320" s="49" t="s">
        <v>319</v>
      </c>
      <c r="Y320" s="49"/>
      <c r="Z320" s="66"/>
      <c r="AA320" s="280"/>
      <c r="AB320" s="66"/>
      <c r="AC320" s="66"/>
      <c r="AD320" s="66"/>
      <c r="AE320" s="66"/>
      <c r="AF320" s="66"/>
      <c r="AG320" s="66"/>
      <c r="AH320" s="66"/>
      <c r="AI320" s="66"/>
      <c r="AJ320" s="66"/>
      <c r="AK320" s="66"/>
      <c r="AM320" s="66"/>
    </row>
    <row r="321" spans="1:40" hidden="1" x14ac:dyDescent="0.35">
      <c r="A321" s="66"/>
      <c r="B321" s="66"/>
      <c r="C321" s="49"/>
      <c r="D321" s="49"/>
      <c r="E321" s="49"/>
      <c r="F321" s="49"/>
      <c r="G321" s="49" t="s">
        <v>320</v>
      </c>
      <c r="H321" s="63">
        <v>3343.87</v>
      </c>
      <c r="I321" s="63">
        <v>0</v>
      </c>
      <c r="J321" s="64">
        <v>8082.57</v>
      </c>
      <c r="K321" s="64">
        <v>6718.32</v>
      </c>
      <c r="L321" s="65">
        <v>6372.53</v>
      </c>
      <c r="M321" s="65">
        <v>19317.169999999998</v>
      </c>
      <c r="N321" s="66">
        <f t="shared" ref="N321:O326" si="167">ROUND(H321+J321+L321,5)</f>
        <v>17798.97</v>
      </c>
      <c r="O321" s="66">
        <f t="shared" si="167"/>
        <v>26035.49</v>
      </c>
      <c r="P321" s="69">
        <f t="shared" si="143"/>
        <v>5932.9900000000007</v>
      </c>
      <c r="Q321" s="69">
        <f t="shared" si="143"/>
        <v>8678.4966666666678</v>
      </c>
      <c r="R321" s="294"/>
      <c r="S321" s="49"/>
      <c r="T321" s="49"/>
      <c r="U321" s="49"/>
      <c r="V321" s="49"/>
      <c r="W321" s="49"/>
      <c r="X321" s="49"/>
      <c r="Y321" s="49" t="s">
        <v>320</v>
      </c>
      <c r="Z321" s="66">
        <v>17449.03</v>
      </c>
      <c r="AA321" s="280"/>
      <c r="AB321" s="66"/>
      <c r="AC321" s="66"/>
      <c r="AD321" s="66"/>
      <c r="AE321" s="66"/>
      <c r="AF321" s="66"/>
      <c r="AG321" s="66"/>
      <c r="AH321" s="66"/>
      <c r="AI321" s="66"/>
      <c r="AJ321" s="66"/>
      <c r="AK321" s="66"/>
      <c r="AM321" s="66"/>
    </row>
    <row r="322" spans="1:40" hidden="1" x14ac:dyDescent="0.35">
      <c r="A322" s="66"/>
      <c r="B322" s="66"/>
      <c r="C322" s="49"/>
      <c r="D322" s="49"/>
      <c r="E322" s="49"/>
      <c r="F322" s="49"/>
      <c r="G322" s="49" t="s">
        <v>321</v>
      </c>
      <c r="H322" s="63">
        <v>1127.99</v>
      </c>
      <c r="I322" s="63">
        <v>0</v>
      </c>
      <c r="J322" s="64">
        <v>780.38</v>
      </c>
      <c r="K322" s="64">
        <v>2239.44</v>
      </c>
      <c r="L322" s="65">
        <v>1661.72</v>
      </c>
      <c r="M322" s="65">
        <v>7838.84</v>
      </c>
      <c r="N322" s="66">
        <f t="shared" si="167"/>
        <v>3570.09</v>
      </c>
      <c r="O322" s="66">
        <f t="shared" si="167"/>
        <v>10078.280000000001</v>
      </c>
      <c r="P322" s="69">
        <f t="shared" si="143"/>
        <v>1190.03</v>
      </c>
      <c r="Q322" s="69">
        <f t="shared" si="143"/>
        <v>3359.4266666666667</v>
      </c>
      <c r="R322" s="294"/>
      <c r="S322" s="49"/>
      <c r="T322" s="49"/>
      <c r="U322" s="49"/>
      <c r="V322" s="49"/>
      <c r="W322" s="49"/>
      <c r="X322" s="49"/>
      <c r="Y322" s="49" t="s">
        <v>321</v>
      </c>
      <c r="Z322" s="66">
        <v>1535.59</v>
      </c>
      <c r="AA322" s="280"/>
      <c r="AB322" s="66"/>
      <c r="AC322" s="66"/>
      <c r="AD322" s="66"/>
      <c r="AE322" s="66"/>
      <c r="AF322" s="66"/>
      <c r="AG322" s="66"/>
      <c r="AH322" s="66"/>
      <c r="AI322" s="66"/>
      <c r="AJ322" s="66"/>
      <c r="AK322" s="66"/>
      <c r="AM322" s="66"/>
    </row>
    <row r="323" spans="1:40" hidden="1" x14ac:dyDescent="0.35">
      <c r="A323" s="66"/>
      <c r="B323" s="66"/>
      <c r="C323" s="49"/>
      <c r="D323" s="49"/>
      <c r="E323" s="49"/>
      <c r="F323" s="49"/>
      <c r="G323" s="49" t="s">
        <v>322</v>
      </c>
      <c r="H323" s="63">
        <v>1871.52</v>
      </c>
      <c r="I323" s="63">
        <v>0</v>
      </c>
      <c r="J323" s="64">
        <v>3277.82</v>
      </c>
      <c r="K323" s="64">
        <v>356.04</v>
      </c>
      <c r="L323" s="65">
        <v>2062.09</v>
      </c>
      <c r="M323" s="65">
        <v>7537.18</v>
      </c>
      <c r="N323" s="66">
        <f t="shared" si="167"/>
        <v>7211.43</v>
      </c>
      <c r="O323" s="66">
        <f t="shared" si="167"/>
        <v>7893.22</v>
      </c>
      <c r="P323" s="69">
        <f t="shared" si="143"/>
        <v>2403.81</v>
      </c>
      <c r="Q323" s="69">
        <f t="shared" si="143"/>
        <v>2631.0733333333333</v>
      </c>
      <c r="R323" s="294"/>
      <c r="S323" s="49"/>
      <c r="T323" s="49"/>
      <c r="U323" s="49"/>
      <c r="V323" s="49"/>
      <c r="W323" s="49"/>
      <c r="X323" s="49"/>
      <c r="Y323" s="49" t="s">
        <v>322</v>
      </c>
      <c r="Z323" s="66">
        <v>6445.18</v>
      </c>
      <c r="AA323" s="280"/>
      <c r="AB323" s="66"/>
      <c r="AC323" s="66"/>
      <c r="AD323" s="66"/>
      <c r="AE323" s="66"/>
      <c r="AF323" s="66"/>
      <c r="AG323" s="66"/>
      <c r="AH323" s="66"/>
      <c r="AI323" s="66"/>
      <c r="AJ323" s="66"/>
      <c r="AK323" s="66"/>
      <c r="AM323" s="66"/>
    </row>
    <row r="324" spans="1:40" hidden="1" x14ac:dyDescent="0.35">
      <c r="A324" s="66"/>
      <c r="B324" s="66"/>
      <c r="C324" s="49"/>
      <c r="D324" s="49"/>
      <c r="E324" s="49"/>
      <c r="F324" s="49"/>
      <c r="G324" s="49" t="s">
        <v>323</v>
      </c>
      <c r="H324" s="63">
        <v>610.47</v>
      </c>
      <c r="I324" s="63">
        <v>0</v>
      </c>
      <c r="J324" s="64">
        <v>609.22</v>
      </c>
      <c r="K324" s="64">
        <v>0</v>
      </c>
      <c r="L324" s="65">
        <v>0</v>
      </c>
      <c r="M324" s="65">
        <v>1271.28</v>
      </c>
      <c r="N324" s="66">
        <f t="shared" si="167"/>
        <v>1219.69</v>
      </c>
      <c r="O324" s="66">
        <f t="shared" si="167"/>
        <v>1271.28</v>
      </c>
      <c r="P324" s="69">
        <f t="shared" ref="P324:Q387" si="168">N324/3</f>
        <v>406.56333333333333</v>
      </c>
      <c r="Q324" s="69">
        <f t="shared" si="168"/>
        <v>423.76</v>
      </c>
      <c r="R324" s="294"/>
      <c r="S324" s="49"/>
      <c r="T324" s="49"/>
      <c r="U324" s="49"/>
      <c r="V324" s="49"/>
      <c r="W324" s="49"/>
      <c r="X324" s="49"/>
      <c r="Y324" s="49" t="s">
        <v>323</v>
      </c>
      <c r="Z324" s="66">
        <v>271.26</v>
      </c>
      <c r="AA324" s="280"/>
      <c r="AB324" s="66"/>
      <c r="AC324" s="66"/>
      <c r="AD324" s="66"/>
      <c r="AE324" s="66"/>
      <c r="AF324" s="66"/>
      <c r="AG324" s="66"/>
      <c r="AH324" s="66"/>
      <c r="AI324" s="66"/>
      <c r="AJ324" s="66"/>
      <c r="AK324" s="66"/>
      <c r="AM324" s="66"/>
    </row>
    <row r="325" spans="1:40" hidden="1" x14ac:dyDescent="0.35">
      <c r="A325" s="66"/>
      <c r="B325" s="66"/>
      <c r="C325" s="49"/>
      <c r="D325" s="49"/>
      <c r="E325" s="49"/>
      <c r="F325" s="49"/>
      <c r="G325" s="49" t="s">
        <v>324</v>
      </c>
      <c r="H325" s="63">
        <v>7438.51</v>
      </c>
      <c r="I325" s="63">
        <v>0</v>
      </c>
      <c r="J325" s="64">
        <v>5945.67</v>
      </c>
      <c r="K325" s="64">
        <v>356.04</v>
      </c>
      <c r="L325" s="65">
        <v>7124.44</v>
      </c>
      <c r="M325" s="65">
        <v>18797.689999999999</v>
      </c>
      <c r="N325" s="66">
        <f t="shared" si="167"/>
        <v>20508.62</v>
      </c>
      <c r="O325" s="66">
        <f t="shared" si="167"/>
        <v>19153.73</v>
      </c>
      <c r="P325" s="69">
        <f t="shared" si="168"/>
        <v>6836.206666666666</v>
      </c>
      <c r="Q325" s="69">
        <f t="shared" si="168"/>
        <v>6384.5766666666668</v>
      </c>
      <c r="R325" s="294"/>
      <c r="S325" s="49"/>
      <c r="T325" s="49"/>
      <c r="U325" s="49"/>
      <c r="V325" s="49"/>
      <c r="W325" s="49"/>
      <c r="X325" s="49"/>
      <c r="Y325" s="49" t="s">
        <v>324</v>
      </c>
      <c r="Z325" s="66">
        <v>12006.67</v>
      </c>
      <c r="AA325" s="280"/>
      <c r="AB325" s="66"/>
      <c r="AC325" s="66"/>
      <c r="AD325" s="66"/>
      <c r="AE325" s="66"/>
      <c r="AF325" s="66"/>
      <c r="AG325" s="66"/>
      <c r="AH325" s="66"/>
      <c r="AI325" s="66"/>
      <c r="AJ325" s="66"/>
      <c r="AK325" s="66"/>
      <c r="AM325" s="66"/>
    </row>
    <row r="326" spans="1:40" hidden="1" x14ac:dyDescent="0.35">
      <c r="A326" s="66"/>
      <c r="B326" s="66"/>
      <c r="C326" s="49"/>
      <c r="D326" s="49"/>
      <c r="E326" s="49"/>
      <c r="F326" s="49"/>
      <c r="G326" s="49" t="s">
        <v>325</v>
      </c>
      <c r="H326" s="63">
        <v>310.89</v>
      </c>
      <c r="I326" s="63">
        <v>0</v>
      </c>
      <c r="J326" s="64">
        <v>1148.74</v>
      </c>
      <c r="K326" s="64">
        <v>0</v>
      </c>
      <c r="L326" s="65">
        <v>817.23</v>
      </c>
      <c r="M326" s="65">
        <v>0</v>
      </c>
      <c r="N326" s="66">
        <f t="shared" si="167"/>
        <v>2276.86</v>
      </c>
      <c r="O326" s="66">
        <f t="shared" si="167"/>
        <v>0</v>
      </c>
      <c r="P326" s="69">
        <f t="shared" si="168"/>
        <v>758.95333333333338</v>
      </c>
      <c r="Q326" s="69">
        <f t="shared" si="168"/>
        <v>0</v>
      </c>
      <c r="R326" s="294"/>
      <c r="S326" s="49"/>
      <c r="T326" s="49"/>
      <c r="U326" s="49"/>
      <c r="V326" s="49"/>
      <c r="W326" s="49"/>
      <c r="X326" s="49"/>
      <c r="Y326" s="49" t="s">
        <v>325</v>
      </c>
      <c r="Z326" s="66">
        <v>0</v>
      </c>
      <c r="AA326" s="280"/>
      <c r="AB326" s="66"/>
      <c r="AC326" s="66"/>
      <c r="AD326" s="66"/>
      <c r="AE326" s="66"/>
      <c r="AF326" s="66"/>
      <c r="AG326" s="66"/>
      <c r="AH326" s="66"/>
      <c r="AI326" s="66"/>
      <c r="AJ326" s="66"/>
      <c r="AK326" s="66"/>
      <c r="AM326" s="66"/>
    </row>
    <row r="327" spans="1:40" ht="16" hidden="1" thickBot="1" x14ac:dyDescent="0.4">
      <c r="A327" s="66"/>
      <c r="B327" s="66"/>
      <c r="C327" s="49"/>
      <c r="D327" s="49"/>
      <c r="E327" s="49"/>
      <c r="F327" s="49"/>
      <c r="G327" s="49" t="s">
        <v>581</v>
      </c>
      <c r="H327" s="70"/>
      <c r="I327" s="70"/>
      <c r="J327" s="71"/>
      <c r="K327" s="71"/>
      <c r="L327" s="72"/>
      <c r="M327" s="72"/>
      <c r="N327" s="73"/>
      <c r="O327" s="73"/>
      <c r="P327" s="74"/>
      <c r="Q327" s="74"/>
      <c r="R327" s="294"/>
      <c r="S327" s="49"/>
      <c r="T327" s="49"/>
      <c r="U327" s="49"/>
      <c r="V327" s="49"/>
      <c r="W327" s="49"/>
      <c r="X327" s="49"/>
      <c r="Y327" s="49" t="s">
        <v>581</v>
      </c>
      <c r="Z327" s="73">
        <v>413.35</v>
      </c>
      <c r="AA327" s="280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M327" s="73"/>
    </row>
    <row r="328" spans="1:40" hidden="1" x14ac:dyDescent="0.35">
      <c r="A328" s="66"/>
      <c r="B328" s="66"/>
      <c r="C328" s="49"/>
      <c r="D328" s="49"/>
      <c r="E328" s="49"/>
      <c r="F328" s="49" t="s">
        <v>326</v>
      </c>
      <c r="G328" s="49"/>
      <c r="H328" s="63">
        <f t="shared" ref="H328:M328" si="169">ROUND(SUM(H320:H326),5)</f>
        <v>14703.25</v>
      </c>
      <c r="I328" s="63">
        <f t="shared" si="169"/>
        <v>0</v>
      </c>
      <c r="J328" s="64">
        <f t="shared" si="169"/>
        <v>19844.400000000001</v>
      </c>
      <c r="K328" s="64">
        <f t="shared" si="169"/>
        <v>9669.84</v>
      </c>
      <c r="L328" s="65">
        <f t="shared" si="169"/>
        <v>18038.009999999998</v>
      </c>
      <c r="M328" s="65">
        <f t="shared" si="169"/>
        <v>54762.16</v>
      </c>
      <c r="N328" s="66">
        <f>ROUND(H328+J328+L328,5)</f>
        <v>52585.66</v>
      </c>
      <c r="O328" s="66">
        <f>ROUND(I328+K328+M328,5)</f>
        <v>64432</v>
      </c>
      <c r="P328" s="69">
        <f t="shared" si="168"/>
        <v>17528.553333333333</v>
      </c>
      <c r="Q328" s="69">
        <f t="shared" si="168"/>
        <v>21477.333333333332</v>
      </c>
      <c r="R328" s="294"/>
      <c r="S328" s="49"/>
      <c r="T328" s="49"/>
      <c r="U328" s="49"/>
      <c r="V328" s="49"/>
      <c r="W328" s="49"/>
      <c r="X328" s="49" t="s">
        <v>326</v>
      </c>
      <c r="Y328" s="49"/>
      <c r="Z328" s="66">
        <f>ROUND(SUM(Z320:Z327),5)</f>
        <v>38121.08</v>
      </c>
      <c r="AA328" s="280"/>
      <c r="AB328" s="66">
        <f t="shared" ref="AB328:AK328" si="170">ROUND(SUM(AB320:AB327),5)</f>
        <v>0</v>
      </c>
      <c r="AC328" s="66">
        <f t="shared" si="170"/>
        <v>0</v>
      </c>
      <c r="AD328" s="66">
        <f t="shared" si="170"/>
        <v>0</v>
      </c>
      <c r="AE328" s="66">
        <f t="shared" si="170"/>
        <v>0</v>
      </c>
      <c r="AF328" s="66">
        <f t="shared" si="170"/>
        <v>0</v>
      </c>
      <c r="AG328" s="66">
        <f t="shared" si="170"/>
        <v>0</v>
      </c>
      <c r="AH328" s="66">
        <f t="shared" si="170"/>
        <v>0</v>
      </c>
      <c r="AI328" s="66">
        <f t="shared" si="170"/>
        <v>0</v>
      </c>
      <c r="AJ328" s="66">
        <f t="shared" si="170"/>
        <v>0</v>
      </c>
      <c r="AK328" s="66">
        <f t="shared" si="170"/>
        <v>0</v>
      </c>
      <c r="AM328" s="66">
        <f t="shared" ref="AM328" si="171">ROUND(SUM(AM320:AM327),5)</f>
        <v>0</v>
      </c>
    </row>
    <row r="329" spans="1:40" hidden="1" x14ac:dyDescent="0.35">
      <c r="A329" s="66"/>
      <c r="B329" s="66"/>
      <c r="C329" s="49"/>
      <c r="D329" s="49"/>
      <c r="E329" s="49"/>
      <c r="F329" s="49" t="s">
        <v>327</v>
      </c>
      <c r="G329" s="49"/>
      <c r="H329" s="63"/>
      <c r="I329" s="63"/>
      <c r="J329" s="64"/>
      <c r="K329" s="64"/>
      <c r="L329" s="65"/>
      <c r="M329" s="65"/>
      <c r="N329" s="66"/>
      <c r="O329" s="66"/>
      <c r="P329" s="69"/>
      <c r="Q329" s="69"/>
      <c r="R329" s="294"/>
      <c r="S329" s="49"/>
      <c r="T329" s="49"/>
      <c r="U329" s="49"/>
      <c r="V329" s="49"/>
      <c r="W329" s="49"/>
      <c r="X329" s="49" t="s">
        <v>327</v>
      </c>
      <c r="Y329" s="49"/>
      <c r="Z329" s="66"/>
      <c r="AA329" s="280"/>
      <c r="AB329" s="66"/>
      <c r="AC329" s="66"/>
      <c r="AD329" s="66"/>
      <c r="AE329" s="66"/>
      <c r="AF329" s="66"/>
      <c r="AG329" s="66"/>
      <c r="AH329" s="66"/>
      <c r="AI329" s="66"/>
      <c r="AJ329" s="66"/>
      <c r="AK329" s="66"/>
      <c r="AM329" s="66"/>
    </row>
    <row r="330" spans="1:40" ht="16" hidden="1" thickBot="1" x14ac:dyDescent="0.4">
      <c r="A330" s="66"/>
      <c r="B330" s="66"/>
      <c r="C330" s="49"/>
      <c r="D330" s="49"/>
      <c r="E330" s="49"/>
      <c r="F330" s="49"/>
      <c r="G330" s="49" t="s">
        <v>328</v>
      </c>
      <c r="H330" s="70">
        <v>70479.55</v>
      </c>
      <c r="I330" s="70">
        <v>74045.47</v>
      </c>
      <c r="J330" s="71">
        <v>78550</v>
      </c>
      <c r="K330" s="71">
        <v>0</v>
      </c>
      <c r="L330" s="72">
        <v>142166.71</v>
      </c>
      <c r="M330" s="72">
        <v>0</v>
      </c>
      <c r="N330" s="73">
        <f t="shared" ref="N330:O333" si="172">ROUND(H330+J330+L330,5)</f>
        <v>291196.26</v>
      </c>
      <c r="O330" s="73">
        <f t="shared" si="172"/>
        <v>74045.47</v>
      </c>
      <c r="P330" s="74">
        <f t="shared" si="168"/>
        <v>97065.42</v>
      </c>
      <c r="Q330" s="74">
        <f t="shared" si="168"/>
        <v>24681.823333333334</v>
      </c>
      <c r="R330" s="294"/>
      <c r="S330" s="49"/>
      <c r="T330" s="49"/>
      <c r="U330" s="49"/>
      <c r="V330" s="49"/>
      <c r="W330" s="49"/>
      <c r="X330" s="49"/>
      <c r="Y330" s="49" t="s">
        <v>328</v>
      </c>
      <c r="Z330" s="73">
        <v>0</v>
      </c>
      <c r="AA330" s="280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M330" s="73"/>
    </row>
    <row r="331" spans="1:40" hidden="1" x14ac:dyDescent="0.35">
      <c r="A331" s="66"/>
      <c r="B331" s="66"/>
      <c r="C331" s="49"/>
      <c r="D331" s="49"/>
      <c r="E331" s="49"/>
      <c r="F331" s="49" t="s">
        <v>329</v>
      </c>
      <c r="G331" s="49"/>
      <c r="H331" s="63">
        <f t="shared" ref="H331:M331" si="173">ROUND(SUM(H329:H330),5)</f>
        <v>70479.55</v>
      </c>
      <c r="I331" s="63">
        <f t="shared" si="173"/>
        <v>74045.47</v>
      </c>
      <c r="J331" s="64">
        <f t="shared" si="173"/>
        <v>78550</v>
      </c>
      <c r="K331" s="64">
        <f t="shared" si="173"/>
        <v>0</v>
      </c>
      <c r="L331" s="65">
        <f t="shared" si="173"/>
        <v>142166.71</v>
      </c>
      <c r="M331" s="65">
        <f t="shared" si="173"/>
        <v>0</v>
      </c>
      <c r="N331" s="66">
        <f t="shared" si="172"/>
        <v>291196.26</v>
      </c>
      <c r="O331" s="66">
        <f t="shared" si="172"/>
        <v>74045.47</v>
      </c>
      <c r="P331" s="69">
        <f t="shared" si="168"/>
        <v>97065.42</v>
      </c>
      <c r="Q331" s="69">
        <f t="shared" si="168"/>
        <v>24681.823333333334</v>
      </c>
      <c r="R331" s="294"/>
      <c r="S331" s="49"/>
      <c r="T331" s="49"/>
      <c r="U331" s="49"/>
      <c r="V331" s="49"/>
      <c r="W331" s="49"/>
      <c r="X331" s="49" t="s">
        <v>329</v>
      </c>
      <c r="Y331" s="49"/>
      <c r="Z331" s="66">
        <f t="shared" ref="Z331:AK331" si="174">ROUND(SUM(Z329:Z330),5)</f>
        <v>0</v>
      </c>
      <c r="AA331" s="280"/>
      <c r="AB331" s="66">
        <f t="shared" si="174"/>
        <v>0</v>
      </c>
      <c r="AC331" s="66">
        <f t="shared" si="174"/>
        <v>0</v>
      </c>
      <c r="AD331" s="66">
        <f t="shared" si="174"/>
        <v>0</v>
      </c>
      <c r="AE331" s="66">
        <f t="shared" si="174"/>
        <v>0</v>
      </c>
      <c r="AF331" s="66">
        <f t="shared" si="174"/>
        <v>0</v>
      </c>
      <c r="AG331" s="66">
        <f t="shared" si="174"/>
        <v>0</v>
      </c>
      <c r="AH331" s="66">
        <f t="shared" si="174"/>
        <v>0</v>
      </c>
      <c r="AI331" s="66">
        <f t="shared" si="174"/>
        <v>0</v>
      </c>
      <c r="AJ331" s="66">
        <f t="shared" si="174"/>
        <v>0</v>
      </c>
      <c r="AK331" s="66">
        <f t="shared" si="174"/>
        <v>0</v>
      </c>
      <c r="AM331" s="66">
        <f t="shared" ref="AM331" si="175">ROUND(SUM(AM329:AM330),5)</f>
        <v>0</v>
      </c>
    </row>
    <row r="332" spans="1:40" ht="16" hidden="1" thickBot="1" x14ac:dyDescent="0.4">
      <c r="A332" s="66"/>
      <c r="B332" s="66"/>
      <c r="C332" s="49"/>
      <c r="D332" s="49"/>
      <c r="E332" s="49"/>
      <c r="F332" s="49" t="s">
        <v>330</v>
      </c>
      <c r="G332" s="49"/>
      <c r="H332" s="70">
        <v>0</v>
      </c>
      <c r="I332" s="70">
        <v>61404.95</v>
      </c>
      <c r="J332" s="71">
        <v>0</v>
      </c>
      <c r="K332" s="71">
        <v>0</v>
      </c>
      <c r="L332" s="72">
        <v>0</v>
      </c>
      <c r="M332" s="72">
        <v>0</v>
      </c>
      <c r="N332" s="73">
        <f t="shared" si="172"/>
        <v>0</v>
      </c>
      <c r="O332" s="73">
        <f t="shared" si="172"/>
        <v>61404.95</v>
      </c>
      <c r="P332" s="74">
        <f t="shared" si="168"/>
        <v>0</v>
      </c>
      <c r="Q332" s="74">
        <f t="shared" si="168"/>
        <v>20468.316666666666</v>
      </c>
      <c r="R332" s="294"/>
      <c r="S332" s="49"/>
      <c r="T332" s="49"/>
      <c r="U332" s="49"/>
      <c r="V332" s="49"/>
      <c r="W332" s="49"/>
      <c r="X332" s="49" t="s">
        <v>330</v>
      </c>
      <c r="Y332" s="49"/>
      <c r="Z332" s="73">
        <v>0</v>
      </c>
      <c r="AA332" s="280"/>
      <c r="AB332" s="73">
        <v>0</v>
      </c>
      <c r="AC332" s="73">
        <v>0</v>
      </c>
      <c r="AD332" s="73">
        <v>0</v>
      </c>
      <c r="AE332" s="73">
        <v>0</v>
      </c>
      <c r="AF332" s="73">
        <v>0</v>
      </c>
      <c r="AG332" s="73">
        <v>0</v>
      </c>
      <c r="AH332" s="73">
        <v>0</v>
      </c>
      <c r="AI332" s="73">
        <v>0</v>
      </c>
      <c r="AJ332" s="73">
        <v>0</v>
      </c>
      <c r="AK332" s="73">
        <v>0</v>
      </c>
      <c r="AM332" s="73">
        <v>0</v>
      </c>
    </row>
    <row r="333" spans="1:40" x14ac:dyDescent="0.35">
      <c r="A333" s="66"/>
      <c r="B333" s="66"/>
      <c r="C333" s="49"/>
      <c r="D333" s="49"/>
      <c r="E333" s="49" t="s">
        <v>331</v>
      </c>
      <c r="F333" s="49"/>
      <c r="G333" s="49"/>
      <c r="H333" s="63">
        <f t="shared" ref="H333:M333" si="176">ROUND(SUM(H227:H228)+H234+H257+H263+H280+H288+H301+H307+H319+H328+SUM(H331:H332),5)</f>
        <v>188585.61</v>
      </c>
      <c r="I333" s="63">
        <f t="shared" si="176"/>
        <v>138009</v>
      </c>
      <c r="J333" s="64">
        <f t="shared" si="176"/>
        <v>203924.74</v>
      </c>
      <c r="K333" s="64">
        <f t="shared" si="176"/>
        <v>194923.04</v>
      </c>
      <c r="L333" s="65">
        <f t="shared" si="176"/>
        <v>249596.1</v>
      </c>
      <c r="M333" s="65">
        <f t="shared" si="176"/>
        <v>148293.14000000001</v>
      </c>
      <c r="N333" s="66">
        <f t="shared" si="172"/>
        <v>642106.44999999995</v>
      </c>
      <c r="O333" s="66">
        <f t="shared" si="172"/>
        <v>481225.18</v>
      </c>
      <c r="P333" s="69">
        <f t="shared" si="168"/>
        <v>214035.48333333331</v>
      </c>
      <c r="Q333" s="69">
        <f t="shared" si="168"/>
        <v>160408.39333333334</v>
      </c>
      <c r="R333" s="294"/>
      <c r="S333" s="49"/>
      <c r="T333" s="49"/>
      <c r="U333" s="49"/>
      <c r="V333" s="49"/>
      <c r="W333" s="49" t="s">
        <v>331</v>
      </c>
      <c r="X333" s="49"/>
      <c r="Y333" s="49"/>
      <c r="Z333" s="66">
        <f>ROUND(SUM(Z227:Z228)+Z234+Z257+Z263+Z280+Z288+Z301+Z307+Z319+Z328+SUM(Z331:Z332),5)</f>
        <v>232168</v>
      </c>
      <c r="AA333" s="280"/>
      <c r="AB333" s="80">
        <f t="shared" ref="AB333:AF333" si="177">ROUND(SUM(AB227:AB228)+AB234+AB257+AB263+AB280+AB288+AB301+AB307+AB319+AB328+SUM(AB331:AB332),5)</f>
        <v>227894.31142000001</v>
      </c>
      <c r="AC333" s="80">
        <f t="shared" si="177"/>
        <v>227894.31142000001</v>
      </c>
      <c r="AD333" s="80">
        <f t="shared" si="177"/>
        <v>243375.95202</v>
      </c>
      <c r="AE333" s="80">
        <f t="shared" si="177"/>
        <v>205210.84</v>
      </c>
      <c r="AF333" s="80">
        <f t="shared" si="177"/>
        <v>205210.84</v>
      </c>
      <c r="AG333" s="80">
        <f>ROUND(SUM(AG227:AG228)+AG234+AG257+AG263+AG280+AG288+AG301+AG307+AG319+AG328+SUM(AG331:AG332),0)</f>
        <v>205211</v>
      </c>
      <c r="AH333" s="80">
        <f>ROUND(SUM(AH227:AH228)+AH234+AH257+AH263+AH280+AH288+AH301+AH307+AH319+AH328+SUM(AH331:AH332),0)</f>
        <v>205211</v>
      </c>
      <c r="AI333" s="80">
        <f>ROUND(SUM(AI227:AI228)+AI234+AI257+AI263+AI280+AI288+AI301+AI307+AI319+AI328+SUM(AI331:AI332),0)</f>
        <v>205211</v>
      </c>
      <c r="AJ333" s="80">
        <f>ROUND(SUM(AJ227:AJ228)+AJ234+AJ257+AJ263+AJ280+AJ288+AJ301+AJ307+AJ319+AJ328+SUM(AJ331:AJ332),0)</f>
        <v>205211</v>
      </c>
      <c r="AK333" s="266">
        <f>ROUND(SUM(AK227:AK228)+AK234+AK257+AK263+AK280+AK288+AK301+AK307+AK319+AK328+SUM(AK331:AK332),0)</f>
        <v>205211</v>
      </c>
      <c r="AM333" s="270">
        <f>ROUND(SUM(AM227:AM228)+AM234+AM257+AM263+AM280+AM288+AM301+AM307+AM319+AM328+SUM(AM331:AM332),0)</f>
        <v>205211</v>
      </c>
      <c r="AN333" s="221" t="s">
        <v>987</v>
      </c>
    </row>
    <row r="334" spans="1:40" x14ac:dyDescent="0.35">
      <c r="A334" s="66"/>
      <c r="B334" s="66"/>
      <c r="C334" s="49"/>
      <c r="D334" s="49"/>
      <c r="E334" s="49" t="s">
        <v>332</v>
      </c>
      <c r="F334" s="49"/>
      <c r="G334" s="49"/>
      <c r="H334" s="63"/>
      <c r="I334" s="63"/>
      <c r="J334" s="64"/>
      <c r="K334" s="64"/>
      <c r="L334" s="65"/>
      <c r="M334" s="65"/>
      <c r="N334" s="66"/>
      <c r="O334" s="66"/>
      <c r="P334" s="69"/>
      <c r="Q334" s="69"/>
      <c r="R334" s="294"/>
      <c r="S334" s="49"/>
      <c r="T334" s="49"/>
      <c r="U334" s="49"/>
      <c r="V334" s="49"/>
      <c r="W334" s="49" t="s">
        <v>332</v>
      </c>
      <c r="X334" s="49"/>
      <c r="Y334" s="49"/>
      <c r="Z334" s="66"/>
      <c r="AA334" s="280"/>
      <c r="AB334" s="66"/>
      <c r="AC334" s="66"/>
      <c r="AD334" s="66"/>
      <c r="AE334" s="66"/>
      <c r="AF334" s="66"/>
      <c r="AG334" s="66"/>
      <c r="AH334" s="66"/>
      <c r="AI334" s="66"/>
      <c r="AJ334" s="66"/>
      <c r="AK334" s="66"/>
      <c r="AL334" s="301"/>
      <c r="AM334" s="66"/>
      <c r="AN334" s="185"/>
    </row>
    <row r="335" spans="1:40" x14ac:dyDescent="0.35">
      <c r="A335" s="66"/>
      <c r="B335" s="66"/>
      <c r="C335" s="49"/>
      <c r="D335" s="49"/>
      <c r="E335" s="49"/>
      <c r="F335" s="49" t="s">
        <v>333</v>
      </c>
      <c r="G335" s="49"/>
      <c r="H335" s="63"/>
      <c r="I335" s="63"/>
      <c r="J335" s="64"/>
      <c r="K335" s="64"/>
      <c r="L335" s="65"/>
      <c r="M335" s="65"/>
      <c r="N335" s="66"/>
      <c r="O335" s="66"/>
      <c r="P335" s="69"/>
      <c r="Q335" s="69"/>
      <c r="R335" s="294"/>
      <c r="S335" s="49"/>
      <c r="T335" s="49"/>
      <c r="U335" s="49"/>
      <c r="V335" s="49"/>
      <c r="W335" s="49"/>
      <c r="X335" s="49" t="s">
        <v>333</v>
      </c>
      <c r="Y335" s="49"/>
      <c r="Z335" s="66"/>
      <c r="AA335" s="280"/>
      <c r="AB335" s="66"/>
      <c r="AC335" s="66"/>
      <c r="AD335" s="66"/>
      <c r="AE335" s="66"/>
      <c r="AF335" s="66"/>
      <c r="AG335" s="66"/>
      <c r="AH335" s="66"/>
      <c r="AI335" s="66"/>
      <c r="AJ335" s="66"/>
      <c r="AK335" s="66"/>
      <c r="AL335" s="301"/>
      <c r="AM335" s="66"/>
      <c r="AN335" s="185"/>
    </row>
    <row r="336" spans="1:40" x14ac:dyDescent="0.35">
      <c r="A336" s="66"/>
      <c r="B336" s="66"/>
      <c r="C336" s="49"/>
      <c r="D336" s="49"/>
      <c r="E336" s="49"/>
      <c r="F336" s="49"/>
      <c r="G336" s="49" t="s">
        <v>334</v>
      </c>
      <c r="H336" s="63">
        <v>12840</v>
      </c>
      <c r="I336" s="63">
        <v>0</v>
      </c>
      <c r="J336" s="64">
        <v>8110</v>
      </c>
      <c r="K336" s="64">
        <v>0</v>
      </c>
      <c r="L336" s="65">
        <v>415</v>
      </c>
      <c r="M336" s="65">
        <v>0</v>
      </c>
      <c r="N336" s="66">
        <f t="shared" ref="N336:O357" si="178">ROUND(H336+J336+L336,5)</f>
        <v>21365</v>
      </c>
      <c r="O336" s="66">
        <v>0</v>
      </c>
      <c r="P336" s="69">
        <f t="shared" si="168"/>
        <v>7121.666666666667</v>
      </c>
      <c r="Q336" s="69">
        <f t="shared" si="168"/>
        <v>0</v>
      </c>
      <c r="R336" s="294"/>
      <c r="S336" s="49"/>
      <c r="T336" s="49"/>
      <c r="U336" s="49"/>
      <c r="V336" s="49"/>
      <c r="W336" s="49"/>
      <c r="X336" s="49"/>
      <c r="Y336" s="49" t="s">
        <v>334</v>
      </c>
      <c r="Z336" s="66">
        <v>0</v>
      </c>
      <c r="AA336" s="280"/>
      <c r="AB336" s="66">
        <v>0</v>
      </c>
      <c r="AC336" s="66">
        <v>0</v>
      </c>
      <c r="AD336" s="66">
        <v>0</v>
      </c>
      <c r="AE336" s="66">
        <v>0</v>
      </c>
      <c r="AF336" s="66">
        <v>0</v>
      </c>
      <c r="AG336" s="66">
        <v>0</v>
      </c>
      <c r="AH336" s="66">
        <v>0</v>
      </c>
      <c r="AI336" s="66">
        <v>0</v>
      </c>
      <c r="AJ336" s="66">
        <v>0</v>
      </c>
      <c r="AK336" s="66">
        <v>0</v>
      </c>
      <c r="AM336" s="66">
        <v>0</v>
      </c>
    </row>
    <row r="337" spans="1:40" x14ac:dyDescent="0.35">
      <c r="A337" s="66"/>
      <c r="B337" s="66"/>
      <c r="C337" s="49"/>
      <c r="D337" s="49"/>
      <c r="E337" s="49"/>
      <c r="F337" s="49"/>
      <c r="G337" s="49" t="s">
        <v>335</v>
      </c>
      <c r="H337" s="63">
        <v>0</v>
      </c>
      <c r="I337" s="63">
        <v>0</v>
      </c>
      <c r="J337" s="64">
        <v>66954.59</v>
      </c>
      <c r="K337" s="64">
        <v>0</v>
      </c>
      <c r="L337" s="65">
        <v>31025</v>
      </c>
      <c r="M337" s="65">
        <v>40000</v>
      </c>
      <c r="N337" s="66">
        <f t="shared" si="178"/>
        <v>97979.59</v>
      </c>
      <c r="O337" s="66">
        <f>ROUND(I337+K337+M337,5)</f>
        <v>40000</v>
      </c>
      <c r="P337" s="69">
        <f t="shared" si="168"/>
        <v>32659.863333333331</v>
      </c>
      <c r="Q337" s="69">
        <f t="shared" si="168"/>
        <v>13333.333333333334</v>
      </c>
      <c r="R337" s="294"/>
      <c r="S337" s="49"/>
      <c r="T337" s="49"/>
      <c r="U337" s="49"/>
      <c r="V337" s="49"/>
      <c r="W337" s="49"/>
      <c r="X337" s="49"/>
      <c r="Y337" s="49" t="s">
        <v>335</v>
      </c>
      <c r="Z337" s="66">
        <v>0</v>
      </c>
      <c r="AA337" s="280"/>
      <c r="AB337" s="66">
        <v>0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</v>
      </c>
      <c r="AI337" s="66">
        <v>0</v>
      </c>
      <c r="AJ337" s="66">
        <v>0</v>
      </c>
      <c r="AK337" s="66">
        <v>0</v>
      </c>
      <c r="AM337" s="66">
        <v>0</v>
      </c>
      <c r="AN337" s="174"/>
    </row>
    <row r="338" spans="1:40" ht="33" customHeight="1" x14ac:dyDescent="0.35">
      <c r="A338" s="66"/>
      <c r="B338" s="66"/>
      <c r="C338" s="49"/>
      <c r="D338" s="49"/>
      <c r="E338" s="49"/>
      <c r="F338" s="49"/>
      <c r="G338" s="49" t="s">
        <v>336</v>
      </c>
      <c r="H338" s="63">
        <v>0</v>
      </c>
      <c r="I338" s="63">
        <v>0</v>
      </c>
      <c r="J338" s="64">
        <v>19650.97</v>
      </c>
      <c r="K338" s="64">
        <v>0</v>
      </c>
      <c r="L338" s="65">
        <v>2830</v>
      </c>
      <c r="M338" s="65">
        <v>0</v>
      </c>
      <c r="N338" s="66">
        <f t="shared" si="178"/>
        <v>22480.97</v>
      </c>
      <c r="O338" s="66">
        <v>0</v>
      </c>
      <c r="P338" s="69">
        <f t="shared" si="168"/>
        <v>7493.6566666666668</v>
      </c>
      <c r="Q338" s="69">
        <f t="shared" si="168"/>
        <v>0</v>
      </c>
      <c r="R338" s="294"/>
      <c r="S338" s="49"/>
      <c r="T338" s="49"/>
      <c r="U338" s="49"/>
      <c r="V338" s="49"/>
      <c r="W338" s="49"/>
      <c r="X338" s="49"/>
      <c r="Y338" s="49" t="s">
        <v>336</v>
      </c>
      <c r="Z338" s="66">
        <v>0</v>
      </c>
      <c r="AA338" s="280"/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125000</v>
      </c>
      <c r="AI338" s="66">
        <v>125000</v>
      </c>
      <c r="AJ338" s="66">
        <v>62500</v>
      </c>
      <c r="AK338" s="66">
        <v>62500</v>
      </c>
      <c r="AM338" s="66">
        <v>62500</v>
      </c>
      <c r="AN338" s="221" t="s">
        <v>1007</v>
      </c>
    </row>
    <row r="339" spans="1:40" x14ac:dyDescent="0.35">
      <c r="A339" s="66"/>
      <c r="B339" s="66"/>
      <c r="C339" s="49"/>
      <c r="D339" s="49"/>
      <c r="E339" s="49"/>
      <c r="F339" s="49"/>
      <c r="G339" s="49" t="s">
        <v>337</v>
      </c>
      <c r="H339" s="63">
        <v>0</v>
      </c>
      <c r="I339" s="63">
        <v>0</v>
      </c>
      <c r="J339" s="64">
        <v>0</v>
      </c>
      <c r="K339" s="64">
        <v>0</v>
      </c>
      <c r="L339" s="65">
        <v>680</v>
      </c>
      <c r="M339" s="65">
        <v>0</v>
      </c>
      <c r="N339" s="66">
        <f t="shared" si="178"/>
        <v>680</v>
      </c>
      <c r="O339" s="66">
        <f>ROUND(I339+K339+M339,5)</f>
        <v>0</v>
      </c>
      <c r="P339" s="69">
        <f t="shared" si="168"/>
        <v>226.66666666666666</v>
      </c>
      <c r="Q339" s="69">
        <f t="shared" si="168"/>
        <v>0</v>
      </c>
      <c r="R339" s="294"/>
      <c r="S339" s="49"/>
      <c r="T339" s="49"/>
      <c r="U339" s="49"/>
      <c r="V339" s="49"/>
      <c r="W339" s="49"/>
      <c r="X339" s="49"/>
      <c r="Y339" s="49" t="s">
        <v>337</v>
      </c>
      <c r="Z339" s="66">
        <v>22500</v>
      </c>
      <c r="AA339" s="280"/>
      <c r="AB339" s="168">
        <v>50000</v>
      </c>
      <c r="AC339" s="168">
        <v>50000</v>
      </c>
      <c r="AD339" s="168">
        <v>50000</v>
      </c>
      <c r="AE339" s="168">
        <v>50000</v>
      </c>
      <c r="AF339" s="168">
        <v>50000</v>
      </c>
      <c r="AG339" s="168">
        <v>50000</v>
      </c>
      <c r="AH339" s="66">
        <v>50000</v>
      </c>
      <c r="AI339" s="66">
        <v>50000</v>
      </c>
      <c r="AJ339" s="66">
        <v>50000</v>
      </c>
      <c r="AK339" s="66">
        <v>50000</v>
      </c>
      <c r="AM339" s="66">
        <v>50000</v>
      </c>
    </row>
    <row r="340" spans="1:40" x14ac:dyDescent="0.35">
      <c r="A340" s="66"/>
      <c r="B340" s="66"/>
      <c r="C340" s="49"/>
      <c r="D340" s="49"/>
      <c r="E340" s="49"/>
      <c r="F340" s="49"/>
      <c r="G340" s="49" t="s">
        <v>848</v>
      </c>
      <c r="H340" s="63"/>
      <c r="I340" s="63"/>
      <c r="J340" s="64"/>
      <c r="K340" s="64"/>
      <c r="L340" s="65"/>
      <c r="M340" s="65"/>
      <c r="N340" s="66"/>
      <c r="O340" s="66"/>
      <c r="P340" s="69"/>
      <c r="Q340" s="69"/>
      <c r="R340" s="294"/>
      <c r="S340" s="49"/>
      <c r="T340" s="49"/>
      <c r="U340" s="49"/>
      <c r="V340" s="49"/>
      <c r="W340" s="49"/>
      <c r="X340" s="49"/>
      <c r="Y340" s="49" t="s">
        <v>848</v>
      </c>
      <c r="Z340" s="66">
        <v>0</v>
      </c>
      <c r="AA340" s="280"/>
      <c r="AB340" s="168">
        <v>50000</v>
      </c>
      <c r="AC340" s="168">
        <v>50000</v>
      </c>
      <c r="AD340" s="168">
        <v>50000</v>
      </c>
      <c r="AE340" s="168">
        <v>50000</v>
      </c>
      <c r="AF340" s="168">
        <v>50000</v>
      </c>
      <c r="AG340" s="168">
        <v>50000</v>
      </c>
      <c r="AH340" s="66">
        <v>50000</v>
      </c>
      <c r="AI340" s="66">
        <v>50000</v>
      </c>
      <c r="AJ340" s="66">
        <v>50000</v>
      </c>
      <c r="AK340" s="66">
        <v>50000</v>
      </c>
      <c r="AM340" s="66">
        <v>50000</v>
      </c>
    </row>
    <row r="341" spans="1:40" ht="38.4" customHeight="1" thickBot="1" x14ac:dyDescent="0.4">
      <c r="A341" s="66"/>
      <c r="B341" s="66"/>
      <c r="C341" s="49"/>
      <c r="D341" s="49"/>
      <c r="E341" s="49"/>
      <c r="F341" s="49"/>
      <c r="G341" s="49" t="s">
        <v>338</v>
      </c>
      <c r="H341" s="70">
        <v>6830</v>
      </c>
      <c r="I341" s="70">
        <v>0</v>
      </c>
      <c r="J341" s="71">
        <v>0</v>
      </c>
      <c r="K341" s="71">
        <v>26000</v>
      </c>
      <c r="L341" s="72">
        <v>0</v>
      </c>
      <c r="M341" s="72">
        <v>0</v>
      </c>
      <c r="N341" s="73">
        <f t="shared" si="178"/>
        <v>6830</v>
      </c>
      <c r="O341" s="73">
        <f>ROUND(I341+K341+M341,5)</f>
        <v>26000</v>
      </c>
      <c r="P341" s="74">
        <f t="shared" si="168"/>
        <v>2276.6666666666665</v>
      </c>
      <c r="Q341" s="74">
        <f t="shared" si="168"/>
        <v>8666.6666666666661</v>
      </c>
      <c r="R341" s="294"/>
      <c r="S341" s="49"/>
      <c r="T341" s="49"/>
      <c r="U341" s="49"/>
      <c r="V341" s="49"/>
      <c r="W341" s="49"/>
      <c r="X341" s="49"/>
      <c r="Y341" s="49" t="s">
        <v>338</v>
      </c>
      <c r="Z341" s="73">
        <v>0</v>
      </c>
      <c r="AA341" s="280"/>
      <c r="AB341" s="73">
        <v>0</v>
      </c>
      <c r="AC341" s="73">
        <v>0</v>
      </c>
      <c r="AD341" s="73">
        <v>0</v>
      </c>
      <c r="AE341" s="73">
        <v>0</v>
      </c>
      <c r="AF341" s="73">
        <v>0</v>
      </c>
      <c r="AG341" s="66">
        <v>33125</v>
      </c>
      <c r="AH341" s="73">
        <v>33125</v>
      </c>
      <c r="AI341" s="73">
        <v>33125</v>
      </c>
      <c r="AJ341" s="73">
        <v>33125</v>
      </c>
      <c r="AK341" s="73">
        <v>33125</v>
      </c>
      <c r="AM341" s="73">
        <v>0</v>
      </c>
      <c r="AN341" s="221" t="s">
        <v>962</v>
      </c>
    </row>
    <row r="342" spans="1:40" x14ac:dyDescent="0.35">
      <c r="A342" s="66"/>
      <c r="B342" s="66"/>
      <c r="C342" s="49"/>
      <c r="D342" s="49"/>
      <c r="E342" s="49"/>
      <c r="F342" s="49" t="s">
        <v>339</v>
      </c>
      <c r="G342" s="49"/>
      <c r="H342" s="63">
        <f t="shared" ref="H342:M342" si="179">ROUND(SUM(H335:H341),5)</f>
        <v>19670</v>
      </c>
      <c r="I342" s="63">
        <f t="shared" si="179"/>
        <v>0</v>
      </c>
      <c r="J342" s="64">
        <f t="shared" si="179"/>
        <v>94715.56</v>
      </c>
      <c r="K342" s="64">
        <f t="shared" si="179"/>
        <v>26000</v>
      </c>
      <c r="L342" s="65">
        <f t="shared" si="179"/>
        <v>34950</v>
      </c>
      <c r="M342" s="65">
        <f t="shared" si="179"/>
        <v>40000</v>
      </c>
      <c r="N342" s="66">
        <f t="shared" si="178"/>
        <v>149335.56</v>
      </c>
      <c r="O342" s="66">
        <f>ROUND(I342+K342+M342,5)</f>
        <v>66000</v>
      </c>
      <c r="P342" s="69">
        <f t="shared" si="168"/>
        <v>49778.52</v>
      </c>
      <c r="Q342" s="69">
        <f t="shared" si="168"/>
        <v>22000</v>
      </c>
      <c r="R342" s="294"/>
      <c r="S342" s="49"/>
      <c r="T342" s="49"/>
      <c r="U342" s="49"/>
      <c r="V342" s="49"/>
      <c r="W342" s="49"/>
      <c r="X342" s="49" t="s">
        <v>339</v>
      </c>
      <c r="Y342" s="49"/>
      <c r="Z342" s="66">
        <f>ROUND(SUM(Z335:Z341),5)</f>
        <v>22500</v>
      </c>
      <c r="AA342" s="280"/>
      <c r="AB342" s="80">
        <f t="shared" ref="AB342:AK342" si="180">ROUND(SUM(AB335:AB341),5)</f>
        <v>100000</v>
      </c>
      <c r="AC342" s="80">
        <f t="shared" si="180"/>
        <v>100000</v>
      </c>
      <c r="AD342" s="80">
        <f t="shared" si="180"/>
        <v>100000</v>
      </c>
      <c r="AE342" s="80">
        <f t="shared" si="180"/>
        <v>100000</v>
      </c>
      <c r="AF342" s="80">
        <f t="shared" si="180"/>
        <v>100000</v>
      </c>
      <c r="AG342" s="80">
        <f t="shared" si="180"/>
        <v>133125</v>
      </c>
      <c r="AH342" s="80">
        <f t="shared" si="180"/>
        <v>258125</v>
      </c>
      <c r="AI342" s="80">
        <f t="shared" si="180"/>
        <v>258125</v>
      </c>
      <c r="AJ342" s="80">
        <f t="shared" si="180"/>
        <v>195625</v>
      </c>
      <c r="AK342" s="266">
        <f t="shared" si="180"/>
        <v>195625</v>
      </c>
      <c r="AM342" s="270">
        <f t="shared" ref="AM342" si="181">ROUND(SUM(AM335:AM341),5)</f>
        <v>162500</v>
      </c>
    </row>
    <row r="343" spans="1:40" x14ac:dyDescent="0.35">
      <c r="A343" s="66"/>
      <c r="B343" s="66"/>
      <c r="C343" s="49"/>
      <c r="D343" s="49"/>
      <c r="E343" s="49"/>
      <c r="F343" s="49" t="s">
        <v>340</v>
      </c>
      <c r="G343" s="49"/>
      <c r="H343" s="63">
        <v>35000</v>
      </c>
      <c r="I343" s="63">
        <v>60000</v>
      </c>
      <c r="J343" s="64">
        <v>40000</v>
      </c>
      <c r="K343" s="64">
        <v>40000</v>
      </c>
      <c r="L343" s="65">
        <v>35000</v>
      </c>
      <c r="M343" s="65">
        <v>35000</v>
      </c>
      <c r="N343" s="66">
        <f t="shared" si="178"/>
        <v>110000</v>
      </c>
      <c r="O343" s="66">
        <f>ROUND(I343+K343+M343,5)</f>
        <v>135000</v>
      </c>
      <c r="P343" s="69">
        <f t="shared" si="168"/>
        <v>36666.666666666664</v>
      </c>
      <c r="Q343" s="69">
        <f t="shared" si="168"/>
        <v>45000</v>
      </c>
      <c r="R343" s="294"/>
      <c r="S343" s="49"/>
      <c r="T343" s="49"/>
      <c r="U343" s="49"/>
      <c r="V343" s="49"/>
      <c r="W343" s="49"/>
      <c r="X343" s="49" t="s">
        <v>340</v>
      </c>
      <c r="Y343" s="49"/>
      <c r="Z343" s="66">
        <v>35000</v>
      </c>
      <c r="AA343" s="280"/>
      <c r="AB343" s="66">
        <v>35000</v>
      </c>
      <c r="AC343" s="66">
        <v>35000</v>
      </c>
      <c r="AD343" s="66">
        <v>35000</v>
      </c>
      <c r="AE343" s="66">
        <v>35000</v>
      </c>
      <c r="AF343" s="66">
        <v>35000</v>
      </c>
      <c r="AG343" s="66">
        <v>35000</v>
      </c>
      <c r="AH343" s="66">
        <v>35000</v>
      </c>
      <c r="AI343" s="66">
        <v>35000</v>
      </c>
      <c r="AJ343" s="66">
        <v>35000</v>
      </c>
      <c r="AK343" s="66">
        <v>35000</v>
      </c>
      <c r="AM343" s="66">
        <v>35000</v>
      </c>
    </row>
    <row r="344" spans="1:40" x14ac:dyDescent="0.35">
      <c r="A344" s="66"/>
      <c r="B344" s="66"/>
      <c r="C344" s="49"/>
      <c r="D344" s="49"/>
      <c r="E344" s="49"/>
      <c r="F344" s="49" t="s">
        <v>990</v>
      </c>
      <c r="G344" s="49"/>
      <c r="H344" s="63">
        <v>0</v>
      </c>
      <c r="I344" s="63">
        <v>14700</v>
      </c>
      <c r="J344" s="64">
        <v>0</v>
      </c>
      <c r="K344" s="64">
        <v>0</v>
      </c>
      <c r="L344" s="65">
        <v>2807</v>
      </c>
      <c r="M344" s="65">
        <v>57045</v>
      </c>
      <c r="N344" s="66">
        <f t="shared" si="178"/>
        <v>2807</v>
      </c>
      <c r="O344" s="66">
        <f>ROUND(I344+K344+M344,5)</f>
        <v>71745</v>
      </c>
      <c r="P344" s="69">
        <f t="shared" si="168"/>
        <v>935.66666666666663</v>
      </c>
      <c r="Q344" s="69">
        <f t="shared" si="168"/>
        <v>23915</v>
      </c>
      <c r="R344" s="294"/>
      <c r="S344" s="49"/>
      <c r="T344" s="49"/>
      <c r="U344" s="49"/>
      <c r="V344" s="49"/>
      <c r="W344" s="49"/>
      <c r="X344" s="49" t="s">
        <v>990</v>
      </c>
      <c r="Y344" s="49"/>
      <c r="Z344" s="66">
        <v>0</v>
      </c>
      <c r="AA344" s="280"/>
      <c r="AB344" s="168">
        <v>0</v>
      </c>
      <c r="AC344" s="168">
        <v>0</v>
      </c>
      <c r="AD344" s="168">
        <v>0</v>
      </c>
      <c r="AE344" s="168">
        <v>0</v>
      </c>
      <c r="AF344" s="168">
        <v>10000</v>
      </c>
      <c r="AG344" s="66">
        <v>10000</v>
      </c>
      <c r="AH344" s="66">
        <v>10000</v>
      </c>
      <c r="AI344" s="66">
        <v>10000</v>
      </c>
      <c r="AJ344" s="66">
        <v>10000</v>
      </c>
      <c r="AK344" s="66">
        <v>10000</v>
      </c>
      <c r="AM344" s="66">
        <v>10000</v>
      </c>
      <c r="AN344" s="225" t="s">
        <v>955</v>
      </c>
    </row>
    <row r="345" spans="1:40" x14ac:dyDescent="0.35">
      <c r="A345" s="66"/>
      <c r="B345" s="66"/>
      <c r="C345" s="49"/>
      <c r="D345" s="49"/>
      <c r="E345" s="49"/>
      <c r="F345" s="49" t="s">
        <v>342</v>
      </c>
      <c r="G345" s="49"/>
      <c r="H345" s="63">
        <v>600</v>
      </c>
      <c r="I345" s="63"/>
      <c r="J345" s="64">
        <v>0</v>
      </c>
      <c r="K345" s="64"/>
      <c r="L345" s="65">
        <v>0</v>
      </c>
      <c r="M345" s="65"/>
      <c r="N345" s="66">
        <f t="shared" si="178"/>
        <v>600</v>
      </c>
      <c r="O345" s="66">
        <v>0</v>
      </c>
      <c r="P345" s="69">
        <f t="shared" si="168"/>
        <v>200</v>
      </c>
      <c r="Q345" s="69">
        <f t="shared" si="168"/>
        <v>0</v>
      </c>
      <c r="R345" s="294"/>
      <c r="S345" s="49"/>
      <c r="T345" s="49"/>
      <c r="U345" s="49"/>
      <c r="V345" s="49"/>
      <c r="W345" s="49"/>
      <c r="X345" s="49" t="s">
        <v>342</v>
      </c>
      <c r="Y345" s="49"/>
      <c r="Z345" s="66">
        <v>0</v>
      </c>
      <c r="AA345" s="280"/>
      <c r="AB345" s="66">
        <v>0</v>
      </c>
      <c r="AC345" s="66">
        <v>0</v>
      </c>
      <c r="AD345" s="66">
        <v>0</v>
      </c>
      <c r="AE345" s="66">
        <v>0</v>
      </c>
      <c r="AF345" s="66">
        <v>0</v>
      </c>
      <c r="AG345" s="66">
        <v>0</v>
      </c>
      <c r="AH345" s="66">
        <v>0</v>
      </c>
      <c r="AI345" s="66">
        <v>0</v>
      </c>
      <c r="AJ345" s="66">
        <v>0</v>
      </c>
      <c r="AK345" s="66">
        <v>0</v>
      </c>
      <c r="AM345" s="66">
        <v>0</v>
      </c>
    </row>
    <row r="346" spans="1:40" x14ac:dyDescent="0.35">
      <c r="A346" s="66"/>
      <c r="B346" s="66"/>
      <c r="C346" s="49"/>
      <c r="D346" s="49"/>
      <c r="E346" s="49"/>
      <c r="F346" s="49" t="s">
        <v>343</v>
      </c>
      <c r="G346" s="49"/>
      <c r="H346" s="63">
        <v>835</v>
      </c>
      <c r="I346" s="63">
        <v>0</v>
      </c>
      <c r="J346" s="64">
        <v>1200</v>
      </c>
      <c r="K346" s="64">
        <v>4000</v>
      </c>
      <c r="L346" s="65">
        <v>2566.16</v>
      </c>
      <c r="M346" s="65">
        <v>1000</v>
      </c>
      <c r="N346" s="66">
        <f t="shared" si="178"/>
        <v>4601.16</v>
      </c>
      <c r="O346" s="66">
        <f t="shared" si="178"/>
        <v>5000</v>
      </c>
      <c r="P346" s="69">
        <f t="shared" si="168"/>
        <v>1533.72</v>
      </c>
      <c r="Q346" s="69">
        <f t="shared" si="168"/>
        <v>1666.6666666666667</v>
      </c>
      <c r="R346" s="294"/>
      <c r="S346" s="49"/>
      <c r="T346" s="49"/>
      <c r="U346" s="49"/>
      <c r="V346" s="49"/>
      <c r="W346" s="49"/>
      <c r="X346" s="49" t="s">
        <v>343</v>
      </c>
      <c r="Y346" s="49"/>
      <c r="Z346" s="66">
        <v>1000</v>
      </c>
      <c r="AA346" s="280"/>
      <c r="AB346" s="66">
        <v>3000</v>
      </c>
      <c r="AC346" s="66">
        <v>3000</v>
      </c>
      <c r="AD346" s="66">
        <v>3000</v>
      </c>
      <c r="AE346" s="66">
        <v>1500</v>
      </c>
      <c r="AF346" s="66">
        <v>1500</v>
      </c>
      <c r="AG346" s="66">
        <v>1500</v>
      </c>
      <c r="AH346" s="66">
        <v>1500</v>
      </c>
      <c r="AI346" s="66">
        <v>1500</v>
      </c>
      <c r="AJ346" s="66">
        <v>1500</v>
      </c>
      <c r="AK346" s="66">
        <v>1500</v>
      </c>
      <c r="AM346" s="66">
        <v>1500</v>
      </c>
    </row>
    <row r="347" spans="1:40" x14ac:dyDescent="0.35">
      <c r="A347" s="66"/>
      <c r="B347" s="66"/>
      <c r="C347" s="49"/>
      <c r="D347" s="49"/>
      <c r="E347" s="49"/>
      <c r="F347" s="49" t="s">
        <v>344</v>
      </c>
      <c r="G347" s="49"/>
      <c r="H347" s="63">
        <v>0</v>
      </c>
      <c r="I347" s="63">
        <v>0</v>
      </c>
      <c r="J347" s="64">
        <v>0</v>
      </c>
      <c r="K347" s="64"/>
      <c r="L347" s="65">
        <v>0</v>
      </c>
      <c r="M347" s="65"/>
      <c r="N347" s="66">
        <f t="shared" si="178"/>
        <v>0</v>
      </c>
      <c r="O347" s="66">
        <f t="shared" si="178"/>
        <v>0</v>
      </c>
      <c r="P347" s="69">
        <f t="shared" si="168"/>
        <v>0</v>
      </c>
      <c r="Q347" s="69">
        <f t="shared" si="168"/>
        <v>0</v>
      </c>
      <c r="R347" s="294"/>
      <c r="S347" s="49"/>
      <c r="T347" s="49"/>
      <c r="U347" s="49"/>
      <c r="V347" s="49"/>
      <c r="W347" s="49"/>
      <c r="X347" s="49" t="s">
        <v>344</v>
      </c>
      <c r="Y347" s="49"/>
      <c r="Z347" s="66">
        <v>0</v>
      </c>
      <c r="AA347" s="280"/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0</v>
      </c>
      <c r="AH347" s="66">
        <v>0</v>
      </c>
      <c r="AI347" s="66">
        <v>0</v>
      </c>
      <c r="AJ347" s="66">
        <v>0</v>
      </c>
      <c r="AK347" s="66">
        <v>0</v>
      </c>
      <c r="AM347" s="66">
        <v>0</v>
      </c>
    </row>
    <row r="348" spans="1:40" x14ac:dyDescent="0.35">
      <c r="A348" s="66"/>
      <c r="B348" s="66"/>
      <c r="C348" s="49"/>
      <c r="D348" s="49"/>
      <c r="E348" s="49"/>
      <c r="F348" s="49" t="s">
        <v>345</v>
      </c>
      <c r="G348" s="49"/>
      <c r="H348" s="63">
        <v>12145.69</v>
      </c>
      <c r="I348" s="63">
        <v>13800</v>
      </c>
      <c r="J348" s="64">
        <v>19028.84</v>
      </c>
      <c r="K348" s="64">
        <v>13569.23</v>
      </c>
      <c r="L348" s="65">
        <v>24692.12</v>
      </c>
      <c r="M348" s="65">
        <v>12000</v>
      </c>
      <c r="N348" s="66">
        <f t="shared" si="178"/>
        <v>55866.65</v>
      </c>
      <c r="O348" s="66">
        <f t="shared" si="178"/>
        <v>39369.230000000003</v>
      </c>
      <c r="P348" s="69">
        <f t="shared" si="168"/>
        <v>18622.216666666667</v>
      </c>
      <c r="Q348" s="69">
        <f t="shared" si="168"/>
        <v>13123.076666666668</v>
      </c>
      <c r="R348" s="294"/>
      <c r="S348" s="49"/>
      <c r="T348" s="49"/>
      <c r="U348" s="49"/>
      <c r="V348" s="49"/>
      <c r="W348" s="49"/>
      <c r="X348" s="49" t="s">
        <v>345</v>
      </c>
      <c r="Y348" s="49"/>
      <c r="Z348" s="66">
        <v>22000</v>
      </c>
      <c r="AA348" s="280"/>
      <c r="AB348" s="66">
        <v>19164</v>
      </c>
      <c r="AC348" s="66">
        <v>19164</v>
      </c>
      <c r="AD348" s="66">
        <v>19164</v>
      </c>
      <c r="AE348" s="66">
        <v>19164</v>
      </c>
      <c r="AF348" s="66">
        <v>19164</v>
      </c>
      <c r="AG348" s="66">
        <v>19164</v>
      </c>
      <c r="AH348" s="66">
        <v>19164</v>
      </c>
      <c r="AI348" s="66">
        <v>19164</v>
      </c>
      <c r="AJ348" s="66">
        <v>19164</v>
      </c>
      <c r="AK348" s="66">
        <v>19164</v>
      </c>
      <c r="AM348" s="66">
        <v>19164</v>
      </c>
    </row>
    <row r="349" spans="1:40" x14ac:dyDescent="0.35">
      <c r="A349" s="66"/>
      <c r="B349" s="66"/>
      <c r="C349" s="49"/>
      <c r="D349" s="49"/>
      <c r="E349" s="49"/>
      <c r="F349" s="49" t="s">
        <v>346</v>
      </c>
      <c r="G349" s="49"/>
      <c r="H349" s="63">
        <v>4923.7700000000004</v>
      </c>
      <c r="I349" s="63">
        <v>3719.6</v>
      </c>
      <c r="J349" s="64">
        <v>3359.14</v>
      </c>
      <c r="K349" s="64">
        <v>3900</v>
      </c>
      <c r="L349" s="65">
        <v>4295.79</v>
      </c>
      <c r="M349" s="65">
        <v>3734.25</v>
      </c>
      <c r="N349" s="66">
        <f t="shared" si="178"/>
        <v>12578.7</v>
      </c>
      <c r="O349" s="66">
        <f t="shared" si="178"/>
        <v>11353.85</v>
      </c>
      <c r="P349" s="69">
        <f t="shared" si="168"/>
        <v>4192.9000000000005</v>
      </c>
      <c r="Q349" s="69">
        <f t="shared" si="168"/>
        <v>3784.6166666666668</v>
      </c>
      <c r="R349" s="294"/>
      <c r="S349" s="49"/>
      <c r="T349" s="49"/>
      <c r="U349" s="49"/>
      <c r="V349" s="49"/>
      <c r="W349" s="49"/>
      <c r="X349" s="49" t="s">
        <v>346</v>
      </c>
      <c r="Y349" s="49"/>
      <c r="Z349" s="66">
        <v>601</v>
      </c>
      <c r="AA349" s="82"/>
      <c r="AB349" s="66">
        <v>735.7</v>
      </c>
      <c r="AC349" s="66">
        <v>735.7</v>
      </c>
      <c r="AD349" s="66">
        <v>4000</v>
      </c>
      <c r="AE349" s="66">
        <v>4000</v>
      </c>
      <c r="AF349" s="66">
        <v>4000</v>
      </c>
      <c r="AG349" s="66">
        <v>4000</v>
      </c>
      <c r="AH349" s="66">
        <v>4000</v>
      </c>
      <c r="AI349" s="66">
        <v>4000</v>
      </c>
      <c r="AJ349" s="66">
        <v>4000</v>
      </c>
      <c r="AK349" s="66">
        <v>4000</v>
      </c>
      <c r="AM349" s="66">
        <v>4000</v>
      </c>
    </row>
    <row r="350" spans="1:40" x14ac:dyDescent="0.35">
      <c r="A350" s="66"/>
      <c r="B350" s="66"/>
      <c r="C350" s="49"/>
      <c r="D350" s="49"/>
      <c r="E350" s="49"/>
      <c r="F350" s="49" t="s">
        <v>347</v>
      </c>
      <c r="G350" s="49"/>
      <c r="H350" s="63">
        <v>19295.919999999998</v>
      </c>
      <c r="I350" s="63">
        <v>15000</v>
      </c>
      <c r="J350" s="64">
        <v>1111.42</v>
      </c>
      <c r="K350" s="64">
        <v>0</v>
      </c>
      <c r="L350" s="65">
        <v>23141.83</v>
      </c>
      <c r="M350" s="65">
        <v>20000</v>
      </c>
      <c r="N350" s="66">
        <f t="shared" si="178"/>
        <v>43549.17</v>
      </c>
      <c r="O350" s="66">
        <f t="shared" si="178"/>
        <v>35000</v>
      </c>
      <c r="P350" s="69">
        <f t="shared" si="168"/>
        <v>14516.39</v>
      </c>
      <c r="Q350" s="69">
        <f t="shared" si="168"/>
        <v>11666.666666666666</v>
      </c>
      <c r="R350" s="294"/>
      <c r="S350" s="49"/>
      <c r="T350" s="49"/>
      <c r="U350" s="49"/>
      <c r="V350" s="49"/>
      <c r="W350" s="49"/>
      <c r="X350" s="49" t="s">
        <v>347</v>
      </c>
      <c r="Y350" s="49"/>
      <c r="Z350" s="66">
        <v>0</v>
      </c>
      <c r="AA350" s="280"/>
      <c r="AB350" s="66">
        <v>12117.4</v>
      </c>
      <c r="AC350" s="66">
        <v>12117.4</v>
      </c>
      <c r="AD350" s="66">
        <v>12117.4</v>
      </c>
      <c r="AE350" s="66">
        <v>12117.4</v>
      </c>
      <c r="AF350" s="66">
        <v>12117.4</v>
      </c>
      <c r="AG350" s="66">
        <f>ROUND(12117.4*1.5, 0)</f>
        <v>18176</v>
      </c>
      <c r="AH350" s="66">
        <f>ROUND(12117.4*1.5, 0)</f>
        <v>18176</v>
      </c>
      <c r="AI350" s="66">
        <f>ROUND(12117.4*1.5, 0)</f>
        <v>18176</v>
      </c>
      <c r="AJ350" s="66">
        <f>ROUND(12117.4*1.5, 0)</f>
        <v>18176</v>
      </c>
      <c r="AK350" s="66">
        <f>ROUND(12117.4*1.5, 0)</f>
        <v>18176</v>
      </c>
      <c r="AL350" s="300"/>
      <c r="AM350" s="66">
        <f>ROUND(12117.4*1.5, 0)</f>
        <v>18176</v>
      </c>
    </row>
    <row r="351" spans="1:40" x14ac:dyDescent="0.35">
      <c r="A351" s="66"/>
      <c r="B351" s="66"/>
      <c r="C351" s="49"/>
      <c r="D351" s="49"/>
      <c r="E351" s="49"/>
      <c r="F351" s="49" t="s">
        <v>348</v>
      </c>
      <c r="G351" s="49"/>
      <c r="H351" s="63">
        <v>7760.69</v>
      </c>
      <c r="I351" s="63">
        <v>10000</v>
      </c>
      <c r="J351" s="64">
        <v>0</v>
      </c>
      <c r="K351" s="64">
        <v>5000</v>
      </c>
      <c r="L351" s="65">
        <v>0</v>
      </c>
      <c r="M351" s="65">
        <v>5000</v>
      </c>
      <c r="N351" s="66">
        <f t="shared" si="178"/>
        <v>7760.69</v>
      </c>
      <c r="O351" s="66">
        <f t="shared" si="178"/>
        <v>20000</v>
      </c>
      <c r="P351" s="69">
        <f t="shared" si="168"/>
        <v>2586.8966666666665</v>
      </c>
      <c r="Q351" s="69">
        <f t="shared" si="168"/>
        <v>6666.666666666667</v>
      </c>
      <c r="R351" s="294"/>
      <c r="S351" s="49"/>
      <c r="T351" s="49"/>
      <c r="U351" s="49"/>
      <c r="V351" s="49"/>
      <c r="W351" s="49"/>
      <c r="X351" s="49" t="s">
        <v>348</v>
      </c>
      <c r="Y351" s="49"/>
      <c r="Z351" s="66">
        <v>0</v>
      </c>
      <c r="AA351" s="280"/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0</v>
      </c>
      <c r="AH351" s="66">
        <v>0</v>
      </c>
      <c r="AI351" s="66">
        <v>0</v>
      </c>
      <c r="AJ351" s="66">
        <v>0</v>
      </c>
      <c r="AK351" s="66">
        <v>0</v>
      </c>
      <c r="AL351" s="302"/>
      <c r="AM351" s="66">
        <v>0</v>
      </c>
    </row>
    <row r="352" spans="1:40" x14ac:dyDescent="0.35">
      <c r="A352" s="66"/>
      <c r="B352" s="66"/>
      <c r="C352" s="49"/>
      <c r="D352" s="49"/>
      <c r="E352" s="49"/>
      <c r="F352" s="49" t="s">
        <v>349</v>
      </c>
      <c r="G352" s="49"/>
      <c r="H352" s="63">
        <v>15748.62</v>
      </c>
      <c r="I352" s="63">
        <v>9600</v>
      </c>
      <c r="J352" s="64">
        <v>9390.8799999999992</v>
      </c>
      <c r="K352" s="64">
        <v>13650.04</v>
      </c>
      <c r="L352" s="65">
        <v>19009.52</v>
      </c>
      <c r="M352" s="65">
        <v>11000</v>
      </c>
      <c r="N352" s="66">
        <f t="shared" si="178"/>
        <v>44149.02</v>
      </c>
      <c r="O352" s="66">
        <f t="shared" si="178"/>
        <v>34250.04</v>
      </c>
      <c r="P352" s="69">
        <f t="shared" si="168"/>
        <v>14716.339999999998</v>
      </c>
      <c r="Q352" s="69">
        <f t="shared" si="168"/>
        <v>11416.68</v>
      </c>
      <c r="R352" s="294"/>
      <c r="S352" s="49"/>
      <c r="T352" s="49"/>
      <c r="U352" s="49"/>
      <c r="V352" s="49"/>
      <c r="W352" s="49"/>
      <c r="X352" s="49" t="s">
        <v>349</v>
      </c>
      <c r="Y352" s="49"/>
      <c r="Z352" s="66">
        <v>11000</v>
      </c>
      <c r="AA352" s="280"/>
      <c r="AB352" s="66">
        <v>20000</v>
      </c>
      <c r="AC352" s="66">
        <v>20000</v>
      </c>
      <c r="AD352" s="66">
        <v>20000</v>
      </c>
      <c r="AE352" s="66">
        <v>20000</v>
      </c>
      <c r="AF352" s="66">
        <v>20000</v>
      </c>
      <c r="AG352" s="66">
        <v>20000</v>
      </c>
      <c r="AH352" s="66">
        <v>20000</v>
      </c>
      <c r="AI352" s="66">
        <v>20000</v>
      </c>
      <c r="AJ352" s="66">
        <v>20000</v>
      </c>
      <c r="AK352" s="66">
        <v>20000</v>
      </c>
      <c r="AM352" s="66">
        <v>20000</v>
      </c>
    </row>
    <row r="353" spans="1:39" x14ac:dyDescent="0.35">
      <c r="A353" s="66"/>
      <c r="B353" s="66"/>
      <c r="C353" s="49"/>
      <c r="D353" s="49"/>
      <c r="E353" s="49"/>
      <c r="F353" s="49" t="s">
        <v>350</v>
      </c>
      <c r="G353" s="49"/>
      <c r="H353" s="63">
        <v>0</v>
      </c>
      <c r="I353" s="63">
        <v>5000</v>
      </c>
      <c r="J353" s="64">
        <v>0</v>
      </c>
      <c r="K353" s="64">
        <v>5000</v>
      </c>
      <c r="L353" s="65">
        <v>1956.11</v>
      </c>
      <c r="M353" s="65">
        <v>12500</v>
      </c>
      <c r="N353" s="66">
        <f t="shared" si="178"/>
        <v>1956.11</v>
      </c>
      <c r="O353" s="66">
        <f t="shared" si="178"/>
        <v>22500</v>
      </c>
      <c r="P353" s="69">
        <f t="shared" si="168"/>
        <v>652.03666666666663</v>
      </c>
      <c r="Q353" s="69">
        <f t="shared" si="168"/>
        <v>7500</v>
      </c>
      <c r="R353" s="294"/>
      <c r="S353" s="49"/>
      <c r="T353" s="49"/>
      <c r="U353" s="49"/>
      <c r="V353" s="49"/>
      <c r="W353" s="49"/>
      <c r="X353" s="49" t="s">
        <v>350</v>
      </c>
      <c r="Y353" s="49"/>
      <c r="Z353" s="66">
        <v>0</v>
      </c>
      <c r="AA353" s="280"/>
      <c r="AB353" s="66">
        <v>0</v>
      </c>
      <c r="AC353" s="66">
        <v>0</v>
      </c>
      <c r="AD353" s="66">
        <v>0</v>
      </c>
      <c r="AE353" s="66">
        <v>0</v>
      </c>
      <c r="AF353" s="66">
        <v>0</v>
      </c>
      <c r="AG353" s="66">
        <v>0</v>
      </c>
      <c r="AH353" s="66">
        <v>0</v>
      </c>
      <c r="AI353" s="66">
        <v>0</v>
      </c>
      <c r="AJ353" s="66">
        <v>0</v>
      </c>
      <c r="AK353" s="66">
        <v>0</v>
      </c>
      <c r="AM353" s="66">
        <v>0</v>
      </c>
    </row>
    <row r="354" spans="1:39" x14ac:dyDescent="0.35">
      <c r="A354" s="66"/>
      <c r="B354" s="66"/>
      <c r="C354" s="49"/>
      <c r="D354" s="49"/>
      <c r="E354" s="49"/>
      <c r="F354" s="49" t="s">
        <v>351</v>
      </c>
      <c r="G354" s="49"/>
      <c r="H354" s="63">
        <v>10674</v>
      </c>
      <c r="I354" s="63">
        <v>9000</v>
      </c>
      <c r="J354" s="64">
        <v>11748</v>
      </c>
      <c r="K354" s="64">
        <v>11748</v>
      </c>
      <c r="L354" s="65">
        <v>12024</v>
      </c>
      <c r="M354" s="65">
        <v>0</v>
      </c>
      <c r="N354" s="66">
        <f t="shared" si="178"/>
        <v>34446</v>
      </c>
      <c r="O354" s="66">
        <f t="shared" si="178"/>
        <v>20748</v>
      </c>
      <c r="P354" s="69">
        <f t="shared" si="168"/>
        <v>11482</v>
      </c>
      <c r="Q354" s="69">
        <f t="shared" si="168"/>
        <v>6916</v>
      </c>
      <c r="R354" s="294"/>
      <c r="S354" s="49"/>
      <c r="T354" s="49"/>
      <c r="U354" s="49"/>
      <c r="V354" s="49"/>
      <c r="W354" s="49"/>
      <c r="X354" s="49" t="s">
        <v>351</v>
      </c>
      <c r="Y354" s="49"/>
      <c r="Z354" s="66">
        <v>0</v>
      </c>
      <c r="AA354" s="280"/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>
        <v>0</v>
      </c>
      <c r="AI354" s="66">
        <v>0</v>
      </c>
      <c r="AJ354" s="66">
        <v>0</v>
      </c>
      <c r="AK354" s="66">
        <v>0</v>
      </c>
      <c r="AM354" s="66">
        <v>0</v>
      </c>
    </row>
    <row r="355" spans="1:39" x14ac:dyDescent="0.35">
      <c r="A355" s="66"/>
      <c r="B355" s="66"/>
      <c r="C355" s="49"/>
      <c r="D355" s="49"/>
      <c r="E355" s="49"/>
      <c r="F355" s="49" t="s">
        <v>352</v>
      </c>
      <c r="G355" s="49"/>
      <c r="H355" s="63">
        <v>2154.44</v>
      </c>
      <c r="I355" s="63">
        <v>3605</v>
      </c>
      <c r="J355" s="64">
        <v>0</v>
      </c>
      <c r="K355" s="64">
        <v>0</v>
      </c>
      <c r="L355" s="65">
        <v>0</v>
      </c>
      <c r="M355" s="65"/>
      <c r="N355" s="66">
        <f t="shared" si="178"/>
        <v>2154.44</v>
      </c>
      <c r="O355" s="66">
        <f t="shared" si="178"/>
        <v>3605</v>
      </c>
      <c r="P355" s="69">
        <f t="shared" si="168"/>
        <v>718.14666666666665</v>
      </c>
      <c r="Q355" s="69">
        <f t="shared" si="168"/>
        <v>1201.6666666666667</v>
      </c>
      <c r="R355" s="294"/>
      <c r="S355" s="49"/>
      <c r="T355" s="49"/>
      <c r="U355" s="49"/>
      <c r="V355" s="49"/>
      <c r="W355" s="49"/>
      <c r="X355" s="49" t="s">
        <v>352</v>
      </c>
      <c r="Y355" s="49"/>
      <c r="Z355" s="66">
        <v>0</v>
      </c>
      <c r="AA355" s="280"/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>
        <v>0</v>
      </c>
      <c r="AI355" s="66">
        <v>0</v>
      </c>
      <c r="AJ355" s="66">
        <v>0</v>
      </c>
      <c r="AK355" s="66">
        <v>0</v>
      </c>
      <c r="AM355" s="66">
        <v>0</v>
      </c>
    </row>
    <row r="356" spans="1:39" x14ac:dyDescent="0.35">
      <c r="A356" s="66"/>
      <c r="B356" s="66"/>
      <c r="C356" s="49"/>
      <c r="D356" s="49"/>
      <c r="E356" s="49"/>
      <c r="F356" s="49" t="s">
        <v>353</v>
      </c>
      <c r="G356" s="49"/>
      <c r="H356" s="63">
        <v>5916.64</v>
      </c>
      <c r="I356" s="63">
        <v>2500</v>
      </c>
      <c r="J356" s="64">
        <v>5396.72</v>
      </c>
      <c r="K356" s="64">
        <v>4000</v>
      </c>
      <c r="L356" s="65">
        <v>9026.35</v>
      </c>
      <c r="M356" s="65">
        <v>6500</v>
      </c>
      <c r="N356" s="66">
        <f t="shared" si="178"/>
        <v>20339.71</v>
      </c>
      <c r="O356" s="66">
        <f t="shared" si="178"/>
        <v>13000</v>
      </c>
      <c r="P356" s="69">
        <f t="shared" si="168"/>
        <v>6779.9033333333327</v>
      </c>
      <c r="Q356" s="69">
        <f t="shared" si="168"/>
        <v>4333.333333333333</v>
      </c>
      <c r="R356" s="294"/>
      <c r="S356" s="49"/>
      <c r="T356" s="49"/>
      <c r="U356" s="49"/>
      <c r="V356" s="49"/>
      <c r="W356" s="49"/>
      <c r="X356" s="49" t="s">
        <v>353</v>
      </c>
      <c r="Y356" s="49"/>
      <c r="Z356" s="66">
        <v>6500</v>
      </c>
      <c r="AA356" s="280"/>
      <c r="AB356" s="66">
        <v>9000</v>
      </c>
      <c r="AC356" s="66">
        <v>9000</v>
      </c>
      <c r="AD356" s="66">
        <v>9000</v>
      </c>
      <c r="AE356" s="66">
        <v>9000</v>
      </c>
      <c r="AF356" s="66">
        <v>9000</v>
      </c>
      <c r="AG356" s="66">
        <v>9000</v>
      </c>
      <c r="AH356" s="66">
        <v>9000</v>
      </c>
      <c r="AI356" s="66">
        <v>9000</v>
      </c>
      <c r="AJ356" s="66">
        <v>9000</v>
      </c>
      <c r="AK356" s="66">
        <v>9000</v>
      </c>
      <c r="AM356" s="66">
        <v>9000</v>
      </c>
    </row>
    <row r="357" spans="1:39" x14ac:dyDescent="0.35">
      <c r="A357" s="66"/>
      <c r="B357" s="66"/>
      <c r="C357" s="49"/>
      <c r="D357" s="49"/>
      <c r="E357" s="49"/>
      <c r="F357" s="49" t="s">
        <v>354</v>
      </c>
      <c r="G357" s="49"/>
      <c r="H357" s="63">
        <v>0</v>
      </c>
      <c r="I357" s="63">
        <v>0</v>
      </c>
      <c r="J357" s="64">
        <v>0</v>
      </c>
      <c r="K357" s="64">
        <v>0</v>
      </c>
      <c r="L357" s="65">
        <v>500</v>
      </c>
      <c r="M357" s="65">
        <v>0</v>
      </c>
      <c r="N357" s="66">
        <f t="shared" si="178"/>
        <v>500</v>
      </c>
      <c r="O357" s="66">
        <f t="shared" si="178"/>
        <v>0</v>
      </c>
      <c r="P357" s="69">
        <f t="shared" si="168"/>
        <v>166.66666666666666</v>
      </c>
      <c r="Q357" s="69">
        <f t="shared" si="168"/>
        <v>0</v>
      </c>
      <c r="R357" s="294"/>
      <c r="S357" s="49"/>
      <c r="T357" s="49"/>
      <c r="U357" s="49"/>
      <c r="V357" s="49"/>
      <c r="W357" s="49"/>
      <c r="X357" s="49" t="s">
        <v>354</v>
      </c>
      <c r="Y357" s="49"/>
      <c r="Z357" s="66">
        <v>0</v>
      </c>
      <c r="AA357" s="280"/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0</v>
      </c>
      <c r="AH357" s="66">
        <v>0</v>
      </c>
      <c r="AI357" s="66">
        <v>0</v>
      </c>
      <c r="AJ357" s="66">
        <v>0</v>
      </c>
      <c r="AK357" s="66">
        <v>0</v>
      </c>
      <c r="AM357" s="66">
        <v>0</v>
      </c>
    </row>
    <row r="358" spans="1:39" x14ac:dyDescent="0.35">
      <c r="A358" s="66"/>
      <c r="B358" s="66"/>
      <c r="C358" s="49"/>
      <c r="D358" s="49"/>
      <c r="E358" s="49"/>
      <c r="F358" s="49" t="s">
        <v>355</v>
      </c>
      <c r="G358" s="49"/>
      <c r="H358" s="63"/>
      <c r="I358" s="63"/>
      <c r="J358" s="64"/>
      <c r="K358" s="64"/>
      <c r="L358" s="65"/>
      <c r="M358" s="65"/>
      <c r="N358" s="66"/>
      <c r="O358" s="66"/>
      <c r="P358" s="69"/>
      <c r="Q358" s="69"/>
      <c r="R358" s="294"/>
      <c r="S358" s="49"/>
      <c r="T358" s="49"/>
      <c r="U358" s="49"/>
      <c r="V358" s="49"/>
      <c r="W358" s="49"/>
      <c r="X358" s="49" t="s">
        <v>355</v>
      </c>
      <c r="Y358" s="49"/>
      <c r="Z358" s="66"/>
      <c r="AA358" s="280"/>
      <c r="AB358" s="66"/>
      <c r="AC358" s="66"/>
      <c r="AD358" s="66"/>
      <c r="AE358" s="66"/>
      <c r="AF358" s="66"/>
      <c r="AG358" s="66"/>
      <c r="AH358" s="66"/>
      <c r="AI358" s="66"/>
      <c r="AJ358" s="66"/>
      <c r="AK358" s="66"/>
      <c r="AM358" s="66"/>
    </row>
    <row r="359" spans="1:39" x14ac:dyDescent="0.35">
      <c r="A359" s="66"/>
      <c r="B359" s="66"/>
      <c r="C359" s="49"/>
      <c r="D359" s="49"/>
      <c r="E359" s="49"/>
      <c r="F359" s="49"/>
      <c r="G359" s="49" t="s">
        <v>356</v>
      </c>
      <c r="H359" s="63">
        <v>31425</v>
      </c>
      <c r="I359" s="63">
        <v>0</v>
      </c>
      <c r="J359" s="64">
        <v>27367.5</v>
      </c>
      <c r="K359" s="64">
        <v>28917.38</v>
      </c>
      <c r="L359" s="65">
        <v>25397.5</v>
      </c>
      <c r="M359" s="65">
        <v>20867.5</v>
      </c>
      <c r="N359" s="66">
        <f t="shared" ref="N359:O364" si="182">ROUND(H359+J359+L359,5)</f>
        <v>84190</v>
      </c>
      <c r="O359" s="66">
        <f t="shared" si="182"/>
        <v>49784.88</v>
      </c>
      <c r="P359" s="69">
        <f t="shared" si="168"/>
        <v>28063.333333333332</v>
      </c>
      <c r="Q359" s="69">
        <f t="shared" si="168"/>
        <v>16594.96</v>
      </c>
      <c r="R359" s="294"/>
      <c r="S359" s="49"/>
      <c r="T359" s="49"/>
      <c r="U359" s="49"/>
      <c r="V359" s="49"/>
      <c r="W359" s="49"/>
      <c r="X359" s="49"/>
      <c r="Y359" s="49" t="s">
        <v>356</v>
      </c>
      <c r="Z359" s="66">
        <v>12300</v>
      </c>
      <c r="AA359" s="280"/>
      <c r="AB359" s="66">
        <v>0</v>
      </c>
      <c r="AC359" s="66">
        <v>0</v>
      </c>
      <c r="AD359" s="66">
        <v>0</v>
      </c>
      <c r="AE359" s="66">
        <v>0</v>
      </c>
      <c r="AF359" s="66">
        <v>0</v>
      </c>
      <c r="AG359" s="66">
        <v>0</v>
      </c>
      <c r="AH359" s="66">
        <v>0</v>
      </c>
      <c r="AI359" s="66">
        <v>0</v>
      </c>
      <c r="AJ359" s="66">
        <v>0</v>
      </c>
      <c r="AK359" s="66">
        <v>0</v>
      </c>
      <c r="AM359" s="66">
        <v>0</v>
      </c>
    </row>
    <row r="360" spans="1:39" ht="16" thickBot="1" x14ac:dyDescent="0.4">
      <c r="A360" s="66"/>
      <c r="B360" s="66"/>
      <c r="C360" s="49"/>
      <c r="D360" s="49"/>
      <c r="E360" s="49"/>
      <c r="F360" s="49"/>
      <c r="G360" s="49" t="s">
        <v>357</v>
      </c>
      <c r="H360" s="70">
        <v>0</v>
      </c>
      <c r="I360" s="70">
        <v>15000</v>
      </c>
      <c r="J360" s="71">
        <v>0</v>
      </c>
      <c r="K360" s="71">
        <v>0</v>
      </c>
      <c r="L360" s="72">
        <v>0</v>
      </c>
      <c r="M360" s="72">
        <v>0</v>
      </c>
      <c r="N360" s="73">
        <f t="shared" si="182"/>
        <v>0</v>
      </c>
      <c r="O360" s="73">
        <f t="shared" si="182"/>
        <v>15000</v>
      </c>
      <c r="P360" s="74">
        <f t="shared" si="168"/>
        <v>0</v>
      </c>
      <c r="Q360" s="74">
        <f t="shared" si="168"/>
        <v>5000</v>
      </c>
      <c r="R360" s="294"/>
      <c r="S360" s="49"/>
      <c r="T360" s="49"/>
      <c r="U360" s="49"/>
      <c r="V360" s="49"/>
      <c r="W360" s="49"/>
      <c r="X360" s="49"/>
      <c r="Y360" s="49" t="s">
        <v>357</v>
      </c>
      <c r="Z360" s="73">
        <v>0</v>
      </c>
      <c r="AA360" s="280"/>
      <c r="AB360" s="73">
        <v>0</v>
      </c>
      <c r="AC360" s="73">
        <v>0</v>
      </c>
      <c r="AD360" s="73">
        <v>0</v>
      </c>
      <c r="AE360" s="73">
        <v>0</v>
      </c>
      <c r="AF360" s="73">
        <v>0</v>
      </c>
      <c r="AG360" s="73">
        <v>0</v>
      </c>
      <c r="AH360" s="73">
        <v>0</v>
      </c>
      <c r="AI360" s="73">
        <v>0</v>
      </c>
      <c r="AJ360" s="73">
        <v>0</v>
      </c>
      <c r="AK360" s="73">
        <v>0</v>
      </c>
      <c r="AM360" s="73">
        <v>0</v>
      </c>
    </row>
    <row r="361" spans="1:39" x14ac:dyDescent="0.35">
      <c r="A361" s="66"/>
      <c r="B361" s="66"/>
      <c r="C361" s="49"/>
      <c r="D361" s="49"/>
      <c r="E361" s="49"/>
      <c r="F361" s="49" t="s">
        <v>358</v>
      </c>
      <c r="G361" s="49"/>
      <c r="H361" s="63">
        <f t="shared" ref="H361:M361" si="183">ROUND(SUM(H358:H360),5)</f>
        <v>31425</v>
      </c>
      <c r="I361" s="63">
        <f t="shared" si="183"/>
        <v>15000</v>
      </c>
      <c r="J361" s="64">
        <f t="shared" si="183"/>
        <v>27367.5</v>
      </c>
      <c r="K361" s="64">
        <f t="shared" si="183"/>
        <v>28917.38</v>
      </c>
      <c r="L361" s="65">
        <f t="shared" si="183"/>
        <v>25397.5</v>
      </c>
      <c r="M361" s="65">
        <f t="shared" si="183"/>
        <v>20867.5</v>
      </c>
      <c r="N361" s="66">
        <f t="shared" si="182"/>
        <v>84190</v>
      </c>
      <c r="O361" s="66">
        <f t="shared" si="182"/>
        <v>64784.88</v>
      </c>
      <c r="P361" s="69">
        <f t="shared" si="168"/>
        <v>28063.333333333332</v>
      </c>
      <c r="Q361" s="69">
        <f t="shared" si="168"/>
        <v>21594.959999999999</v>
      </c>
      <c r="R361" s="294"/>
      <c r="S361" s="49"/>
      <c r="T361" s="49"/>
      <c r="U361" s="49"/>
      <c r="V361" s="49"/>
      <c r="W361" s="49"/>
      <c r="X361" s="49" t="s">
        <v>358</v>
      </c>
      <c r="Y361" s="49"/>
      <c r="Z361" s="66">
        <f>ROUND(SUM(Z358:Z360),5)</f>
        <v>12300</v>
      </c>
      <c r="AA361" s="280"/>
      <c r="AB361" s="80">
        <f t="shared" ref="AB361:AK361" si="184">ROUND(SUM(AB358:AB360),5)</f>
        <v>0</v>
      </c>
      <c r="AC361" s="80">
        <f t="shared" si="184"/>
        <v>0</v>
      </c>
      <c r="AD361" s="80">
        <f t="shared" si="184"/>
        <v>0</v>
      </c>
      <c r="AE361" s="80">
        <f t="shared" si="184"/>
        <v>0</v>
      </c>
      <c r="AF361" s="80">
        <f t="shared" si="184"/>
        <v>0</v>
      </c>
      <c r="AG361" s="80">
        <f t="shared" si="184"/>
        <v>0</v>
      </c>
      <c r="AH361" s="80">
        <f t="shared" si="184"/>
        <v>0</v>
      </c>
      <c r="AI361" s="80">
        <f t="shared" si="184"/>
        <v>0</v>
      </c>
      <c r="AJ361" s="80">
        <f t="shared" si="184"/>
        <v>0</v>
      </c>
      <c r="AK361" s="266">
        <f t="shared" si="184"/>
        <v>0</v>
      </c>
      <c r="AM361" s="270">
        <f t="shared" ref="AM361" si="185">ROUND(SUM(AM358:AM360),5)</f>
        <v>0</v>
      </c>
    </row>
    <row r="362" spans="1:39" ht="16" thickBot="1" x14ac:dyDescent="0.4">
      <c r="A362" s="66"/>
      <c r="B362" s="66"/>
      <c r="C362" s="49"/>
      <c r="D362" s="49"/>
      <c r="E362" s="49"/>
      <c r="F362" s="49" t="s">
        <v>359</v>
      </c>
      <c r="G362" s="49"/>
      <c r="H362" s="63">
        <v>0</v>
      </c>
      <c r="I362" s="63">
        <v>0</v>
      </c>
      <c r="J362" s="64">
        <v>0</v>
      </c>
      <c r="K362" s="64">
        <v>0</v>
      </c>
      <c r="L362" s="65">
        <v>0</v>
      </c>
      <c r="M362" s="65">
        <v>0</v>
      </c>
      <c r="N362" s="66">
        <f t="shared" si="182"/>
        <v>0</v>
      </c>
      <c r="O362" s="66">
        <f t="shared" si="182"/>
        <v>0</v>
      </c>
      <c r="P362" s="69">
        <f t="shared" si="168"/>
        <v>0</v>
      </c>
      <c r="Q362" s="69">
        <f t="shared" si="168"/>
        <v>0</v>
      </c>
      <c r="R362" s="294"/>
      <c r="S362" s="49"/>
      <c r="T362" s="49"/>
      <c r="U362" s="49"/>
      <c r="V362" s="49"/>
      <c r="W362" s="49"/>
      <c r="X362" s="49" t="s">
        <v>359</v>
      </c>
      <c r="Y362" s="49"/>
      <c r="Z362" s="66"/>
      <c r="AA362" s="280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M362" s="66"/>
    </row>
    <row r="363" spans="1:39" ht="16" thickBot="1" x14ac:dyDescent="0.4">
      <c r="A363" s="66"/>
      <c r="B363" s="66"/>
      <c r="C363" s="49"/>
      <c r="D363" s="49"/>
      <c r="E363" s="49" t="s">
        <v>360</v>
      </c>
      <c r="F363" s="49"/>
      <c r="G363" s="49"/>
      <c r="H363" s="83">
        <f t="shared" ref="H363:M363" si="186">ROUND(H334+SUM(H342:H357)+SUM(H361:H362),5)</f>
        <v>166149.76999999999</v>
      </c>
      <c r="I363" s="83">
        <f t="shared" si="186"/>
        <v>161924.6</v>
      </c>
      <c r="J363" s="84">
        <f t="shared" si="186"/>
        <v>213318.06</v>
      </c>
      <c r="K363" s="84">
        <f t="shared" si="186"/>
        <v>155784.65</v>
      </c>
      <c r="L363" s="85">
        <f t="shared" si="186"/>
        <v>195366.38</v>
      </c>
      <c r="M363" s="85">
        <f t="shared" si="186"/>
        <v>224646.75</v>
      </c>
      <c r="N363" s="86">
        <f t="shared" si="182"/>
        <v>574834.21</v>
      </c>
      <c r="O363" s="86">
        <f t="shared" si="182"/>
        <v>542356</v>
      </c>
      <c r="P363" s="87">
        <f t="shared" si="168"/>
        <v>191611.40333333332</v>
      </c>
      <c r="Q363" s="87">
        <f t="shared" si="168"/>
        <v>180785.33333333334</v>
      </c>
      <c r="R363" s="294"/>
      <c r="S363" s="49"/>
      <c r="T363" s="49"/>
      <c r="U363" s="49"/>
      <c r="V363" s="49"/>
      <c r="W363" s="49" t="s">
        <v>360</v>
      </c>
      <c r="X363" s="49"/>
      <c r="Y363" s="49"/>
      <c r="Z363" s="86">
        <f>ROUND(Z334+SUM(Z342:Z357)+SUM(Z361:Z362),5)</f>
        <v>110901</v>
      </c>
      <c r="AA363" s="280"/>
      <c r="AB363" s="88">
        <f t="shared" ref="AB363:AG363" si="187">ROUND(AB334+SUM(AB342:AB357)+SUM(AB361:AB362),5)</f>
        <v>199017.1</v>
      </c>
      <c r="AC363" s="88">
        <f t="shared" si="187"/>
        <v>199017.1</v>
      </c>
      <c r="AD363" s="88">
        <f t="shared" si="187"/>
        <v>202281.4</v>
      </c>
      <c r="AE363" s="88">
        <f t="shared" si="187"/>
        <v>200781.4</v>
      </c>
      <c r="AF363" s="88">
        <f t="shared" si="187"/>
        <v>210781.4</v>
      </c>
      <c r="AG363" s="88">
        <f t="shared" si="187"/>
        <v>249965</v>
      </c>
      <c r="AH363" s="88">
        <f t="shared" ref="AH363:AK363" si="188">ROUND(AH334+SUM(AH342:AH357)+SUM(AH361:AH362),5)</f>
        <v>374965</v>
      </c>
      <c r="AI363" s="88">
        <f t="shared" si="188"/>
        <v>374965</v>
      </c>
      <c r="AJ363" s="88">
        <f t="shared" si="188"/>
        <v>312465</v>
      </c>
      <c r="AK363" s="266">
        <f t="shared" si="188"/>
        <v>312465</v>
      </c>
      <c r="AM363" s="270">
        <f t="shared" ref="AM363" si="189">ROUND(AM334+SUM(AM342:AM357)+SUM(AM361:AM362),5)</f>
        <v>279340</v>
      </c>
    </row>
    <row r="364" spans="1:39" ht="16" thickBot="1" x14ac:dyDescent="0.4">
      <c r="A364" s="66"/>
      <c r="B364" s="66"/>
      <c r="C364" s="49"/>
      <c r="D364" s="49" t="s">
        <v>361</v>
      </c>
      <c r="E364" s="49"/>
      <c r="F364" s="49"/>
      <c r="G364" s="49"/>
      <c r="H364" s="63">
        <f t="shared" ref="H364:M364" si="190">ROUND(H226+H333+H363,5)</f>
        <v>354735.38</v>
      </c>
      <c r="I364" s="63">
        <f t="shared" si="190"/>
        <v>299933.59999999998</v>
      </c>
      <c r="J364" s="64">
        <f t="shared" si="190"/>
        <v>417242.8</v>
      </c>
      <c r="K364" s="64">
        <f t="shared" si="190"/>
        <v>350707.69</v>
      </c>
      <c r="L364" s="65">
        <f t="shared" si="190"/>
        <v>444962.48</v>
      </c>
      <c r="M364" s="65">
        <f t="shared" si="190"/>
        <v>372939.89</v>
      </c>
      <c r="N364" s="66">
        <f t="shared" si="182"/>
        <v>1216940.6599999999</v>
      </c>
      <c r="O364" s="66">
        <f t="shared" si="182"/>
        <v>1023581.18</v>
      </c>
      <c r="P364" s="69">
        <f t="shared" si="168"/>
        <v>405646.88666666666</v>
      </c>
      <c r="Q364" s="69">
        <f t="shared" si="168"/>
        <v>341193.72666666668</v>
      </c>
      <c r="R364" s="294"/>
      <c r="S364" s="49"/>
      <c r="T364" s="49"/>
      <c r="U364" s="49"/>
      <c r="V364" s="49" t="s">
        <v>361</v>
      </c>
      <c r="W364" s="49"/>
      <c r="X364" s="49"/>
      <c r="Y364" s="49"/>
      <c r="Z364" s="66">
        <f>ROUND(Z226+Z333+Z363,5)</f>
        <v>343069</v>
      </c>
      <c r="AA364" s="280"/>
      <c r="AB364" s="66">
        <f t="shared" ref="AB364:AK364" si="191">ROUND(AB226+AB333+AB363,5)</f>
        <v>426911.41142000002</v>
      </c>
      <c r="AC364" s="66">
        <f t="shared" si="191"/>
        <v>426911.41142000002</v>
      </c>
      <c r="AD364" s="66">
        <f t="shared" si="191"/>
        <v>445657.35201999999</v>
      </c>
      <c r="AE364" s="66">
        <f t="shared" si="191"/>
        <v>405992.24</v>
      </c>
      <c r="AF364" s="66">
        <f t="shared" si="191"/>
        <v>415992.24</v>
      </c>
      <c r="AG364" s="66">
        <f t="shared" si="191"/>
        <v>455176</v>
      </c>
      <c r="AH364" s="88">
        <f t="shared" si="191"/>
        <v>580176</v>
      </c>
      <c r="AI364" s="88">
        <f t="shared" si="191"/>
        <v>580176</v>
      </c>
      <c r="AJ364" s="88">
        <f t="shared" si="191"/>
        <v>517676</v>
      </c>
      <c r="AK364" s="266">
        <f t="shared" si="191"/>
        <v>517676</v>
      </c>
      <c r="AM364" s="270">
        <f t="shared" ref="AM364" si="192">ROUND(AM226+AM333+AM363,5)</f>
        <v>484551</v>
      </c>
    </row>
    <row r="365" spans="1:39" x14ac:dyDescent="0.35">
      <c r="A365" s="66"/>
      <c r="B365" s="66"/>
      <c r="C365" s="49"/>
      <c r="D365" s="49" t="s">
        <v>362</v>
      </c>
      <c r="E365" s="49"/>
      <c r="F365" s="49"/>
      <c r="G365" s="49"/>
      <c r="H365" s="63"/>
      <c r="I365" s="63"/>
      <c r="J365" s="64"/>
      <c r="K365" s="64"/>
      <c r="L365" s="65"/>
      <c r="M365" s="65"/>
      <c r="N365" s="66"/>
      <c r="O365" s="66"/>
      <c r="P365" s="69"/>
      <c r="Q365" s="69"/>
      <c r="R365" s="294"/>
      <c r="S365" s="49"/>
      <c r="T365" s="49"/>
      <c r="U365" s="49"/>
      <c r="V365" s="49" t="s">
        <v>362</v>
      </c>
      <c r="W365" s="49"/>
      <c r="X365" s="49"/>
      <c r="Y365" s="49"/>
      <c r="Z365" s="66"/>
      <c r="AA365" s="280"/>
      <c r="AB365" s="66"/>
      <c r="AC365" s="66"/>
      <c r="AD365" s="66"/>
      <c r="AE365" s="66"/>
      <c r="AF365" s="66"/>
      <c r="AG365" s="66"/>
      <c r="AH365" s="66"/>
      <c r="AI365" s="66"/>
      <c r="AJ365" s="66"/>
      <c r="AK365" s="66"/>
      <c r="AM365" s="66"/>
    </row>
    <row r="366" spans="1:39" x14ac:dyDescent="0.35">
      <c r="A366" s="66"/>
      <c r="B366" s="66"/>
      <c r="C366" s="49"/>
      <c r="D366" s="49"/>
      <c r="E366" s="49" t="s">
        <v>363</v>
      </c>
      <c r="F366" s="49"/>
      <c r="G366" s="49"/>
      <c r="H366" s="63">
        <v>18588</v>
      </c>
      <c r="I366" s="63">
        <v>15296.4</v>
      </c>
      <c r="J366" s="64">
        <v>21912</v>
      </c>
      <c r="K366" s="64">
        <v>15586.2</v>
      </c>
      <c r="L366" s="65">
        <v>24572</v>
      </c>
      <c r="M366" s="65">
        <v>20493</v>
      </c>
      <c r="N366" s="66">
        <f t="shared" ref="N366:O371" si="193">ROUND(H366+J366+L366,5)</f>
        <v>65072</v>
      </c>
      <c r="O366" s="66">
        <f t="shared" si="193"/>
        <v>51375.6</v>
      </c>
      <c r="P366" s="69">
        <f t="shared" si="168"/>
        <v>21690.666666666668</v>
      </c>
      <c r="Q366" s="69">
        <f>O366/3</f>
        <v>17125.2</v>
      </c>
      <c r="R366" s="294"/>
      <c r="S366" s="49"/>
      <c r="T366" s="49"/>
      <c r="U366" s="49"/>
      <c r="V366" s="49"/>
      <c r="W366" s="49" t="s">
        <v>363</v>
      </c>
      <c r="X366" s="49"/>
      <c r="Y366" s="49"/>
      <c r="Z366" s="66">
        <v>24217</v>
      </c>
      <c r="AA366" s="280"/>
      <c r="AB366" s="66">
        <v>25200</v>
      </c>
      <c r="AC366" s="66">
        <v>25200</v>
      </c>
      <c r="AD366" s="66">
        <v>25200</v>
      </c>
      <c r="AE366" s="66">
        <v>33936</v>
      </c>
      <c r="AF366" s="66">
        <v>33936</v>
      </c>
      <c r="AG366" s="66">
        <v>33936</v>
      </c>
      <c r="AH366" s="66">
        <v>33936</v>
      </c>
      <c r="AI366" s="66">
        <v>33936</v>
      </c>
      <c r="AJ366" s="66">
        <v>33936</v>
      </c>
      <c r="AK366" s="66">
        <v>33936</v>
      </c>
      <c r="AL366" s="300"/>
      <c r="AM366" s="66">
        <v>33936</v>
      </c>
    </row>
    <row r="367" spans="1:39" x14ac:dyDescent="0.35">
      <c r="A367" s="66"/>
      <c r="B367" s="66"/>
      <c r="C367" s="49"/>
      <c r="D367" s="49"/>
      <c r="E367" s="49" t="s">
        <v>364</v>
      </c>
      <c r="F367" s="49"/>
      <c r="G367" s="49"/>
      <c r="H367" s="63">
        <v>37022.400000000001</v>
      </c>
      <c r="I367" s="63">
        <v>37022.400000000001</v>
      </c>
      <c r="J367" s="64">
        <v>37022.400000000001</v>
      </c>
      <c r="K367" s="64">
        <v>37022.400000000001</v>
      </c>
      <c r="L367" s="65">
        <v>37095.22</v>
      </c>
      <c r="M367" s="65">
        <v>38500</v>
      </c>
      <c r="N367" s="66">
        <f t="shared" si="193"/>
        <v>111140.02</v>
      </c>
      <c r="O367" s="66">
        <f t="shared" si="193"/>
        <v>112544.8</v>
      </c>
      <c r="P367" s="69">
        <f t="shared" si="168"/>
        <v>37046.673333333332</v>
      </c>
      <c r="Q367" s="69">
        <f t="shared" si="168"/>
        <v>37514.933333333334</v>
      </c>
      <c r="R367" s="294"/>
      <c r="S367" s="49"/>
      <c r="T367" s="49"/>
      <c r="U367" s="49"/>
      <c r="V367" s="49"/>
      <c r="W367" s="49" t="s">
        <v>364</v>
      </c>
      <c r="X367" s="49"/>
      <c r="Y367" s="49"/>
      <c r="Z367" s="66">
        <v>37022</v>
      </c>
      <c r="AA367" s="280"/>
      <c r="AB367" s="66">
        <f t="shared" ref="AB367:AM367" si="194">ROUND(37896.24, 0)</f>
        <v>37896</v>
      </c>
      <c r="AC367" s="66">
        <f t="shared" si="194"/>
        <v>37896</v>
      </c>
      <c r="AD367" s="66">
        <f t="shared" si="194"/>
        <v>37896</v>
      </c>
      <c r="AE367" s="66">
        <f t="shared" si="194"/>
        <v>37896</v>
      </c>
      <c r="AF367" s="66">
        <f t="shared" si="194"/>
        <v>37896</v>
      </c>
      <c r="AG367" s="66">
        <f t="shared" si="194"/>
        <v>37896</v>
      </c>
      <c r="AH367" s="66">
        <f t="shared" si="194"/>
        <v>37896</v>
      </c>
      <c r="AI367" s="66">
        <f t="shared" si="194"/>
        <v>37896</v>
      </c>
      <c r="AJ367" s="66">
        <f t="shared" si="194"/>
        <v>37896</v>
      </c>
      <c r="AK367" s="66">
        <f t="shared" si="194"/>
        <v>37896</v>
      </c>
      <c r="AL367" s="300"/>
      <c r="AM367" s="66">
        <f t="shared" si="194"/>
        <v>37896</v>
      </c>
    </row>
    <row r="368" spans="1:39" x14ac:dyDescent="0.35">
      <c r="A368" s="66"/>
      <c r="B368" s="66"/>
      <c r="C368" s="49"/>
      <c r="D368" s="49"/>
      <c r="E368" s="49" t="s">
        <v>365</v>
      </c>
      <c r="F368" s="49"/>
      <c r="G368" s="49"/>
      <c r="H368" s="63">
        <v>22622.92</v>
      </c>
      <c r="I368" s="63">
        <v>18644.400000000001</v>
      </c>
      <c r="J368" s="64">
        <v>26661.47</v>
      </c>
      <c r="K368" s="64">
        <v>22420.53</v>
      </c>
      <c r="L368" s="65">
        <v>23779.73</v>
      </c>
      <c r="M368" s="65">
        <v>28000</v>
      </c>
      <c r="N368" s="66">
        <f t="shared" si="193"/>
        <v>73064.12</v>
      </c>
      <c r="O368" s="66">
        <f t="shared" si="193"/>
        <v>69064.929999999993</v>
      </c>
      <c r="P368" s="69">
        <f t="shared" si="168"/>
        <v>24354.706666666665</v>
      </c>
      <c r="Q368" s="69">
        <f t="shared" si="168"/>
        <v>23021.64333333333</v>
      </c>
      <c r="R368" s="294"/>
      <c r="S368" s="49"/>
      <c r="T368" s="49"/>
      <c r="U368" s="49"/>
      <c r="V368" s="49"/>
      <c r="W368" s="49" t="s">
        <v>365</v>
      </c>
      <c r="X368" s="49"/>
      <c r="Y368" s="49"/>
      <c r="Z368" s="66">
        <v>22500</v>
      </c>
      <c r="AA368" s="280"/>
      <c r="AB368" s="66">
        <v>26587</v>
      </c>
      <c r="AC368" s="66">
        <v>26587</v>
      </c>
      <c r="AD368" s="66">
        <v>26587</v>
      </c>
      <c r="AE368" s="66">
        <v>27067</v>
      </c>
      <c r="AF368" s="66">
        <v>27067</v>
      </c>
      <c r="AG368" s="66">
        <v>27067</v>
      </c>
      <c r="AH368" s="66">
        <v>27067</v>
      </c>
      <c r="AI368" s="66">
        <v>27067</v>
      </c>
      <c r="AJ368" s="66">
        <v>27067</v>
      </c>
      <c r="AK368" s="66">
        <v>27067</v>
      </c>
      <c r="AL368" s="300"/>
      <c r="AM368" s="66">
        <v>27067</v>
      </c>
    </row>
    <row r="369" spans="1:40" x14ac:dyDescent="0.35">
      <c r="A369" s="66"/>
      <c r="B369" s="66"/>
      <c r="C369" s="49"/>
      <c r="D369" s="49"/>
      <c r="E369" s="49" t="s">
        <v>366</v>
      </c>
      <c r="F369" s="49"/>
      <c r="G369" s="49"/>
      <c r="H369" s="63">
        <v>26860.04</v>
      </c>
      <c r="I369" s="63">
        <v>26997.7</v>
      </c>
      <c r="J369" s="64">
        <v>28195.14</v>
      </c>
      <c r="K369" s="64">
        <v>27245.26</v>
      </c>
      <c r="L369" s="65">
        <v>28696.19</v>
      </c>
      <c r="M369" s="65">
        <v>29046</v>
      </c>
      <c r="N369" s="66">
        <f t="shared" si="193"/>
        <v>83751.37</v>
      </c>
      <c r="O369" s="66">
        <f t="shared" si="193"/>
        <v>83288.960000000006</v>
      </c>
      <c r="P369" s="69">
        <f t="shared" si="168"/>
        <v>27917.123333333333</v>
      </c>
      <c r="Q369" s="69">
        <f t="shared" si="168"/>
        <v>27762.986666666668</v>
      </c>
      <c r="R369" s="294"/>
      <c r="S369" s="49"/>
      <c r="T369" s="49"/>
      <c r="U369" s="49"/>
      <c r="V369" s="49"/>
      <c r="W369" s="49" t="s">
        <v>366</v>
      </c>
      <c r="X369" s="49"/>
      <c r="Y369" s="49"/>
      <c r="Z369" s="66">
        <v>29557</v>
      </c>
      <c r="AA369" s="280"/>
      <c r="AB369" s="66">
        <v>29904</v>
      </c>
      <c r="AC369" s="66">
        <v>29904</v>
      </c>
      <c r="AD369" s="66">
        <v>29904</v>
      </c>
      <c r="AE369" s="66">
        <v>29904</v>
      </c>
      <c r="AF369" s="66">
        <v>29904</v>
      </c>
      <c r="AG369" s="66">
        <v>29904</v>
      </c>
      <c r="AH369" s="66">
        <v>29904</v>
      </c>
      <c r="AI369" s="66">
        <v>29904</v>
      </c>
      <c r="AJ369" s="66">
        <v>29904</v>
      </c>
      <c r="AK369" s="66">
        <v>29904</v>
      </c>
      <c r="AL369" s="300"/>
      <c r="AM369" s="66">
        <v>29904</v>
      </c>
    </row>
    <row r="370" spans="1:40" ht="16" thickBot="1" x14ac:dyDescent="0.4">
      <c r="A370" s="66"/>
      <c r="B370" s="66"/>
      <c r="C370" s="49"/>
      <c r="D370" s="49"/>
      <c r="E370" s="49" t="s">
        <v>367</v>
      </c>
      <c r="F370" s="49"/>
      <c r="G370" s="49"/>
      <c r="H370" s="63">
        <v>9539.48</v>
      </c>
      <c r="I370" s="63">
        <v>10000</v>
      </c>
      <c r="J370" s="64">
        <v>9368</v>
      </c>
      <c r="K370" s="64">
        <v>10200</v>
      </c>
      <c r="L370" s="65">
        <v>9227.7099999999991</v>
      </c>
      <c r="M370" s="65">
        <v>14400</v>
      </c>
      <c r="N370" s="66">
        <f t="shared" si="193"/>
        <v>28135.19</v>
      </c>
      <c r="O370" s="66">
        <f t="shared" si="193"/>
        <v>34600</v>
      </c>
      <c r="P370" s="69">
        <f t="shared" si="168"/>
        <v>9378.3966666666656</v>
      </c>
      <c r="Q370" s="69">
        <f t="shared" si="168"/>
        <v>11533.333333333334</v>
      </c>
      <c r="R370" s="294"/>
      <c r="S370" s="49"/>
      <c r="T370" s="49"/>
      <c r="U370" s="49"/>
      <c r="V370" s="49"/>
      <c r="W370" s="49" t="s">
        <v>367</v>
      </c>
      <c r="X370" s="49"/>
      <c r="Y370" s="49"/>
      <c r="Z370" s="66">
        <v>13000</v>
      </c>
      <c r="AA370" s="280"/>
      <c r="AB370" s="66">
        <v>9500</v>
      </c>
      <c r="AC370" s="66">
        <v>9500</v>
      </c>
      <c r="AD370" s="66">
        <v>9500</v>
      </c>
      <c r="AE370" s="66">
        <v>10000</v>
      </c>
      <c r="AF370" s="66">
        <v>10000</v>
      </c>
      <c r="AG370" s="66">
        <v>10000</v>
      </c>
      <c r="AH370" s="66">
        <v>10000</v>
      </c>
      <c r="AI370" s="66">
        <v>10000</v>
      </c>
      <c r="AJ370" s="66">
        <v>10000</v>
      </c>
      <c r="AK370" s="66">
        <v>10000</v>
      </c>
      <c r="AL370" s="300"/>
      <c r="AM370" s="66">
        <v>10000</v>
      </c>
    </row>
    <row r="371" spans="1:40" x14ac:dyDescent="0.35">
      <c r="A371" s="66"/>
      <c r="B371" s="66"/>
      <c r="C371" s="49"/>
      <c r="D371" s="49" t="s">
        <v>368</v>
      </c>
      <c r="E371" s="49"/>
      <c r="F371" s="49"/>
      <c r="G371" s="49"/>
      <c r="H371" s="75">
        <f t="shared" ref="H371:M371" si="195">ROUND(SUM(H365:H370),5)</f>
        <v>114632.84</v>
      </c>
      <c r="I371" s="75">
        <f t="shared" si="195"/>
        <v>107960.9</v>
      </c>
      <c r="J371" s="76">
        <f t="shared" si="195"/>
        <v>123159.01</v>
      </c>
      <c r="K371" s="76">
        <f t="shared" si="195"/>
        <v>112474.39</v>
      </c>
      <c r="L371" s="77">
        <f t="shared" si="195"/>
        <v>123370.85</v>
      </c>
      <c r="M371" s="77">
        <f t="shared" si="195"/>
        <v>130439</v>
      </c>
      <c r="N371" s="78">
        <f t="shared" si="193"/>
        <v>361162.7</v>
      </c>
      <c r="O371" s="78">
        <f t="shared" si="193"/>
        <v>350874.29</v>
      </c>
      <c r="P371" s="79">
        <f t="shared" si="168"/>
        <v>120387.56666666667</v>
      </c>
      <c r="Q371" s="79">
        <f t="shared" si="168"/>
        <v>116958.09666666666</v>
      </c>
      <c r="R371" s="294"/>
      <c r="S371" s="49"/>
      <c r="T371" s="49"/>
      <c r="U371" s="49"/>
      <c r="V371" s="49" t="s">
        <v>368</v>
      </c>
      <c r="W371" s="49"/>
      <c r="X371" s="49"/>
      <c r="Y371" s="49"/>
      <c r="Z371" s="78">
        <f>ROUND(SUM(Z365:Z370),5)</f>
        <v>126296</v>
      </c>
      <c r="AA371" s="280"/>
      <c r="AB371" s="80">
        <f t="shared" ref="AB371:AK371" si="196">ROUND(SUM(AB365:AB370),5)</f>
        <v>129087</v>
      </c>
      <c r="AC371" s="80">
        <f t="shared" si="196"/>
        <v>129087</v>
      </c>
      <c r="AD371" s="80">
        <f t="shared" si="196"/>
        <v>129087</v>
      </c>
      <c r="AE371" s="80">
        <f t="shared" si="196"/>
        <v>138803</v>
      </c>
      <c r="AF371" s="80">
        <f t="shared" si="196"/>
        <v>138803</v>
      </c>
      <c r="AG371" s="80">
        <f t="shared" si="196"/>
        <v>138803</v>
      </c>
      <c r="AH371" s="80">
        <f t="shared" si="196"/>
        <v>138803</v>
      </c>
      <c r="AI371" s="80">
        <f t="shared" si="196"/>
        <v>138803</v>
      </c>
      <c r="AJ371" s="80">
        <f t="shared" si="196"/>
        <v>138803</v>
      </c>
      <c r="AK371" s="266">
        <f t="shared" si="196"/>
        <v>138803</v>
      </c>
      <c r="AM371" s="270">
        <f t="shared" ref="AM371" si="197">ROUND(SUM(AM365:AM370),5)</f>
        <v>138803</v>
      </c>
    </row>
    <row r="372" spans="1:40" x14ac:dyDescent="0.35">
      <c r="A372" s="66"/>
      <c r="B372" s="66"/>
      <c r="C372" s="49"/>
      <c r="D372" s="49" t="s">
        <v>369</v>
      </c>
      <c r="E372" s="49"/>
      <c r="F372" s="49"/>
      <c r="G372" s="49"/>
      <c r="H372" s="63"/>
      <c r="I372" s="63"/>
      <c r="J372" s="64"/>
      <c r="K372" s="64"/>
      <c r="L372" s="65"/>
      <c r="M372" s="65"/>
      <c r="N372" s="66"/>
      <c r="O372" s="66"/>
      <c r="P372" s="69">
        <f t="shared" si="168"/>
        <v>0</v>
      </c>
      <c r="Q372" s="69">
        <f t="shared" si="168"/>
        <v>0</v>
      </c>
      <c r="R372" s="294"/>
      <c r="S372" s="49"/>
      <c r="T372" s="49"/>
      <c r="U372" s="49"/>
      <c r="V372" s="49" t="s">
        <v>369</v>
      </c>
      <c r="W372" s="49"/>
      <c r="X372" s="49"/>
      <c r="Y372" s="49"/>
      <c r="Z372" s="66"/>
      <c r="AA372" s="280"/>
      <c r="AB372" s="66"/>
      <c r="AC372" s="66"/>
      <c r="AD372" s="66"/>
      <c r="AE372" s="66"/>
      <c r="AF372" s="66"/>
      <c r="AG372" s="66"/>
      <c r="AH372" s="66"/>
      <c r="AI372" s="66"/>
      <c r="AJ372" s="66"/>
      <c r="AK372" s="66"/>
      <c r="AM372" s="66"/>
    </row>
    <row r="373" spans="1:40" ht="16" thickBot="1" x14ac:dyDescent="0.4">
      <c r="A373" s="66"/>
      <c r="B373" s="66"/>
      <c r="C373" s="49"/>
      <c r="D373" s="49"/>
      <c r="E373" s="49" t="s">
        <v>370</v>
      </c>
      <c r="F373" s="49"/>
      <c r="G373" s="49"/>
      <c r="H373" s="63">
        <v>1459490.26</v>
      </c>
      <c r="I373" s="63">
        <v>1525492.55</v>
      </c>
      <c r="J373" s="64">
        <v>1622375.19</v>
      </c>
      <c r="K373" s="64">
        <v>1600439.9</v>
      </c>
      <c r="L373" s="65">
        <v>1654826.09</v>
      </c>
      <c r="M373" s="65">
        <v>1683274.19</v>
      </c>
      <c r="N373" s="66">
        <f t="shared" ref="N373:O376" si="198">ROUND(H373+J373+L373,5)</f>
        <v>4736691.54</v>
      </c>
      <c r="O373" s="66">
        <f t="shared" si="198"/>
        <v>4809206.6399999997</v>
      </c>
      <c r="P373" s="69">
        <f t="shared" si="168"/>
        <v>1578897.18</v>
      </c>
      <c r="Q373" s="69">
        <f t="shared" si="168"/>
        <v>1603068.88</v>
      </c>
      <c r="R373" s="294"/>
      <c r="S373" s="49"/>
      <c r="T373" s="49"/>
      <c r="U373" s="49"/>
      <c r="V373" s="49"/>
      <c r="W373" s="49" t="s">
        <v>370</v>
      </c>
      <c r="X373" s="49"/>
      <c r="Y373" s="49"/>
      <c r="Z373" s="66">
        <v>1679553</v>
      </c>
      <c r="AA373" s="280"/>
      <c r="AB373" s="66">
        <f>ROUND(1735021.77, 0)</f>
        <v>1735022</v>
      </c>
      <c r="AC373" s="66">
        <f>ROUND(1705318.11, 0)</f>
        <v>1705318</v>
      </c>
      <c r="AD373" s="66">
        <f>ROUND(1705318.11, 0)</f>
        <v>1705318</v>
      </c>
      <c r="AE373" s="66">
        <f>ROUND(1705318.11, 0)</f>
        <v>1705318</v>
      </c>
      <c r="AF373" s="66">
        <f t="shared" ref="AF373:AM373" si="199">ROUND(1728649.91, 0)</f>
        <v>1728650</v>
      </c>
      <c r="AG373" s="66">
        <f t="shared" si="199"/>
        <v>1728650</v>
      </c>
      <c r="AH373" s="66">
        <f t="shared" si="199"/>
        <v>1728650</v>
      </c>
      <c r="AI373" s="66">
        <f t="shared" si="199"/>
        <v>1728650</v>
      </c>
      <c r="AJ373" s="66">
        <f t="shared" si="199"/>
        <v>1728650</v>
      </c>
      <c r="AK373" s="66">
        <f t="shared" si="199"/>
        <v>1728650</v>
      </c>
      <c r="AM373" s="66">
        <f t="shared" si="199"/>
        <v>1728650</v>
      </c>
      <c r="AN373" s="309" t="s">
        <v>889</v>
      </c>
    </row>
    <row r="374" spans="1:40" ht="16" thickBot="1" x14ac:dyDescent="0.4">
      <c r="A374" s="66"/>
      <c r="B374" s="66"/>
      <c r="C374" s="49"/>
      <c r="D374" s="49"/>
      <c r="E374" s="49" t="s">
        <v>371</v>
      </c>
      <c r="F374" s="49"/>
      <c r="G374" s="49"/>
      <c r="H374" s="63">
        <v>56053.08</v>
      </c>
      <c r="I374" s="63">
        <v>61019.7</v>
      </c>
      <c r="J374" s="64">
        <v>64133.78</v>
      </c>
      <c r="K374" s="64">
        <v>64017.599999999999</v>
      </c>
      <c r="L374" s="65">
        <v>66413.440000000002</v>
      </c>
      <c r="M374" s="65">
        <v>67330.97</v>
      </c>
      <c r="N374" s="66">
        <f t="shared" si="198"/>
        <v>186600.3</v>
      </c>
      <c r="O374" s="66">
        <f t="shared" si="198"/>
        <v>192368.27</v>
      </c>
      <c r="P374" s="69">
        <f t="shared" si="168"/>
        <v>62200.1</v>
      </c>
      <c r="Q374" s="69">
        <f t="shared" si="168"/>
        <v>64122.756666666661</v>
      </c>
      <c r="R374" s="294"/>
      <c r="S374" s="49"/>
      <c r="T374" s="49"/>
      <c r="U374" s="49"/>
      <c r="V374" s="49"/>
      <c r="W374" s="49" t="s">
        <v>371</v>
      </c>
      <c r="X374" s="49"/>
      <c r="Y374" s="49"/>
      <c r="Z374" s="66">
        <v>67182</v>
      </c>
      <c r="AA374" s="280"/>
      <c r="AB374" s="66">
        <f>ROUND(69400.87, 0)</f>
        <v>69401</v>
      </c>
      <c r="AC374" s="66">
        <f>ROUND(68213.72, 0)</f>
        <v>68214</v>
      </c>
      <c r="AD374" s="66">
        <f>ROUND(68213.72, 0)</f>
        <v>68214</v>
      </c>
      <c r="AE374" s="66">
        <f>ROUND(68213.72, 0)</f>
        <v>68214</v>
      </c>
      <c r="AF374" s="66">
        <f t="shared" ref="AF374:AM374" si="200">ROUND(69146, 0)</f>
        <v>69146</v>
      </c>
      <c r="AG374" s="66">
        <f t="shared" si="200"/>
        <v>69146</v>
      </c>
      <c r="AH374" s="66">
        <f t="shared" si="200"/>
        <v>69146</v>
      </c>
      <c r="AI374" s="66">
        <f t="shared" si="200"/>
        <v>69146</v>
      </c>
      <c r="AJ374" s="66">
        <f t="shared" si="200"/>
        <v>69146</v>
      </c>
      <c r="AK374" s="66">
        <f t="shared" si="200"/>
        <v>69146</v>
      </c>
      <c r="AM374" s="66">
        <f t="shared" si="200"/>
        <v>69146</v>
      </c>
      <c r="AN374" s="310" t="s">
        <v>891</v>
      </c>
    </row>
    <row r="375" spans="1:40" ht="16" thickBot="1" x14ac:dyDescent="0.4">
      <c r="A375" s="66"/>
      <c r="B375" s="66"/>
      <c r="C375" s="49"/>
      <c r="D375" s="49"/>
      <c r="E375" s="49" t="s">
        <v>372</v>
      </c>
      <c r="F375" s="49"/>
      <c r="G375" s="49"/>
      <c r="H375" s="63">
        <v>396753.9</v>
      </c>
      <c r="I375" s="63">
        <v>518667.47</v>
      </c>
      <c r="J375" s="64">
        <v>417566.48</v>
      </c>
      <c r="K375" s="64">
        <v>448123.17</v>
      </c>
      <c r="L375" s="65">
        <v>428108.22</v>
      </c>
      <c r="M375" s="65">
        <v>454484.03</v>
      </c>
      <c r="N375" s="66">
        <f t="shared" si="198"/>
        <v>1242428.6000000001</v>
      </c>
      <c r="O375" s="66">
        <f t="shared" si="198"/>
        <v>1421274.67</v>
      </c>
      <c r="P375" s="69">
        <f t="shared" si="168"/>
        <v>414142.8666666667</v>
      </c>
      <c r="Q375" s="69">
        <f t="shared" si="168"/>
        <v>473758.22333333333</v>
      </c>
      <c r="R375" s="294"/>
      <c r="S375" s="49"/>
      <c r="T375" s="49"/>
      <c r="U375" s="49"/>
      <c r="V375" s="49"/>
      <c r="W375" s="49" t="s">
        <v>372</v>
      </c>
      <c r="X375" s="49"/>
      <c r="Y375" s="49"/>
      <c r="Z375" s="66">
        <v>453471</v>
      </c>
      <c r="AA375" s="280"/>
      <c r="AB375" s="66">
        <f>ROUND(487194.11, 0)</f>
        <v>487194</v>
      </c>
      <c r="AC375" s="66">
        <f>ROUND(478853.32, 0)</f>
        <v>478853</v>
      </c>
      <c r="AD375" s="66">
        <f>ROUND(478853.32, 0)</f>
        <v>478853</v>
      </c>
      <c r="AE375" s="66">
        <f>ROUND(478853.32, 0)</f>
        <v>478853</v>
      </c>
      <c r="AF375" s="66">
        <f t="shared" ref="AF375:AM375" si="201">ROUND(485404.9, 0)</f>
        <v>485405</v>
      </c>
      <c r="AG375" s="66">
        <f t="shared" si="201"/>
        <v>485405</v>
      </c>
      <c r="AH375" s="66">
        <f t="shared" si="201"/>
        <v>485405</v>
      </c>
      <c r="AI375" s="66">
        <f t="shared" si="201"/>
        <v>485405</v>
      </c>
      <c r="AJ375" s="66">
        <f t="shared" si="201"/>
        <v>485405</v>
      </c>
      <c r="AK375" s="66">
        <f t="shared" si="201"/>
        <v>485405</v>
      </c>
      <c r="AM375" s="66">
        <f t="shared" si="201"/>
        <v>485405</v>
      </c>
      <c r="AN375" s="310" t="s">
        <v>890</v>
      </c>
    </row>
    <row r="376" spans="1:40" x14ac:dyDescent="0.35">
      <c r="A376" s="66"/>
      <c r="B376" s="66"/>
      <c r="C376" s="49"/>
      <c r="D376" s="49" t="s">
        <v>373</v>
      </c>
      <c r="E376" s="49"/>
      <c r="F376" s="49"/>
      <c r="G376" s="49"/>
      <c r="H376" s="75">
        <f t="shared" ref="H376:M376" si="202">ROUND(SUM(H372:H375),5)</f>
        <v>1912297.24</v>
      </c>
      <c r="I376" s="75">
        <f t="shared" si="202"/>
        <v>2105179.7200000002</v>
      </c>
      <c r="J376" s="76">
        <f t="shared" si="202"/>
        <v>2104075.4500000002</v>
      </c>
      <c r="K376" s="76">
        <f t="shared" si="202"/>
        <v>2112580.67</v>
      </c>
      <c r="L376" s="77">
        <f t="shared" si="202"/>
        <v>2149347.75</v>
      </c>
      <c r="M376" s="77">
        <f t="shared" si="202"/>
        <v>2205089.19</v>
      </c>
      <c r="N376" s="78">
        <f t="shared" si="198"/>
        <v>6165720.4400000004</v>
      </c>
      <c r="O376" s="78">
        <f t="shared" si="198"/>
        <v>6422849.5800000001</v>
      </c>
      <c r="P376" s="79">
        <f t="shared" si="168"/>
        <v>2055240.1466666667</v>
      </c>
      <c r="Q376" s="79">
        <f t="shared" si="168"/>
        <v>2140949.86</v>
      </c>
      <c r="R376" s="294"/>
      <c r="S376" s="49"/>
      <c r="T376" s="49"/>
      <c r="U376" s="49"/>
      <c r="V376" s="49" t="s">
        <v>373</v>
      </c>
      <c r="W376" s="49"/>
      <c r="X376" s="49"/>
      <c r="Y376" s="49"/>
      <c r="Z376" s="78">
        <f>ROUND(SUM(Z372:Z375),5)</f>
        <v>2200206</v>
      </c>
      <c r="AA376" s="280"/>
      <c r="AB376" s="80">
        <f t="shared" ref="AB376:AK376" si="203">ROUND(SUM(AB372:AB375),5)</f>
        <v>2291617</v>
      </c>
      <c r="AC376" s="80">
        <f t="shared" si="203"/>
        <v>2252385</v>
      </c>
      <c r="AD376" s="80">
        <f t="shared" si="203"/>
        <v>2252385</v>
      </c>
      <c r="AE376" s="80">
        <f t="shared" si="203"/>
        <v>2252385</v>
      </c>
      <c r="AF376" s="80">
        <f t="shared" si="203"/>
        <v>2283201</v>
      </c>
      <c r="AG376" s="80">
        <f t="shared" si="203"/>
        <v>2283201</v>
      </c>
      <c r="AH376" s="80">
        <f t="shared" si="203"/>
        <v>2283201</v>
      </c>
      <c r="AI376" s="80">
        <f t="shared" si="203"/>
        <v>2283201</v>
      </c>
      <c r="AJ376" s="80">
        <f t="shared" si="203"/>
        <v>2283201</v>
      </c>
      <c r="AK376" s="266">
        <f t="shared" si="203"/>
        <v>2283201</v>
      </c>
      <c r="AM376" s="270">
        <f t="shared" ref="AM376" si="204">ROUND(SUM(AM372:AM375),5)</f>
        <v>2283201</v>
      </c>
      <c r="AN376" s="311">
        <f>AG376/AG220</f>
        <v>0.4077895412530414</v>
      </c>
    </row>
    <row r="377" spans="1:40" x14ac:dyDescent="0.35">
      <c r="A377" s="66"/>
      <c r="B377" s="66"/>
      <c r="C377" s="49"/>
      <c r="D377" s="49" t="s">
        <v>374</v>
      </c>
      <c r="E377" s="49"/>
      <c r="F377" s="49"/>
      <c r="G377" s="49"/>
      <c r="H377" s="63"/>
      <c r="I377" s="63"/>
      <c r="J377" s="64"/>
      <c r="K377" s="64"/>
      <c r="L377" s="65"/>
      <c r="M377" s="65"/>
      <c r="N377" s="66"/>
      <c r="O377" s="66"/>
      <c r="P377" s="69"/>
      <c r="Q377" s="69"/>
      <c r="R377" s="294"/>
      <c r="S377" s="49"/>
      <c r="T377" s="49"/>
      <c r="U377" s="49"/>
      <c r="V377" s="49" t="s">
        <v>374</v>
      </c>
      <c r="W377" s="49"/>
      <c r="X377" s="49"/>
      <c r="Y377" s="49"/>
      <c r="Z377" s="66"/>
      <c r="AA377" s="280"/>
      <c r="AB377" s="66"/>
      <c r="AC377" s="66"/>
      <c r="AD377" s="66"/>
      <c r="AE377" s="66"/>
      <c r="AF377" s="66"/>
      <c r="AG377" s="66"/>
      <c r="AH377" s="66"/>
      <c r="AI377" s="66"/>
      <c r="AJ377" s="66"/>
      <c r="AK377" s="66"/>
      <c r="AM377" s="66"/>
      <c r="AN377" s="188"/>
    </row>
    <row r="378" spans="1:40" x14ac:dyDescent="0.35">
      <c r="A378" s="66"/>
      <c r="B378" s="66"/>
      <c r="C378" s="49"/>
      <c r="D378" s="49"/>
      <c r="E378" s="49" t="s">
        <v>375</v>
      </c>
      <c r="F378" s="49"/>
      <c r="G378" s="49"/>
      <c r="H378" s="63"/>
      <c r="I378" s="63"/>
      <c r="J378" s="64"/>
      <c r="K378" s="64"/>
      <c r="L378" s="65"/>
      <c r="M378" s="65"/>
      <c r="N378" s="66"/>
      <c r="O378" s="66"/>
      <c r="P378" s="69"/>
      <c r="Q378" s="69"/>
      <c r="R378" s="294"/>
      <c r="S378" s="49"/>
      <c r="T378" s="49"/>
      <c r="U378" s="49"/>
      <c r="V378" s="49"/>
      <c r="W378" s="49" t="s">
        <v>375</v>
      </c>
      <c r="X378" s="49"/>
      <c r="Y378" s="49"/>
      <c r="Z378" s="66"/>
      <c r="AA378" s="280"/>
      <c r="AB378" s="66"/>
      <c r="AC378" s="66"/>
      <c r="AD378" s="66"/>
      <c r="AE378" s="66"/>
      <c r="AF378" s="66"/>
      <c r="AG378" s="66"/>
      <c r="AH378" s="66"/>
      <c r="AI378" s="66"/>
      <c r="AJ378" s="66"/>
      <c r="AK378" s="66"/>
      <c r="AM378" s="66"/>
    </row>
    <row r="379" spans="1:40" x14ac:dyDescent="0.35">
      <c r="A379" s="66"/>
      <c r="B379" s="66"/>
      <c r="C379" s="49"/>
      <c r="D379" s="49"/>
      <c r="E379" s="49"/>
      <c r="F379" s="49" t="s">
        <v>376</v>
      </c>
      <c r="G379" s="49"/>
      <c r="H379" s="63">
        <v>1304.0999999999999</v>
      </c>
      <c r="I379" s="63">
        <v>1000</v>
      </c>
      <c r="J379" s="64">
        <v>1849.29</v>
      </c>
      <c r="K379" s="64">
        <v>1750</v>
      </c>
      <c r="L379" s="65">
        <v>892.89</v>
      </c>
      <c r="M379" s="65">
        <v>1050</v>
      </c>
      <c r="N379" s="66">
        <f t="shared" ref="N379:O394" si="205">ROUND(H379+J379+L379,5)</f>
        <v>4046.28</v>
      </c>
      <c r="O379" s="66">
        <f t="shared" si="205"/>
        <v>3800</v>
      </c>
      <c r="P379" s="69">
        <f t="shared" si="168"/>
        <v>1348.76</v>
      </c>
      <c r="Q379" s="69">
        <f t="shared" si="168"/>
        <v>1266.6666666666667</v>
      </c>
      <c r="R379" s="294"/>
      <c r="S379" s="49"/>
      <c r="T379" s="49"/>
      <c r="U379" s="49"/>
      <c r="V379" s="49"/>
      <c r="W379" s="49"/>
      <c r="X379" s="49" t="s">
        <v>376</v>
      </c>
      <c r="Y379" s="49"/>
      <c r="Z379" s="66">
        <v>1200</v>
      </c>
      <c r="AA379" s="280"/>
      <c r="AB379" s="66">
        <v>1200</v>
      </c>
      <c r="AC379" s="66">
        <v>1200</v>
      </c>
      <c r="AD379" s="66">
        <v>1200</v>
      </c>
      <c r="AE379" s="66">
        <v>1200</v>
      </c>
      <c r="AF379" s="66">
        <v>1200</v>
      </c>
      <c r="AG379" s="66">
        <v>1200</v>
      </c>
      <c r="AH379" s="66">
        <v>1200</v>
      </c>
      <c r="AI379" s="66">
        <v>1200</v>
      </c>
      <c r="AJ379" s="66">
        <v>1200</v>
      </c>
      <c r="AK379" s="66">
        <v>1200</v>
      </c>
      <c r="AL379" s="299"/>
      <c r="AM379" s="66">
        <v>1200</v>
      </c>
      <c r="AN379" s="173"/>
    </row>
    <row r="380" spans="1:40" x14ac:dyDescent="0.35">
      <c r="A380" s="66"/>
      <c r="B380" s="66"/>
      <c r="C380" s="49"/>
      <c r="D380" s="49"/>
      <c r="E380" s="49"/>
      <c r="F380" s="49" t="s">
        <v>377</v>
      </c>
      <c r="G380" s="49"/>
      <c r="H380" s="63">
        <v>187475.29</v>
      </c>
      <c r="I380" s="63">
        <v>186000</v>
      </c>
      <c r="J380" s="64">
        <v>233992.95999999999</v>
      </c>
      <c r="K380" s="64">
        <v>150000</v>
      </c>
      <c r="L380" s="65">
        <v>193482.78</v>
      </c>
      <c r="M380" s="65">
        <v>150000</v>
      </c>
      <c r="N380" s="66">
        <f t="shared" si="205"/>
        <v>614951.03</v>
      </c>
      <c r="O380" s="66">
        <f t="shared" si="205"/>
        <v>486000</v>
      </c>
      <c r="P380" s="69">
        <f t="shared" si="168"/>
        <v>204983.67666666667</v>
      </c>
      <c r="Q380" s="69">
        <f t="shared" si="168"/>
        <v>162000</v>
      </c>
      <c r="R380" s="294"/>
      <c r="S380" s="49"/>
      <c r="T380" s="49"/>
      <c r="U380" s="49"/>
      <c r="V380" s="49"/>
      <c r="W380" s="49"/>
      <c r="X380" s="49" t="s">
        <v>377</v>
      </c>
      <c r="Y380" s="49"/>
      <c r="Z380" s="66">
        <v>190000</v>
      </c>
      <c r="AA380" s="280"/>
      <c r="AB380" s="66">
        <v>190000</v>
      </c>
      <c r="AC380" s="66">
        <v>190000</v>
      </c>
      <c r="AD380" s="66">
        <v>190000</v>
      </c>
      <c r="AE380" s="66">
        <v>190000</v>
      </c>
      <c r="AF380" s="66">
        <v>190000</v>
      </c>
      <c r="AG380" s="66">
        <v>190000</v>
      </c>
      <c r="AH380" s="66">
        <v>190000</v>
      </c>
      <c r="AI380" s="66">
        <v>190000</v>
      </c>
      <c r="AJ380" s="66">
        <v>190000</v>
      </c>
      <c r="AK380" s="66">
        <v>190000</v>
      </c>
      <c r="AL380" s="299"/>
      <c r="AM380" s="66">
        <v>190000</v>
      </c>
      <c r="AN380" s="173"/>
    </row>
    <row r="381" spans="1:40" x14ac:dyDescent="0.35">
      <c r="A381" s="66"/>
      <c r="B381" s="66"/>
      <c r="C381" s="49"/>
      <c r="D381" s="49"/>
      <c r="E381" s="49"/>
      <c r="F381" s="49" t="s">
        <v>378</v>
      </c>
      <c r="G381" s="49"/>
      <c r="H381" s="63">
        <v>2853.08</v>
      </c>
      <c r="I381" s="63">
        <v>2490</v>
      </c>
      <c r="J381" s="64">
        <v>2934.25</v>
      </c>
      <c r="K381" s="64">
        <v>5235</v>
      </c>
      <c r="L381" s="65">
        <v>2772.5</v>
      </c>
      <c r="M381" s="65">
        <v>4785</v>
      </c>
      <c r="N381" s="66">
        <f t="shared" si="205"/>
        <v>8559.83</v>
      </c>
      <c r="O381" s="66">
        <f t="shared" si="205"/>
        <v>12510</v>
      </c>
      <c r="P381" s="69">
        <f t="shared" si="168"/>
        <v>2853.2766666666666</v>
      </c>
      <c r="Q381" s="69">
        <f t="shared" si="168"/>
        <v>4170</v>
      </c>
      <c r="R381" s="294"/>
      <c r="S381" s="49"/>
      <c r="T381" s="49"/>
      <c r="U381" s="49"/>
      <c r="V381" s="49"/>
      <c r="W381" s="49"/>
      <c r="X381" s="49" t="s">
        <v>378</v>
      </c>
      <c r="Y381" s="49"/>
      <c r="Z381" s="66">
        <v>5000</v>
      </c>
      <c r="AA381" s="280"/>
      <c r="AB381" s="66">
        <v>4760</v>
      </c>
      <c r="AC381" s="66">
        <v>4760</v>
      </c>
      <c r="AD381" s="66">
        <v>4760</v>
      </c>
      <c r="AE381" s="66">
        <v>4760</v>
      </c>
      <c r="AF381" s="66">
        <v>4760</v>
      </c>
      <c r="AG381" s="66">
        <v>4760</v>
      </c>
      <c r="AH381" s="66">
        <v>4760</v>
      </c>
      <c r="AI381" s="66">
        <v>4760</v>
      </c>
      <c r="AJ381" s="66">
        <v>4760</v>
      </c>
      <c r="AK381" s="66">
        <v>4760</v>
      </c>
      <c r="AL381" s="299"/>
      <c r="AM381" s="66">
        <v>4760</v>
      </c>
      <c r="AN381" s="173"/>
    </row>
    <row r="382" spans="1:40" x14ac:dyDescent="0.35">
      <c r="A382" s="66"/>
      <c r="B382" s="66"/>
      <c r="C382" s="49"/>
      <c r="D382" s="49"/>
      <c r="E382" s="49"/>
      <c r="F382" s="49" t="s">
        <v>379</v>
      </c>
      <c r="G382" s="49"/>
      <c r="H382" s="63">
        <v>123746.4</v>
      </c>
      <c r="I382" s="63">
        <v>77000</v>
      </c>
      <c r="J382" s="64">
        <v>85920.51</v>
      </c>
      <c r="K382" s="64">
        <v>94250</v>
      </c>
      <c r="L382" s="65">
        <v>99915.47</v>
      </c>
      <c r="M382" s="65">
        <v>84000</v>
      </c>
      <c r="N382" s="66">
        <f t="shared" si="205"/>
        <v>309582.38</v>
      </c>
      <c r="O382" s="66">
        <f t="shared" si="205"/>
        <v>255250</v>
      </c>
      <c r="P382" s="69">
        <f t="shared" si="168"/>
        <v>103194.12666666666</v>
      </c>
      <c r="Q382" s="69">
        <f t="shared" si="168"/>
        <v>85083.333333333328</v>
      </c>
      <c r="R382" s="294"/>
      <c r="S382" s="49"/>
      <c r="T382" s="49"/>
      <c r="U382" s="49"/>
      <c r="V382" s="49"/>
      <c r="W382" s="49"/>
      <c r="X382" s="49" t="s">
        <v>379</v>
      </c>
      <c r="Y382" s="49"/>
      <c r="Z382" s="66">
        <v>84000</v>
      </c>
      <c r="AA382" s="280"/>
      <c r="AB382" s="66">
        <v>84000</v>
      </c>
      <c r="AC382" s="66">
        <v>84000</v>
      </c>
      <c r="AD382" s="66">
        <v>84000</v>
      </c>
      <c r="AE382" s="66">
        <v>84000</v>
      </c>
      <c r="AF382" s="66">
        <v>78000</v>
      </c>
      <c r="AG382" s="66">
        <v>78000</v>
      </c>
      <c r="AH382" s="66">
        <v>78000</v>
      </c>
      <c r="AI382" s="66">
        <v>78000</v>
      </c>
      <c r="AJ382" s="66">
        <v>78000</v>
      </c>
      <c r="AK382" s="66">
        <v>78000</v>
      </c>
      <c r="AL382" s="299"/>
      <c r="AM382" s="66">
        <v>78000</v>
      </c>
      <c r="AN382" s="173"/>
    </row>
    <row r="383" spans="1:40" x14ac:dyDescent="0.35">
      <c r="A383" s="66"/>
      <c r="B383" s="66"/>
      <c r="C383" s="49"/>
      <c r="D383" s="49"/>
      <c r="E383" s="49"/>
      <c r="F383" s="49" t="s">
        <v>380</v>
      </c>
      <c r="G383" s="49"/>
      <c r="H383" s="63">
        <v>0</v>
      </c>
      <c r="I383" s="63">
        <v>0</v>
      </c>
      <c r="J383" s="64">
        <v>0</v>
      </c>
      <c r="K383" s="64">
        <v>0</v>
      </c>
      <c r="L383" s="65">
        <v>0</v>
      </c>
      <c r="M383" s="65">
        <v>0</v>
      </c>
      <c r="N383" s="66">
        <f t="shared" si="205"/>
        <v>0</v>
      </c>
      <c r="O383" s="66">
        <v>0</v>
      </c>
      <c r="P383" s="69">
        <f t="shared" si="168"/>
        <v>0</v>
      </c>
      <c r="Q383" s="69">
        <f t="shared" si="168"/>
        <v>0</v>
      </c>
      <c r="R383" s="294"/>
      <c r="S383" s="49"/>
      <c r="T383" s="49"/>
      <c r="U383" s="49"/>
      <c r="V383" s="49"/>
      <c r="W383" s="49"/>
      <c r="X383" s="49" t="s">
        <v>380</v>
      </c>
      <c r="Y383" s="49"/>
      <c r="Z383" s="66">
        <v>0</v>
      </c>
      <c r="AA383" s="280"/>
      <c r="AB383" s="66">
        <v>0</v>
      </c>
      <c r="AC383" s="66">
        <v>0</v>
      </c>
      <c r="AD383" s="66">
        <v>0</v>
      </c>
      <c r="AE383" s="66">
        <v>0</v>
      </c>
      <c r="AF383" s="66">
        <v>0</v>
      </c>
      <c r="AG383" s="66">
        <v>0</v>
      </c>
      <c r="AH383" s="66">
        <v>0</v>
      </c>
      <c r="AI383" s="66">
        <v>0</v>
      </c>
      <c r="AJ383" s="66">
        <v>0</v>
      </c>
      <c r="AK383" s="66">
        <v>0</v>
      </c>
      <c r="AL383" s="299"/>
      <c r="AM383" s="66">
        <v>0</v>
      </c>
      <c r="AN383" s="173"/>
    </row>
    <row r="384" spans="1:40" ht="29" x14ac:dyDescent="0.35">
      <c r="A384" s="66"/>
      <c r="B384" s="66"/>
      <c r="C384" s="49"/>
      <c r="D384" s="49"/>
      <c r="E384" s="49"/>
      <c r="F384" s="49" t="s">
        <v>381</v>
      </c>
      <c r="G384" s="49"/>
      <c r="H384" s="63">
        <v>230061.6</v>
      </c>
      <c r="I384" s="63">
        <v>99600</v>
      </c>
      <c r="J384" s="64">
        <v>221294.46</v>
      </c>
      <c r="K384" s="64">
        <v>151815</v>
      </c>
      <c r="L384" s="65">
        <v>112400.98</v>
      </c>
      <c r="M384" s="65">
        <v>133980</v>
      </c>
      <c r="N384" s="66">
        <f t="shared" si="205"/>
        <v>563757.04</v>
      </c>
      <c r="O384" s="66">
        <f t="shared" si="205"/>
        <v>385395</v>
      </c>
      <c r="P384" s="69">
        <f t="shared" si="168"/>
        <v>187919.01333333334</v>
      </c>
      <c r="Q384" s="69">
        <f t="shared" si="168"/>
        <v>128465</v>
      </c>
      <c r="R384" s="294"/>
      <c r="S384" s="49"/>
      <c r="T384" s="49"/>
      <c r="U384" s="49"/>
      <c r="V384" s="49"/>
      <c r="W384" s="49"/>
      <c r="X384" s="49" t="s">
        <v>381</v>
      </c>
      <c r="Y384" s="49"/>
      <c r="Z384" s="66">
        <v>140000</v>
      </c>
      <c r="AA384" s="280"/>
      <c r="AB384" s="66">
        <v>133280</v>
      </c>
      <c r="AC384" s="66">
        <v>133280</v>
      </c>
      <c r="AD384" s="66">
        <v>133280</v>
      </c>
      <c r="AE384" s="66">
        <v>133280</v>
      </c>
      <c r="AF384" s="66">
        <v>152320</v>
      </c>
      <c r="AG384" s="66">
        <v>177320</v>
      </c>
      <c r="AH384" s="66">
        <v>177320</v>
      </c>
      <c r="AI384" s="66">
        <v>177320</v>
      </c>
      <c r="AJ384" s="66">
        <v>177320</v>
      </c>
      <c r="AK384" s="66">
        <f>161840</f>
        <v>161840</v>
      </c>
      <c r="AM384" s="66">
        <f>161840-7000</f>
        <v>154840</v>
      </c>
      <c r="AN384" s="227" t="s">
        <v>991</v>
      </c>
    </row>
    <row r="385" spans="1:40" x14ac:dyDescent="0.35">
      <c r="A385" s="66"/>
      <c r="B385" s="66"/>
      <c r="C385" s="49"/>
      <c r="D385" s="49"/>
      <c r="E385" s="49"/>
      <c r="F385" s="49" t="s">
        <v>382</v>
      </c>
      <c r="G385" s="49"/>
      <c r="H385" s="63">
        <v>0</v>
      </c>
      <c r="I385" s="63">
        <v>6000</v>
      </c>
      <c r="J385" s="64">
        <v>869</v>
      </c>
      <c r="K385" s="64">
        <v>6000</v>
      </c>
      <c r="L385" s="65">
        <v>349</v>
      </c>
      <c r="M385" s="65">
        <v>6000</v>
      </c>
      <c r="N385" s="66">
        <f t="shared" si="205"/>
        <v>1218</v>
      </c>
      <c r="O385" s="66">
        <f t="shared" si="205"/>
        <v>18000</v>
      </c>
      <c r="P385" s="69">
        <f t="shared" si="168"/>
        <v>406</v>
      </c>
      <c r="Q385" s="69">
        <f t="shared" si="168"/>
        <v>6000</v>
      </c>
      <c r="R385" s="294"/>
      <c r="S385" s="49"/>
      <c r="T385" s="49"/>
      <c r="U385" s="49"/>
      <c r="V385" s="49"/>
      <c r="W385" s="49"/>
      <c r="X385" s="49" t="s">
        <v>382</v>
      </c>
      <c r="Y385" s="49"/>
      <c r="Z385" s="66">
        <v>1000</v>
      </c>
      <c r="AA385" s="280"/>
      <c r="AB385" s="66">
        <v>1000</v>
      </c>
      <c r="AC385" s="66">
        <v>1000</v>
      </c>
      <c r="AD385" s="66">
        <v>1000</v>
      </c>
      <c r="AE385" s="66">
        <v>1000</v>
      </c>
      <c r="AF385" s="66">
        <v>7500</v>
      </c>
      <c r="AG385" s="66">
        <v>7500</v>
      </c>
      <c r="AH385" s="66">
        <v>7500</v>
      </c>
      <c r="AI385" s="66">
        <v>7500</v>
      </c>
      <c r="AJ385" s="66">
        <v>7500</v>
      </c>
      <c r="AK385" s="66">
        <v>7500</v>
      </c>
      <c r="AL385" s="299"/>
      <c r="AM385" s="66">
        <v>7500</v>
      </c>
      <c r="AN385" s="173"/>
    </row>
    <row r="386" spans="1:40" x14ac:dyDescent="0.35">
      <c r="A386" s="66"/>
      <c r="B386" s="66"/>
      <c r="C386" s="49"/>
      <c r="D386" s="49"/>
      <c r="E386" s="49"/>
      <c r="F386" s="49"/>
      <c r="G386" s="49"/>
      <c r="H386" s="63"/>
      <c r="I386" s="63"/>
      <c r="J386" s="64"/>
      <c r="K386" s="64"/>
      <c r="L386" s="65"/>
      <c r="M386" s="65"/>
      <c r="N386" s="66"/>
      <c r="O386" s="66"/>
      <c r="P386" s="69"/>
      <c r="Q386" s="69"/>
      <c r="R386" s="294"/>
      <c r="S386" s="49"/>
      <c r="T386" s="49"/>
      <c r="U386" s="49"/>
      <c r="V386" s="49"/>
      <c r="W386" s="49"/>
      <c r="X386" s="49" t="s">
        <v>893</v>
      </c>
      <c r="Y386" s="49"/>
      <c r="Z386" s="66">
        <v>0</v>
      </c>
      <c r="AA386" s="280"/>
      <c r="AB386" s="82"/>
      <c r="AC386" s="82"/>
      <c r="AD386" s="82"/>
      <c r="AE386" s="82"/>
      <c r="AF386" s="66"/>
      <c r="AG386" s="66"/>
      <c r="AH386" s="66"/>
      <c r="AI386" s="66"/>
      <c r="AJ386" s="66"/>
      <c r="AK386" s="66"/>
      <c r="AL386" s="299"/>
      <c r="AM386" s="66"/>
      <c r="AN386" s="173"/>
    </row>
    <row r="387" spans="1:40" x14ac:dyDescent="0.35">
      <c r="A387" s="66"/>
      <c r="B387" s="66"/>
      <c r="C387" s="49"/>
      <c r="D387" s="49"/>
      <c r="E387" s="49"/>
      <c r="F387" s="49" t="s">
        <v>383</v>
      </c>
      <c r="G387" s="49"/>
      <c r="H387" s="63">
        <v>3483</v>
      </c>
      <c r="I387" s="63">
        <v>3000</v>
      </c>
      <c r="J387" s="64">
        <v>0</v>
      </c>
      <c r="K387" s="64">
        <v>5000</v>
      </c>
      <c r="L387" s="65">
        <v>0</v>
      </c>
      <c r="M387" s="65">
        <v>5000</v>
      </c>
      <c r="N387" s="66">
        <f t="shared" si="205"/>
        <v>3483</v>
      </c>
      <c r="O387" s="66">
        <f t="shared" si="205"/>
        <v>13000</v>
      </c>
      <c r="P387" s="69">
        <f t="shared" si="168"/>
        <v>1161</v>
      </c>
      <c r="Q387" s="69">
        <f t="shared" si="168"/>
        <v>4333.333333333333</v>
      </c>
      <c r="R387" s="294"/>
      <c r="S387" s="49"/>
      <c r="T387" s="49"/>
      <c r="U387" s="49"/>
      <c r="V387" s="49"/>
      <c r="W387" s="49"/>
      <c r="X387" s="49" t="s">
        <v>383</v>
      </c>
      <c r="Y387" s="49"/>
      <c r="Z387" s="66">
        <v>16000</v>
      </c>
      <c r="AA387" s="280"/>
      <c r="AB387" s="66">
        <v>16000</v>
      </c>
      <c r="AC387" s="66">
        <v>16000</v>
      </c>
      <c r="AD387" s="66">
        <v>16000</v>
      </c>
      <c r="AE387" s="66">
        <v>16000</v>
      </c>
      <c r="AF387" s="66">
        <v>20000</v>
      </c>
      <c r="AG387" s="66">
        <v>20000</v>
      </c>
      <c r="AH387" s="66">
        <v>20000</v>
      </c>
      <c r="AI387" s="66">
        <v>20000</v>
      </c>
      <c r="AJ387" s="66">
        <v>20000</v>
      </c>
      <c r="AK387" s="66">
        <v>20000</v>
      </c>
      <c r="AL387" s="299"/>
      <c r="AM387" s="66">
        <v>20000</v>
      </c>
      <c r="AN387" s="173"/>
    </row>
    <row r="388" spans="1:40" x14ac:dyDescent="0.35">
      <c r="A388" s="66"/>
      <c r="B388" s="66"/>
      <c r="C388" s="49"/>
      <c r="D388" s="49"/>
      <c r="E388" s="49"/>
      <c r="F388" s="49" t="s">
        <v>384</v>
      </c>
      <c r="G388" s="49"/>
      <c r="H388" s="63">
        <v>0</v>
      </c>
      <c r="I388" s="63">
        <v>3500</v>
      </c>
      <c r="J388" s="64">
        <v>2245</v>
      </c>
      <c r="K388" s="64">
        <v>3500</v>
      </c>
      <c r="L388" s="65">
        <v>647.1</v>
      </c>
      <c r="M388" s="65">
        <v>11250</v>
      </c>
      <c r="N388" s="66">
        <f t="shared" si="205"/>
        <v>2892.1</v>
      </c>
      <c r="O388" s="66">
        <f t="shared" si="205"/>
        <v>18250</v>
      </c>
      <c r="P388" s="69">
        <f t="shared" ref="P388:Q450" si="206">N388/3</f>
        <v>964.0333333333333</v>
      </c>
      <c r="Q388" s="69">
        <f t="shared" si="206"/>
        <v>6083.333333333333</v>
      </c>
      <c r="R388" s="294"/>
      <c r="S388" s="49"/>
      <c r="T388" s="49"/>
      <c r="U388" s="49"/>
      <c r="V388" s="49"/>
      <c r="W388" s="49"/>
      <c r="X388" s="49" t="s">
        <v>384</v>
      </c>
      <c r="Y388" s="49"/>
      <c r="Z388" s="66">
        <v>12000</v>
      </c>
      <c r="AA388" s="280"/>
      <c r="AB388" s="66">
        <v>12000</v>
      </c>
      <c r="AC388" s="66">
        <v>12000</v>
      </c>
      <c r="AD388" s="66">
        <v>12000</v>
      </c>
      <c r="AE388" s="66">
        <v>12000</v>
      </c>
      <c r="AF388" s="66">
        <v>12000</v>
      </c>
      <c r="AG388" s="66">
        <v>12000</v>
      </c>
      <c r="AH388" s="66">
        <v>12000</v>
      </c>
      <c r="AI388" s="66">
        <v>12000</v>
      </c>
      <c r="AJ388" s="66">
        <v>12000</v>
      </c>
      <c r="AK388" s="66">
        <v>12000</v>
      </c>
      <c r="AL388" s="299"/>
      <c r="AM388" s="66">
        <v>12000</v>
      </c>
      <c r="AN388" s="173"/>
    </row>
    <row r="389" spans="1:40" x14ac:dyDescent="0.35">
      <c r="A389" s="66"/>
      <c r="B389" s="66"/>
      <c r="C389" s="49"/>
      <c r="D389" s="49"/>
      <c r="E389" s="49"/>
      <c r="F389" s="49" t="s">
        <v>385</v>
      </c>
      <c r="G389" s="49"/>
      <c r="H389" s="63">
        <v>17825</v>
      </c>
      <c r="I389" s="63">
        <v>11500</v>
      </c>
      <c r="J389" s="64">
        <v>21275</v>
      </c>
      <c r="K389" s="64">
        <v>13500</v>
      </c>
      <c r="L389" s="65">
        <v>20250</v>
      </c>
      <c r="M389" s="65">
        <v>13500</v>
      </c>
      <c r="N389" s="66">
        <f t="shared" si="205"/>
        <v>59350</v>
      </c>
      <c r="O389" s="66">
        <f t="shared" si="205"/>
        <v>38500</v>
      </c>
      <c r="P389" s="69">
        <f t="shared" si="206"/>
        <v>19783.333333333332</v>
      </c>
      <c r="Q389" s="69">
        <f t="shared" si="206"/>
        <v>12833.333333333334</v>
      </c>
      <c r="R389" s="294"/>
      <c r="S389" s="49"/>
      <c r="T389" s="49"/>
      <c r="U389" s="49"/>
      <c r="V389" s="49"/>
      <c r="W389" s="49"/>
      <c r="X389" s="49" t="s">
        <v>385</v>
      </c>
      <c r="Y389" s="49"/>
      <c r="Z389" s="66">
        <v>13500</v>
      </c>
      <c r="AA389" s="280"/>
      <c r="AB389" s="66">
        <v>13500</v>
      </c>
      <c r="AC389" s="66">
        <v>13500</v>
      </c>
      <c r="AD389" s="66">
        <v>13500</v>
      </c>
      <c r="AE389" s="66">
        <v>13500</v>
      </c>
      <c r="AF389" s="66">
        <v>20925</v>
      </c>
      <c r="AG389" s="66">
        <v>20925</v>
      </c>
      <c r="AH389" s="66">
        <v>20925</v>
      </c>
      <c r="AI389" s="66">
        <v>20925</v>
      </c>
      <c r="AJ389" s="66">
        <v>20925</v>
      </c>
      <c r="AK389" s="66">
        <v>20925</v>
      </c>
      <c r="AL389" s="299"/>
      <c r="AM389" s="66">
        <v>20925</v>
      </c>
    </row>
    <row r="390" spans="1:40" x14ac:dyDescent="0.35">
      <c r="A390" s="66"/>
      <c r="B390" s="66"/>
      <c r="C390" s="49"/>
      <c r="D390" s="49"/>
      <c r="E390" s="49"/>
      <c r="F390" s="49" t="s">
        <v>386</v>
      </c>
      <c r="G390" s="49"/>
      <c r="H390" s="63">
        <v>34893.620000000003</v>
      </c>
      <c r="I390" s="63">
        <v>30000</v>
      </c>
      <c r="J390" s="64">
        <v>41325.21</v>
      </c>
      <c r="K390" s="64">
        <v>32000</v>
      </c>
      <c r="L390" s="65">
        <v>47389.16</v>
      </c>
      <c r="M390" s="65">
        <v>32000</v>
      </c>
      <c r="N390" s="66">
        <f t="shared" si="205"/>
        <v>123607.99</v>
      </c>
      <c r="O390" s="66">
        <f t="shared" si="205"/>
        <v>94000</v>
      </c>
      <c r="P390" s="69">
        <f t="shared" si="206"/>
        <v>41202.663333333338</v>
      </c>
      <c r="Q390" s="69">
        <f t="shared" si="206"/>
        <v>31333.333333333332</v>
      </c>
      <c r="R390" s="294"/>
      <c r="S390" s="49"/>
      <c r="T390" s="49"/>
      <c r="U390" s="49"/>
      <c r="V390" s="49"/>
      <c r="W390" s="49"/>
      <c r="X390" s="49" t="s">
        <v>386</v>
      </c>
      <c r="Y390" s="49"/>
      <c r="Z390" s="66">
        <v>32000</v>
      </c>
      <c r="AA390" s="280"/>
      <c r="AB390" s="66">
        <v>32000</v>
      </c>
      <c r="AC390" s="66">
        <v>32000</v>
      </c>
      <c r="AD390" s="66">
        <v>32000</v>
      </c>
      <c r="AE390" s="66">
        <v>32000</v>
      </c>
      <c r="AF390" s="66">
        <v>32000</v>
      </c>
      <c r="AG390" s="66">
        <v>32000</v>
      </c>
      <c r="AH390" s="66">
        <v>32000</v>
      </c>
      <c r="AI390" s="66">
        <v>32000</v>
      </c>
      <c r="AJ390" s="66">
        <v>32000</v>
      </c>
      <c r="AK390" s="66">
        <v>32000</v>
      </c>
      <c r="AL390" s="299"/>
      <c r="AM390" s="66">
        <v>32000</v>
      </c>
      <c r="AN390" s="173"/>
    </row>
    <row r="391" spans="1:40" x14ac:dyDescent="0.35">
      <c r="A391" s="66"/>
      <c r="B391" s="66"/>
      <c r="C391" s="49"/>
      <c r="D391" s="49"/>
      <c r="E391" s="49"/>
      <c r="F391" s="49" t="s">
        <v>387</v>
      </c>
      <c r="G391" s="49"/>
      <c r="H391" s="63">
        <v>1380.2</v>
      </c>
      <c r="I391" s="63">
        <v>1500</v>
      </c>
      <c r="J391" s="64">
        <v>506</v>
      </c>
      <c r="K391" s="64">
        <v>0</v>
      </c>
      <c r="L391" s="65">
        <v>0</v>
      </c>
      <c r="M391" s="65">
        <v>1500</v>
      </c>
      <c r="N391" s="66">
        <f t="shared" si="205"/>
        <v>1886.2</v>
      </c>
      <c r="O391" s="66">
        <f t="shared" si="205"/>
        <v>3000</v>
      </c>
      <c r="P391" s="69">
        <f t="shared" si="206"/>
        <v>628.73333333333335</v>
      </c>
      <c r="Q391" s="69">
        <f t="shared" si="206"/>
        <v>1000</v>
      </c>
      <c r="R391" s="294"/>
      <c r="S391" s="49"/>
      <c r="T391" s="49"/>
      <c r="U391" s="49"/>
      <c r="V391" s="49"/>
      <c r="W391" s="49"/>
      <c r="X391" s="49" t="s">
        <v>387</v>
      </c>
      <c r="Y391" s="49"/>
      <c r="Z391" s="66">
        <v>0</v>
      </c>
      <c r="AA391" s="280"/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1000</v>
      </c>
      <c r="AH391" s="66">
        <v>1000</v>
      </c>
      <c r="AI391" s="66">
        <v>1000</v>
      </c>
      <c r="AJ391" s="66">
        <v>1000</v>
      </c>
      <c r="AK391" s="66">
        <v>1000</v>
      </c>
      <c r="AL391" s="299"/>
      <c r="AM391" s="66">
        <v>1000</v>
      </c>
      <c r="AN391" s="173"/>
    </row>
    <row r="392" spans="1:40" x14ac:dyDescent="0.35">
      <c r="A392" s="66"/>
      <c r="B392" s="66"/>
      <c r="C392" s="49"/>
      <c r="D392" s="49"/>
      <c r="E392" s="49"/>
      <c r="F392" s="49" t="s">
        <v>388</v>
      </c>
      <c r="G392" s="49"/>
      <c r="H392" s="63">
        <v>15749.75</v>
      </c>
      <c r="I392" s="63">
        <v>15000</v>
      </c>
      <c r="J392" s="64">
        <v>55862.22</v>
      </c>
      <c r="K392" s="64">
        <v>20000</v>
      </c>
      <c r="L392" s="65">
        <v>31683.62</v>
      </c>
      <c r="M392" s="65">
        <v>20000</v>
      </c>
      <c r="N392" s="66">
        <f t="shared" si="205"/>
        <v>103295.59</v>
      </c>
      <c r="O392" s="66">
        <f t="shared" si="205"/>
        <v>55000</v>
      </c>
      <c r="P392" s="69">
        <f t="shared" si="206"/>
        <v>34431.863333333335</v>
      </c>
      <c r="Q392" s="69">
        <f t="shared" si="206"/>
        <v>18333.333333333332</v>
      </c>
      <c r="R392" s="294"/>
      <c r="S392" s="49"/>
      <c r="T392" s="49"/>
      <c r="U392" s="49"/>
      <c r="V392" s="49"/>
      <c r="W392" s="49"/>
      <c r="X392" s="49" t="s">
        <v>388</v>
      </c>
      <c r="Y392" s="49"/>
      <c r="Z392" s="66">
        <v>25000</v>
      </c>
      <c r="AA392" s="280"/>
      <c r="AB392" s="66">
        <v>25000</v>
      </c>
      <c r="AC392" s="66">
        <v>25000</v>
      </c>
      <c r="AD392" s="66">
        <v>25000</v>
      </c>
      <c r="AE392" s="66">
        <v>25000</v>
      </c>
      <c r="AF392" s="66">
        <v>25000</v>
      </c>
      <c r="AG392" s="66">
        <v>25000</v>
      </c>
      <c r="AH392" s="66">
        <v>25000</v>
      </c>
      <c r="AI392" s="66">
        <v>25000</v>
      </c>
      <c r="AJ392" s="66">
        <v>25000</v>
      </c>
      <c r="AK392" s="66">
        <v>25000</v>
      </c>
      <c r="AL392" s="299"/>
      <c r="AM392" s="66">
        <v>25000</v>
      </c>
      <c r="AN392" s="173"/>
    </row>
    <row r="393" spans="1:40" x14ac:dyDescent="0.35">
      <c r="A393" s="66"/>
      <c r="B393" s="66"/>
      <c r="C393" s="49"/>
      <c r="D393" s="49"/>
      <c r="E393" s="49"/>
      <c r="F393" s="49" t="s">
        <v>389</v>
      </c>
      <c r="G393" s="49"/>
      <c r="H393" s="63">
        <v>10000</v>
      </c>
      <c r="I393" s="63">
        <v>10000</v>
      </c>
      <c r="J393" s="64">
        <v>10000</v>
      </c>
      <c r="K393" s="64">
        <v>10000</v>
      </c>
      <c r="L393" s="65">
        <v>15000</v>
      </c>
      <c r="M393" s="65">
        <v>15000</v>
      </c>
      <c r="N393" s="66">
        <f t="shared" si="205"/>
        <v>35000</v>
      </c>
      <c r="O393" s="66">
        <f t="shared" si="205"/>
        <v>35000</v>
      </c>
      <c r="P393" s="69">
        <f t="shared" si="206"/>
        <v>11666.666666666666</v>
      </c>
      <c r="Q393" s="69">
        <f t="shared" si="206"/>
        <v>11666.666666666666</v>
      </c>
      <c r="R393" s="294"/>
      <c r="S393" s="49"/>
      <c r="T393" s="49"/>
      <c r="U393" s="49"/>
      <c r="V393" s="49"/>
      <c r="W393" s="49"/>
      <c r="X393" s="49" t="s">
        <v>389</v>
      </c>
      <c r="Y393" s="49"/>
      <c r="Z393" s="66">
        <v>15000</v>
      </c>
      <c r="AA393" s="280"/>
      <c r="AB393" s="66">
        <v>15000</v>
      </c>
      <c r="AC393" s="66">
        <v>15000</v>
      </c>
      <c r="AD393" s="66">
        <v>15000</v>
      </c>
      <c r="AE393" s="66">
        <v>15000</v>
      </c>
      <c r="AF393" s="66">
        <v>15000</v>
      </c>
      <c r="AG393" s="66">
        <v>15000</v>
      </c>
      <c r="AH393" s="66">
        <v>15000</v>
      </c>
      <c r="AI393" s="66">
        <v>15000</v>
      </c>
      <c r="AJ393" s="66">
        <v>15000</v>
      </c>
      <c r="AK393" s="66">
        <v>15000</v>
      </c>
      <c r="AL393" s="299"/>
      <c r="AM393" s="66">
        <v>15000</v>
      </c>
      <c r="AN393" s="173"/>
    </row>
    <row r="394" spans="1:40" x14ac:dyDescent="0.35">
      <c r="A394" s="66"/>
      <c r="B394" s="66"/>
      <c r="C394" s="49"/>
      <c r="D394" s="49"/>
      <c r="E394" s="49"/>
      <c r="F394" s="49" t="s">
        <v>390</v>
      </c>
      <c r="G394" s="49"/>
      <c r="H394" s="63">
        <v>11898.51</v>
      </c>
      <c r="I394" s="63">
        <v>4980</v>
      </c>
      <c r="J394" s="64">
        <v>14153.87</v>
      </c>
      <c r="K394" s="64">
        <v>8376</v>
      </c>
      <c r="L394" s="65">
        <v>11019.44</v>
      </c>
      <c r="M394" s="65">
        <v>7656</v>
      </c>
      <c r="N394" s="66">
        <f t="shared" si="205"/>
        <v>37071.82</v>
      </c>
      <c r="O394" s="66">
        <f t="shared" si="205"/>
        <v>21012</v>
      </c>
      <c r="P394" s="69">
        <f t="shared" si="206"/>
        <v>12357.273333333333</v>
      </c>
      <c r="Q394" s="69">
        <f t="shared" si="206"/>
        <v>7004</v>
      </c>
      <c r="R394" s="294"/>
      <c r="S394" s="49"/>
      <c r="T394" s="49"/>
      <c r="U394" s="49"/>
      <c r="V394" s="49"/>
      <c r="W394" s="49"/>
      <c r="X394" s="49" t="s">
        <v>390</v>
      </c>
      <c r="Y394" s="49"/>
      <c r="Z394" s="66">
        <v>8000</v>
      </c>
      <c r="AA394" s="280"/>
      <c r="AB394" s="66">
        <v>7616</v>
      </c>
      <c r="AC394" s="66">
        <v>7616</v>
      </c>
      <c r="AD394" s="66">
        <v>7616</v>
      </c>
      <c r="AE394" s="66">
        <v>7616</v>
      </c>
      <c r="AF394" s="66">
        <v>7616</v>
      </c>
      <c r="AG394" s="66">
        <v>7616</v>
      </c>
      <c r="AH394" s="66">
        <v>7616</v>
      </c>
      <c r="AI394" s="66">
        <v>7616</v>
      </c>
      <c r="AJ394" s="66">
        <v>7616</v>
      </c>
      <c r="AK394" s="66">
        <v>7616</v>
      </c>
      <c r="AL394" s="299"/>
      <c r="AM394" s="66">
        <v>7616</v>
      </c>
      <c r="AN394" s="173"/>
    </row>
    <row r="395" spans="1:40" x14ac:dyDescent="0.35">
      <c r="A395" s="66"/>
      <c r="B395" s="66"/>
      <c r="C395" s="49"/>
      <c r="D395" s="49"/>
      <c r="E395" s="49"/>
      <c r="F395" s="49" t="s">
        <v>391</v>
      </c>
      <c r="G395" s="49"/>
      <c r="H395" s="63">
        <v>3000</v>
      </c>
      <c r="I395" s="63">
        <v>3000</v>
      </c>
      <c r="J395" s="64">
        <v>2915</v>
      </c>
      <c r="K395" s="64">
        <v>3000</v>
      </c>
      <c r="L395" s="65">
        <v>3060</v>
      </c>
      <c r="M395" s="65">
        <v>3000</v>
      </c>
      <c r="N395" s="66">
        <f t="shared" ref="N395:O402" si="207">ROUND(H395+J395+L395,5)</f>
        <v>8975</v>
      </c>
      <c r="O395" s="66">
        <f t="shared" si="207"/>
        <v>9000</v>
      </c>
      <c r="P395" s="69">
        <f t="shared" si="206"/>
        <v>2991.6666666666665</v>
      </c>
      <c r="Q395" s="69">
        <f t="shared" si="206"/>
        <v>3000</v>
      </c>
      <c r="R395" s="294"/>
      <c r="S395" s="49"/>
      <c r="T395" s="49"/>
      <c r="U395" s="49"/>
      <c r="V395" s="49"/>
      <c r="W395" s="49"/>
      <c r="X395" s="49" t="s">
        <v>391</v>
      </c>
      <c r="Y395" s="49"/>
      <c r="Z395" s="66">
        <v>3000</v>
      </c>
      <c r="AA395" s="280"/>
      <c r="AB395" s="66">
        <v>3000</v>
      </c>
      <c r="AC395" s="66">
        <v>3000</v>
      </c>
      <c r="AD395" s="66">
        <v>3000</v>
      </c>
      <c r="AE395" s="66">
        <v>3000</v>
      </c>
      <c r="AF395" s="66">
        <v>3000</v>
      </c>
      <c r="AG395" s="66">
        <v>3000</v>
      </c>
      <c r="AH395" s="66">
        <v>3000</v>
      </c>
      <c r="AI395" s="66">
        <v>3000</v>
      </c>
      <c r="AJ395" s="66">
        <v>3000</v>
      </c>
      <c r="AK395" s="66">
        <v>3000</v>
      </c>
      <c r="AL395" s="299"/>
      <c r="AM395" s="66">
        <v>3000</v>
      </c>
      <c r="AN395" s="173"/>
    </row>
    <row r="396" spans="1:40" x14ac:dyDescent="0.35">
      <c r="A396" s="66"/>
      <c r="B396" s="66"/>
      <c r="C396" s="49"/>
      <c r="D396" s="49"/>
      <c r="E396" s="49"/>
      <c r="F396" s="49" t="s">
        <v>392</v>
      </c>
      <c r="G396" s="49"/>
      <c r="H396" s="63">
        <v>47409.599999999999</v>
      </c>
      <c r="I396" s="63">
        <v>10000</v>
      </c>
      <c r="J396" s="64">
        <v>5180</v>
      </c>
      <c r="K396" s="64">
        <v>10000</v>
      </c>
      <c r="L396" s="65">
        <v>0</v>
      </c>
      <c r="M396" s="65">
        <v>10000</v>
      </c>
      <c r="N396" s="66">
        <f t="shared" si="207"/>
        <v>52589.599999999999</v>
      </c>
      <c r="O396" s="66">
        <f t="shared" si="207"/>
        <v>30000</v>
      </c>
      <c r="P396" s="69">
        <f t="shared" si="206"/>
        <v>17529.866666666665</v>
      </c>
      <c r="Q396" s="69">
        <f t="shared" si="206"/>
        <v>10000</v>
      </c>
      <c r="R396" s="294"/>
      <c r="S396" s="49"/>
      <c r="T396" s="49"/>
      <c r="U396" s="49"/>
      <c r="V396" s="49"/>
      <c r="W396" s="49"/>
      <c r="X396" s="49" t="s">
        <v>392</v>
      </c>
      <c r="Y396" s="49"/>
      <c r="Z396" s="66">
        <v>10000</v>
      </c>
      <c r="AA396" s="280"/>
      <c r="AB396" s="66">
        <v>10000</v>
      </c>
      <c r="AC396" s="66">
        <v>10000</v>
      </c>
      <c r="AD396" s="66">
        <v>10000</v>
      </c>
      <c r="AE396" s="66">
        <v>10000</v>
      </c>
      <c r="AF396" s="66">
        <v>10000</v>
      </c>
      <c r="AG396" s="66">
        <v>10000</v>
      </c>
      <c r="AH396" s="66">
        <v>10000</v>
      </c>
      <c r="AI396" s="66">
        <v>10000</v>
      </c>
      <c r="AJ396" s="66">
        <v>10000</v>
      </c>
      <c r="AK396" s="66">
        <v>10000</v>
      </c>
      <c r="AL396" s="299"/>
      <c r="AM396" s="66">
        <v>10000</v>
      </c>
      <c r="AN396" s="173"/>
    </row>
    <row r="397" spans="1:40" x14ac:dyDescent="0.35">
      <c r="A397" s="66"/>
      <c r="B397" s="66"/>
      <c r="C397" s="49"/>
      <c r="D397" s="49"/>
      <c r="E397" s="49"/>
      <c r="F397" s="49" t="s">
        <v>393</v>
      </c>
      <c r="G397" s="49"/>
      <c r="H397" s="63">
        <v>1532.56</v>
      </c>
      <c r="I397" s="63">
        <v>5000</v>
      </c>
      <c r="J397" s="64">
        <v>2733.55</v>
      </c>
      <c r="K397" s="64">
        <v>8000</v>
      </c>
      <c r="L397" s="65">
        <v>3254.9</v>
      </c>
      <c r="M397" s="65">
        <v>20000</v>
      </c>
      <c r="N397" s="66">
        <f t="shared" si="207"/>
        <v>7521.01</v>
      </c>
      <c r="O397" s="66">
        <f t="shared" si="207"/>
        <v>33000</v>
      </c>
      <c r="P397" s="69">
        <f t="shared" si="206"/>
        <v>2507.0033333333336</v>
      </c>
      <c r="Q397" s="69">
        <f t="shared" si="206"/>
        <v>11000</v>
      </c>
      <c r="R397" s="294"/>
      <c r="S397" s="49"/>
      <c r="T397" s="49"/>
      <c r="U397" s="49"/>
      <c r="V397" s="49"/>
      <c r="W397" s="49"/>
      <c r="X397" s="49" t="s">
        <v>393</v>
      </c>
      <c r="Y397" s="49"/>
      <c r="Z397" s="66">
        <v>10000</v>
      </c>
      <c r="AA397" s="280"/>
      <c r="AB397" s="66">
        <v>10000</v>
      </c>
      <c r="AC397" s="66">
        <v>10000</v>
      </c>
      <c r="AD397" s="66">
        <v>10000</v>
      </c>
      <c r="AE397" s="66">
        <v>10000</v>
      </c>
      <c r="AF397" s="66">
        <v>10000</v>
      </c>
      <c r="AG397" s="66">
        <v>10000</v>
      </c>
      <c r="AH397" s="66">
        <v>10000</v>
      </c>
      <c r="AI397" s="66">
        <v>10000</v>
      </c>
      <c r="AJ397" s="66">
        <v>10000</v>
      </c>
      <c r="AK397" s="66">
        <v>10000</v>
      </c>
      <c r="AL397" s="299"/>
      <c r="AM397" s="66">
        <v>10000</v>
      </c>
      <c r="AN397" s="173"/>
    </row>
    <row r="398" spans="1:40" x14ac:dyDescent="0.35">
      <c r="A398" s="66"/>
      <c r="B398" s="66"/>
      <c r="C398" s="49"/>
      <c r="D398" s="49"/>
      <c r="E398" s="49"/>
      <c r="F398" s="49" t="s">
        <v>394</v>
      </c>
      <c r="G398" s="49"/>
      <c r="H398" s="63">
        <v>0</v>
      </c>
      <c r="I398" s="63">
        <v>600</v>
      </c>
      <c r="J398" s="64">
        <v>0</v>
      </c>
      <c r="K398" s="64">
        <v>0</v>
      </c>
      <c r="L398" s="65">
        <v>0</v>
      </c>
      <c r="M398" s="65">
        <v>0</v>
      </c>
      <c r="N398" s="66">
        <f t="shared" si="207"/>
        <v>0</v>
      </c>
      <c r="O398" s="66">
        <f t="shared" si="207"/>
        <v>600</v>
      </c>
      <c r="P398" s="69">
        <f t="shared" si="206"/>
        <v>0</v>
      </c>
      <c r="Q398" s="69">
        <f t="shared" si="206"/>
        <v>200</v>
      </c>
      <c r="R398" s="294"/>
      <c r="S398" s="49"/>
      <c r="T398" s="49"/>
      <c r="U398" s="49"/>
      <c r="V398" s="49"/>
      <c r="W398" s="49"/>
      <c r="X398" s="49" t="s">
        <v>394</v>
      </c>
      <c r="Y398" s="49"/>
      <c r="Z398" s="66">
        <v>0</v>
      </c>
      <c r="AA398" s="280"/>
      <c r="AB398" s="66">
        <v>0</v>
      </c>
      <c r="AC398" s="66">
        <v>0</v>
      </c>
      <c r="AD398" s="66">
        <v>0</v>
      </c>
      <c r="AE398" s="66">
        <v>0</v>
      </c>
      <c r="AF398" s="66">
        <v>0</v>
      </c>
      <c r="AG398" s="66">
        <v>0</v>
      </c>
      <c r="AH398" s="66">
        <v>0</v>
      </c>
      <c r="AI398" s="66">
        <v>0</v>
      </c>
      <c r="AJ398" s="66">
        <v>0</v>
      </c>
      <c r="AK398" s="66">
        <v>0</v>
      </c>
      <c r="AL398" s="299"/>
      <c r="AM398" s="66">
        <v>0</v>
      </c>
      <c r="AN398" s="173"/>
    </row>
    <row r="399" spans="1:40" x14ac:dyDescent="0.35">
      <c r="A399" s="66"/>
      <c r="B399" s="66"/>
      <c r="C399" s="49"/>
      <c r="D399" s="49"/>
      <c r="E399" s="49"/>
      <c r="F399" s="49" t="s">
        <v>395</v>
      </c>
      <c r="G399" s="49"/>
      <c r="H399" s="63">
        <v>0</v>
      </c>
      <c r="I399" s="63">
        <v>2000</v>
      </c>
      <c r="J399" s="64">
        <v>0</v>
      </c>
      <c r="K399" s="64">
        <v>0</v>
      </c>
      <c r="L399" s="65">
        <v>0</v>
      </c>
      <c r="M399" s="65">
        <v>0</v>
      </c>
      <c r="N399" s="66">
        <f t="shared" si="207"/>
        <v>0</v>
      </c>
      <c r="O399" s="66">
        <f t="shared" si="207"/>
        <v>2000</v>
      </c>
      <c r="P399" s="69">
        <f t="shared" si="206"/>
        <v>0</v>
      </c>
      <c r="Q399" s="69">
        <f t="shared" si="206"/>
        <v>666.66666666666663</v>
      </c>
      <c r="R399" s="294"/>
      <c r="S399" s="49"/>
      <c r="T399" s="49"/>
      <c r="U399" s="49"/>
      <c r="V399" s="49"/>
      <c r="W399" s="49"/>
      <c r="X399" s="49" t="s">
        <v>395</v>
      </c>
      <c r="Y399" s="49"/>
      <c r="Z399" s="66">
        <v>0</v>
      </c>
      <c r="AA399" s="280"/>
      <c r="AB399" s="66">
        <v>0</v>
      </c>
      <c r="AC399" s="66">
        <v>0</v>
      </c>
      <c r="AD399" s="66">
        <v>0</v>
      </c>
      <c r="AE399" s="66">
        <v>0</v>
      </c>
      <c r="AF399" s="66">
        <v>0</v>
      </c>
      <c r="AG399" s="66">
        <v>3000</v>
      </c>
      <c r="AH399" s="66">
        <v>3000</v>
      </c>
      <c r="AI399" s="66">
        <v>3000</v>
      </c>
      <c r="AJ399" s="66">
        <v>3000</v>
      </c>
      <c r="AK399" s="66">
        <v>20000</v>
      </c>
      <c r="AL399" s="299"/>
      <c r="AM399" s="66">
        <v>20000</v>
      </c>
      <c r="AN399" s="173"/>
    </row>
    <row r="400" spans="1:40" x14ac:dyDescent="0.35">
      <c r="A400" s="66"/>
      <c r="B400" s="66"/>
      <c r="C400" s="49"/>
      <c r="D400" s="49"/>
      <c r="E400" s="49"/>
      <c r="F400" s="49" t="s">
        <v>396</v>
      </c>
      <c r="G400" s="49"/>
      <c r="H400" s="63">
        <v>6782.43</v>
      </c>
      <c r="I400" s="63">
        <v>3000</v>
      </c>
      <c r="J400" s="64">
        <v>5618.99</v>
      </c>
      <c r="K400" s="64">
        <v>5000</v>
      </c>
      <c r="L400" s="65">
        <v>5185.5</v>
      </c>
      <c r="M400" s="65">
        <v>6000</v>
      </c>
      <c r="N400" s="66">
        <f t="shared" si="207"/>
        <v>17586.919999999998</v>
      </c>
      <c r="O400" s="66">
        <f t="shared" si="207"/>
        <v>14000</v>
      </c>
      <c r="P400" s="69">
        <f t="shared" si="206"/>
        <v>5862.3066666666664</v>
      </c>
      <c r="Q400" s="69">
        <f t="shared" si="206"/>
        <v>4666.666666666667</v>
      </c>
      <c r="R400" s="294"/>
      <c r="S400" s="49"/>
      <c r="T400" s="49"/>
      <c r="U400" s="49"/>
      <c r="V400" s="49"/>
      <c r="W400" s="49"/>
      <c r="X400" s="49" t="s">
        <v>396</v>
      </c>
      <c r="Y400" s="49"/>
      <c r="Z400" s="66">
        <v>5000</v>
      </c>
      <c r="AA400" s="280"/>
      <c r="AB400" s="66">
        <v>5000</v>
      </c>
      <c r="AC400" s="66">
        <v>5000</v>
      </c>
      <c r="AD400" s="66">
        <v>5000</v>
      </c>
      <c r="AE400" s="66">
        <v>5000</v>
      </c>
      <c r="AF400" s="66">
        <v>5000</v>
      </c>
      <c r="AG400" s="66">
        <v>5000</v>
      </c>
      <c r="AH400" s="66">
        <v>5000</v>
      </c>
      <c r="AI400" s="66">
        <v>5000</v>
      </c>
      <c r="AJ400" s="66">
        <v>5000</v>
      </c>
      <c r="AK400" s="66">
        <v>5000</v>
      </c>
      <c r="AL400" s="299"/>
      <c r="AM400" s="66">
        <v>5000</v>
      </c>
      <c r="AN400" s="173"/>
    </row>
    <row r="401" spans="1:40" x14ac:dyDescent="0.35">
      <c r="A401" s="66"/>
      <c r="B401" s="66"/>
      <c r="C401" s="49"/>
      <c r="D401" s="49"/>
      <c r="E401" s="49"/>
      <c r="F401" s="49" t="s">
        <v>397</v>
      </c>
      <c r="G401" s="49"/>
      <c r="H401" s="63">
        <v>101723.2</v>
      </c>
      <c r="I401" s="63">
        <v>68100</v>
      </c>
      <c r="J401" s="64">
        <v>108373.2</v>
      </c>
      <c r="K401" s="64">
        <v>106730</v>
      </c>
      <c r="L401" s="65">
        <v>53778.16</v>
      </c>
      <c r="M401" s="65">
        <v>63850</v>
      </c>
      <c r="N401" s="66">
        <f t="shared" si="207"/>
        <v>263874.56</v>
      </c>
      <c r="O401" s="66">
        <f t="shared" si="207"/>
        <v>238680</v>
      </c>
      <c r="P401" s="69">
        <f t="shared" si="206"/>
        <v>87958.186666666661</v>
      </c>
      <c r="Q401" s="69">
        <f t="shared" si="206"/>
        <v>79560</v>
      </c>
      <c r="R401" s="294"/>
      <c r="S401" s="49"/>
      <c r="T401" s="49"/>
      <c r="U401" s="49"/>
      <c r="V401" s="49"/>
      <c r="W401" s="49"/>
      <c r="X401" s="49" t="s">
        <v>397</v>
      </c>
      <c r="Y401" s="49"/>
      <c r="Z401" s="66">
        <v>56000</v>
      </c>
      <c r="AA401" s="280"/>
      <c r="AB401" s="66">
        <f>16000+38080</f>
        <v>54080</v>
      </c>
      <c r="AC401" s="66">
        <f>16000+38080</f>
        <v>54080</v>
      </c>
      <c r="AD401" s="66">
        <f>16000+38080</f>
        <v>54080</v>
      </c>
      <c r="AE401" s="66">
        <f>16000+38080</f>
        <v>54080</v>
      </c>
      <c r="AF401" s="66">
        <v>73120</v>
      </c>
      <c r="AG401" s="66">
        <v>73120</v>
      </c>
      <c r="AH401" s="66">
        <v>73120</v>
      </c>
      <c r="AI401" s="66">
        <v>73120</v>
      </c>
      <c r="AJ401" s="66">
        <v>73120</v>
      </c>
      <c r="AK401" s="66">
        <v>73120</v>
      </c>
      <c r="AL401" s="299"/>
      <c r="AM401" s="66">
        <v>73120</v>
      </c>
      <c r="AN401" s="173"/>
    </row>
    <row r="402" spans="1:40" ht="29" x14ac:dyDescent="0.35">
      <c r="A402" s="66"/>
      <c r="B402" s="66"/>
      <c r="C402" s="49"/>
      <c r="D402" s="49"/>
      <c r="E402" s="49"/>
      <c r="F402" s="49" t="s">
        <v>398</v>
      </c>
      <c r="G402" s="49"/>
      <c r="H402" s="63">
        <v>10596.81</v>
      </c>
      <c r="I402" s="63">
        <v>10000</v>
      </c>
      <c r="J402" s="64">
        <v>7499.41</v>
      </c>
      <c r="K402" s="64">
        <v>10000</v>
      </c>
      <c r="L402" s="65">
        <v>22536.92</v>
      </c>
      <c r="M402" s="65">
        <v>10000</v>
      </c>
      <c r="N402" s="66">
        <f t="shared" si="207"/>
        <v>40633.14</v>
      </c>
      <c r="O402" s="66">
        <f t="shared" si="207"/>
        <v>30000</v>
      </c>
      <c r="P402" s="69">
        <f t="shared" si="206"/>
        <v>13544.38</v>
      </c>
      <c r="Q402" s="69">
        <f t="shared" si="206"/>
        <v>10000</v>
      </c>
      <c r="R402" s="294"/>
      <c r="S402" s="49"/>
      <c r="T402" s="49"/>
      <c r="U402" s="49"/>
      <c r="V402" s="49"/>
      <c r="W402" s="49"/>
      <c r="X402" s="49" t="s">
        <v>398</v>
      </c>
      <c r="Y402" s="49"/>
      <c r="Z402" s="66">
        <v>10000</v>
      </c>
      <c r="AA402" s="280"/>
      <c r="AB402" s="66">
        <v>10000</v>
      </c>
      <c r="AC402" s="66">
        <v>10000</v>
      </c>
      <c r="AD402" s="66">
        <v>10000</v>
      </c>
      <c r="AE402" s="66">
        <v>10000</v>
      </c>
      <c r="AF402" s="66">
        <f>-82882.1+10000</f>
        <v>-72882.100000000006</v>
      </c>
      <c r="AG402" s="66">
        <f>ROUND(-82882.1+10000-1000, 0)</f>
        <v>-73882</v>
      </c>
      <c r="AH402" s="66">
        <f>ROUND(-82882.1+10000-1000, 0)</f>
        <v>-73882</v>
      </c>
      <c r="AI402" s="66">
        <f>ROUND(-82882.1+10000-1000, 0)</f>
        <v>-73882</v>
      </c>
      <c r="AJ402" s="66">
        <f>ROUND(-82882.1+10000-1000, 0)</f>
        <v>-73882</v>
      </c>
      <c r="AK402" s="66">
        <f>ROUND(-82882.1+10000-1000, 0)</f>
        <v>-73882</v>
      </c>
      <c r="AL402" s="299"/>
      <c r="AM402" s="66">
        <f>ROUND(-82882.1+10000-1000, 0)</f>
        <v>-73882</v>
      </c>
      <c r="AN402" s="227" t="s">
        <v>1023</v>
      </c>
    </row>
    <row r="403" spans="1:40" x14ac:dyDescent="0.35">
      <c r="A403" s="66"/>
      <c r="B403" s="66"/>
      <c r="C403" s="49"/>
      <c r="D403" s="49"/>
      <c r="E403" s="49"/>
      <c r="F403" s="49" t="s">
        <v>399</v>
      </c>
      <c r="G403" s="49"/>
      <c r="H403" s="63"/>
      <c r="I403" s="63"/>
      <c r="J403" s="64"/>
      <c r="K403" s="64"/>
      <c r="L403" s="65"/>
      <c r="M403" s="65"/>
      <c r="N403" s="66"/>
      <c r="O403" s="66"/>
      <c r="P403" s="69"/>
      <c r="Q403" s="69"/>
      <c r="R403" s="294"/>
      <c r="S403" s="49"/>
      <c r="T403" s="49"/>
      <c r="U403" s="49"/>
      <c r="V403" s="49"/>
      <c r="W403" s="49"/>
      <c r="X403" s="49" t="s">
        <v>399</v>
      </c>
      <c r="Y403" s="49"/>
      <c r="Z403" s="66">
        <v>7000</v>
      </c>
      <c r="AA403" s="280"/>
      <c r="AB403" s="66">
        <v>7000</v>
      </c>
      <c r="AC403" s="66">
        <v>7000</v>
      </c>
      <c r="AD403" s="66">
        <v>7000</v>
      </c>
      <c r="AE403" s="66">
        <v>7000</v>
      </c>
      <c r="AF403" s="66">
        <v>7000</v>
      </c>
      <c r="AG403" s="66">
        <v>7000</v>
      </c>
      <c r="AH403" s="66">
        <v>7000</v>
      </c>
      <c r="AI403" s="66">
        <v>7000</v>
      </c>
      <c r="AJ403" s="66">
        <v>7000</v>
      </c>
      <c r="AK403" s="66">
        <v>7000</v>
      </c>
      <c r="AL403" s="299"/>
      <c r="AM403" s="66">
        <v>7000</v>
      </c>
      <c r="AN403" s="173"/>
    </row>
    <row r="404" spans="1:40" ht="16" thickBot="1" x14ac:dyDescent="0.4">
      <c r="A404" s="66"/>
      <c r="B404" s="66"/>
      <c r="C404" s="49"/>
      <c r="D404" s="49"/>
      <c r="E404" s="49"/>
      <c r="F404" s="49"/>
      <c r="G404" s="49" t="s">
        <v>400</v>
      </c>
      <c r="H404" s="70">
        <v>4300</v>
      </c>
      <c r="I404" s="70">
        <v>5000</v>
      </c>
      <c r="J404" s="71">
        <v>13564.7</v>
      </c>
      <c r="K404" s="71">
        <v>5000</v>
      </c>
      <c r="L404" s="72">
        <v>3000</v>
      </c>
      <c r="M404" s="72">
        <v>6000</v>
      </c>
      <c r="N404" s="73">
        <f>ROUND(H404+J404+L404,5)</f>
        <v>20864.7</v>
      </c>
      <c r="O404" s="73">
        <f>ROUND(I404+K404+M404,5)</f>
        <v>16000</v>
      </c>
      <c r="P404" s="74">
        <f t="shared" si="206"/>
        <v>6954.9000000000005</v>
      </c>
      <c r="Q404" s="74">
        <f t="shared" si="206"/>
        <v>5333.333333333333</v>
      </c>
      <c r="R404" s="294"/>
      <c r="S404" s="49"/>
      <c r="T404" s="49"/>
      <c r="U404" s="49"/>
      <c r="V404" s="49"/>
      <c r="W404" s="49"/>
      <c r="X404" s="49" t="s">
        <v>402</v>
      </c>
      <c r="Y404" s="49"/>
      <c r="Z404" s="66">
        <v>0</v>
      </c>
      <c r="AA404" s="280"/>
      <c r="AB404" s="66">
        <v>0</v>
      </c>
      <c r="AC404" s="66">
        <v>0</v>
      </c>
      <c r="AD404" s="66">
        <v>0</v>
      </c>
      <c r="AE404" s="66">
        <v>0</v>
      </c>
      <c r="AF404" s="66">
        <v>0</v>
      </c>
      <c r="AG404" s="66">
        <v>0</v>
      </c>
      <c r="AH404" s="66">
        <v>0</v>
      </c>
      <c r="AI404" s="66">
        <v>0</v>
      </c>
      <c r="AJ404" s="66">
        <v>0</v>
      </c>
      <c r="AK404" s="66">
        <v>0</v>
      </c>
      <c r="AL404" s="299"/>
      <c r="AM404" s="66">
        <v>0</v>
      </c>
      <c r="AN404" s="173"/>
    </row>
    <row r="405" spans="1:40" x14ac:dyDescent="0.35">
      <c r="A405" s="66"/>
      <c r="B405" s="66"/>
      <c r="C405" s="49"/>
      <c r="D405" s="49"/>
      <c r="E405" s="49"/>
      <c r="F405" s="49" t="s">
        <v>401</v>
      </c>
      <c r="G405" s="49"/>
      <c r="H405" s="63">
        <f t="shared" ref="H405:M405" si="208">ROUND(SUM(H403:H404),5)</f>
        <v>4300</v>
      </c>
      <c r="I405" s="63">
        <f t="shared" si="208"/>
        <v>5000</v>
      </c>
      <c r="J405" s="64">
        <f t="shared" si="208"/>
        <v>13564.7</v>
      </c>
      <c r="K405" s="64">
        <f t="shared" si="208"/>
        <v>5000</v>
      </c>
      <c r="L405" s="65">
        <f t="shared" si="208"/>
        <v>3000</v>
      </c>
      <c r="M405" s="65">
        <f t="shared" si="208"/>
        <v>6000</v>
      </c>
      <c r="N405" s="66">
        <f>ROUND(H405+J405+L405,5)</f>
        <v>20864.7</v>
      </c>
      <c r="O405" s="66">
        <f>ROUND(I405+K405+M405,5)</f>
        <v>16000</v>
      </c>
      <c r="P405" s="69">
        <f t="shared" si="206"/>
        <v>6954.9000000000005</v>
      </c>
      <c r="Q405" s="69">
        <f t="shared" si="206"/>
        <v>5333.333333333333</v>
      </c>
      <c r="R405" s="294"/>
      <c r="S405" s="49"/>
      <c r="T405" s="49"/>
      <c r="U405" s="49"/>
      <c r="V405" s="49"/>
      <c r="W405" s="49"/>
      <c r="X405" s="49"/>
      <c r="Y405" s="49"/>
      <c r="Z405" s="66"/>
      <c r="AA405" s="280"/>
      <c r="AB405" s="66"/>
      <c r="AC405" s="66"/>
      <c r="AD405" s="66"/>
      <c r="AE405" s="66"/>
      <c r="AF405" s="66"/>
      <c r="AG405" s="66"/>
      <c r="AH405" s="66"/>
      <c r="AI405" s="66"/>
      <c r="AJ405" s="66"/>
      <c r="AK405" s="66"/>
      <c r="AL405" s="299"/>
      <c r="AM405" s="66"/>
      <c r="AN405" s="173"/>
    </row>
    <row r="406" spans="1:40" x14ac:dyDescent="0.35">
      <c r="A406" s="66"/>
      <c r="B406" s="66"/>
      <c r="C406" s="49"/>
      <c r="D406" s="49"/>
      <c r="E406" s="49"/>
      <c r="F406" s="49" t="s">
        <v>402</v>
      </c>
      <c r="G406" s="49"/>
      <c r="H406" s="63">
        <v>0</v>
      </c>
      <c r="I406" s="63"/>
      <c r="J406" s="64">
        <v>77013.41</v>
      </c>
      <c r="K406" s="64"/>
      <c r="L406" s="65">
        <v>28774.61</v>
      </c>
      <c r="M406" s="65"/>
      <c r="N406" s="66">
        <f t="shared" ref="N406:O423" si="209">ROUND(H406+J406+L406,5)</f>
        <v>105788.02</v>
      </c>
      <c r="O406" s="66"/>
      <c r="P406" s="69">
        <f t="shared" si="206"/>
        <v>35262.673333333332</v>
      </c>
      <c r="Q406" s="69">
        <f t="shared" si="206"/>
        <v>0</v>
      </c>
      <c r="R406" s="294"/>
      <c r="S406" s="49"/>
      <c r="T406" s="49"/>
      <c r="U406" s="49"/>
      <c r="V406" s="49"/>
      <c r="W406" s="49"/>
      <c r="X406" s="49"/>
      <c r="Y406" s="49"/>
      <c r="Z406" s="66"/>
      <c r="AA406" s="280"/>
      <c r="AB406" s="66"/>
      <c r="AC406" s="66"/>
      <c r="AD406" s="66"/>
      <c r="AE406" s="66"/>
      <c r="AF406" s="66"/>
      <c r="AG406" s="66"/>
      <c r="AH406" s="66"/>
      <c r="AI406" s="66"/>
      <c r="AJ406" s="66"/>
      <c r="AK406" s="66"/>
      <c r="AL406" s="299"/>
      <c r="AM406" s="66"/>
      <c r="AN406" s="173"/>
    </row>
    <row r="407" spans="1:40" x14ac:dyDescent="0.35">
      <c r="A407" s="66"/>
      <c r="B407" s="66"/>
      <c r="C407" s="49"/>
      <c r="D407" s="49"/>
      <c r="E407" s="49"/>
      <c r="F407" s="49" t="s">
        <v>403</v>
      </c>
      <c r="G407" s="49"/>
      <c r="H407" s="63">
        <v>6126.17</v>
      </c>
      <c r="I407" s="63">
        <v>2500</v>
      </c>
      <c r="J407" s="64">
        <v>4846.4799999999996</v>
      </c>
      <c r="K407" s="64">
        <v>6000</v>
      </c>
      <c r="L407" s="65">
        <v>16916.14</v>
      </c>
      <c r="M407" s="65">
        <v>6000</v>
      </c>
      <c r="N407" s="66">
        <f t="shared" si="209"/>
        <v>27888.79</v>
      </c>
      <c r="O407" s="66">
        <f t="shared" si="209"/>
        <v>14500</v>
      </c>
      <c r="P407" s="69">
        <f t="shared" si="206"/>
        <v>9296.2633333333342</v>
      </c>
      <c r="Q407" s="69">
        <f t="shared" si="206"/>
        <v>4833.333333333333</v>
      </c>
      <c r="R407" s="294"/>
      <c r="S407" s="49"/>
      <c r="T407" s="49"/>
      <c r="U407" s="49"/>
      <c r="V407" s="49"/>
      <c r="W407" s="49"/>
      <c r="X407" s="49" t="s">
        <v>403</v>
      </c>
      <c r="Y407" s="49"/>
      <c r="Z407" s="66">
        <v>6000</v>
      </c>
      <c r="AA407" s="280"/>
      <c r="AB407" s="66">
        <v>6000</v>
      </c>
      <c r="AC407" s="66">
        <v>6000</v>
      </c>
      <c r="AD407" s="66">
        <v>6000</v>
      </c>
      <c r="AE407" s="66">
        <v>6000</v>
      </c>
      <c r="AF407" s="66">
        <v>6000</v>
      </c>
      <c r="AG407" s="66">
        <v>6000</v>
      </c>
      <c r="AH407" s="66">
        <v>6000</v>
      </c>
      <c r="AI407" s="66">
        <v>6000</v>
      </c>
      <c r="AJ407" s="66">
        <v>6000</v>
      </c>
      <c r="AK407" s="66">
        <v>6000</v>
      </c>
      <c r="AL407" s="299"/>
      <c r="AM407" s="66">
        <v>6000</v>
      </c>
      <c r="AN407" s="173"/>
    </row>
    <row r="408" spans="1:40" x14ac:dyDescent="0.35">
      <c r="A408" s="66"/>
      <c r="B408" s="66"/>
      <c r="C408" s="49"/>
      <c r="D408" s="49"/>
      <c r="E408" s="49"/>
      <c r="F408" s="49" t="s">
        <v>404</v>
      </c>
      <c r="G408" s="49"/>
      <c r="H408" s="63">
        <v>1132.17</v>
      </c>
      <c r="I408" s="63">
        <v>1000</v>
      </c>
      <c r="J408" s="64">
        <v>821.16</v>
      </c>
      <c r="K408" s="64">
        <v>2000</v>
      </c>
      <c r="L408" s="65">
        <v>0</v>
      </c>
      <c r="M408" s="65">
        <v>3000</v>
      </c>
      <c r="N408" s="66">
        <f t="shared" si="209"/>
        <v>1953.33</v>
      </c>
      <c r="O408" s="66">
        <f t="shared" si="209"/>
        <v>6000</v>
      </c>
      <c r="P408" s="69">
        <f t="shared" si="206"/>
        <v>651.11</v>
      </c>
      <c r="Q408" s="69">
        <f t="shared" si="206"/>
        <v>2000</v>
      </c>
      <c r="R408" s="294"/>
      <c r="S408" s="49"/>
      <c r="T408" s="49"/>
      <c r="U408" s="49"/>
      <c r="V408" s="49"/>
      <c r="W408" s="49"/>
      <c r="X408" s="49" t="s">
        <v>404</v>
      </c>
      <c r="Y408" s="49"/>
      <c r="Z408" s="66">
        <v>2000</v>
      </c>
      <c r="AA408" s="280"/>
      <c r="AB408" s="66">
        <v>2000</v>
      </c>
      <c r="AC408" s="66">
        <v>2000</v>
      </c>
      <c r="AD408" s="66">
        <v>2000</v>
      </c>
      <c r="AE408" s="66">
        <v>2000</v>
      </c>
      <c r="AF408" s="66">
        <v>2000</v>
      </c>
      <c r="AG408" s="66">
        <v>2000</v>
      </c>
      <c r="AH408" s="66">
        <v>2000</v>
      </c>
      <c r="AI408" s="66">
        <v>2000</v>
      </c>
      <c r="AJ408" s="66">
        <v>2000</v>
      </c>
      <c r="AK408" s="66">
        <v>2000</v>
      </c>
      <c r="AL408" s="299"/>
      <c r="AM408" s="66">
        <v>2000</v>
      </c>
      <c r="AN408" s="173"/>
    </row>
    <row r="409" spans="1:40" x14ac:dyDescent="0.35">
      <c r="A409" s="66"/>
      <c r="B409" s="66"/>
      <c r="C409" s="49"/>
      <c r="D409" s="49"/>
      <c r="E409" s="49"/>
      <c r="F409" s="49" t="s">
        <v>405</v>
      </c>
      <c r="G409" s="49"/>
      <c r="H409" s="63">
        <v>9800</v>
      </c>
      <c r="I409" s="63">
        <v>14375</v>
      </c>
      <c r="J409" s="64">
        <v>11825</v>
      </c>
      <c r="K409" s="64">
        <v>16875</v>
      </c>
      <c r="L409" s="65">
        <v>8700</v>
      </c>
      <c r="M409" s="65">
        <v>16875</v>
      </c>
      <c r="N409" s="66">
        <f t="shared" si="209"/>
        <v>30325</v>
      </c>
      <c r="O409" s="66">
        <f t="shared" si="209"/>
        <v>48125</v>
      </c>
      <c r="P409" s="69">
        <f t="shared" si="206"/>
        <v>10108.333333333334</v>
      </c>
      <c r="Q409" s="69">
        <f t="shared" si="206"/>
        <v>16041.666666666666</v>
      </c>
      <c r="R409" s="294"/>
      <c r="S409" s="49"/>
      <c r="T409" s="49"/>
      <c r="U409" s="49"/>
      <c r="V409" s="49"/>
      <c r="W409" s="49"/>
      <c r="X409" s="49" t="s">
        <v>405</v>
      </c>
      <c r="Y409" s="49"/>
      <c r="Z409" s="66">
        <v>16875</v>
      </c>
      <c r="AA409" s="280"/>
      <c r="AB409" s="66">
        <v>16875</v>
      </c>
      <c r="AC409" s="66">
        <v>16875</v>
      </c>
      <c r="AD409" s="66">
        <v>16875</v>
      </c>
      <c r="AE409" s="66">
        <v>16875</v>
      </c>
      <c r="AF409" s="66">
        <v>10125</v>
      </c>
      <c r="AG409" s="66">
        <v>10125</v>
      </c>
      <c r="AH409" s="66">
        <v>10125</v>
      </c>
      <c r="AI409" s="66">
        <v>10125</v>
      </c>
      <c r="AJ409" s="66">
        <v>10125</v>
      </c>
      <c r="AK409" s="66">
        <v>10125</v>
      </c>
      <c r="AL409" s="299"/>
      <c r="AM409" s="66">
        <v>10125</v>
      </c>
    </row>
    <row r="410" spans="1:40" x14ac:dyDescent="0.35">
      <c r="A410" s="66"/>
      <c r="B410" s="66"/>
      <c r="C410" s="49"/>
      <c r="D410" s="49"/>
      <c r="E410" s="49"/>
      <c r="F410" s="49" t="s">
        <v>406</v>
      </c>
      <c r="G410" s="49"/>
      <c r="H410" s="63">
        <v>8560.9</v>
      </c>
      <c r="I410" s="63">
        <v>8000</v>
      </c>
      <c r="J410" s="64">
        <v>9139.89</v>
      </c>
      <c r="K410" s="64">
        <v>10000</v>
      </c>
      <c r="L410" s="65">
        <v>10085.59</v>
      </c>
      <c r="M410" s="65">
        <v>10000</v>
      </c>
      <c r="N410" s="66">
        <f t="shared" si="209"/>
        <v>27786.38</v>
      </c>
      <c r="O410" s="66">
        <f t="shared" si="209"/>
        <v>28000</v>
      </c>
      <c r="P410" s="69">
        <f t="shared" si="206"/>
        <v>9262.126666666667</v>
      </c>
      <c r="Q410" s="69">
        <f t="shared" si="206"/>
        <v>9333.3333333333339</v>
      </c>
      <c r="R410" s="294"/>
      <c r="S410" s="49"/>
      <c r="T410" s="49"/>
      <c r="U410" s="49"/>
      <c r="V410" s="49"/>
      <c r="W410" s="49"/>
      <c r="X410" s="49" t="s">
        <v>406</v>
      </c>
      <c r="Y410" s="49"/>
      <c r="Z410" s="66">
        <v>10000</v>
      </c>
      <c r="AA410" s="280"/>
      <c r="AB410" s="66">
        <v>10000</v>
      </c>
      <c r="AC410" s="66">
        <v>10000</v>
      </c>
      <c r="AD410" s="66">
        <v>10000</v>
      </c>
      <c r="AE410" s="66">
        <v>10000</v>
      </c>
      <c r="AF410" s="66">
        <v>10000</v>
      </c>
      <c r="AG410" s="66">
        <v>10000</v>
      </c>
      <c r="AH410" s="66">
        <v>10000</v>
      </c>
      <c r="AI410" s="66">
        <v>10000</v>
      </c>
      <c r="AJ410" s="66">
        <v>10000</v>
      </c>
      <c r="AK410" s="66">
        <v>10000</v>
      </c>
      <c r="AL410" s="299"/>
      <c r="AM410" s="66">
        <v>20000</v>
      </c>
      <c r="AN410" s="227" t="s">
        <v>1036</v>
      </c>
    </row>
    <row r="411" spans="1:40" x14ac:dyDescent="0.35">
      <c r="A411" s="66"/>
      <c r="B411" s="66"/>
      <c r="C411" s="49"/>
      <c r="D411" s="49"/>
      <c r="E411" s="49"/>
      <c r="F411" s="49" t="s">
        <v>407</v>
      </c>
      <c r="G411" s="49"/>
      <c r="H411" s="63">
        <v>11184.32</v>
      </c>
      <c r="I411" s="63">
        <v>8000</v>
      </c>
      <c r="J411" s="64">
        <v>3937.61</v>
      </c>
      <c r="K411" s="64">
        <v>6000</v>
      </c>
      <c r="L411" s="65">
        <v>11312.91</v>
      </c>
      <c r="M411" s="65">
        <v>8000</v>
      </c>
      <c r="N411" s="66">
        <f t="shared" si="209"/>
        <v>26434.84</v>
      </c>
      <c r="O411" s="66">
        <f t="shared" si="209"/>
        <v>22000</v>
      </c>
      <c r="P411" s="69">
        <f t="shared" si="206"/>
        <v>8811.6133333333328</v>
      </c>
      <c r="Q411" s="69">
        <f t="shared" si="206"/>
        <v>7333.333333333333</v>
      </c>
      <c r="R411" s="294"/>
      <c r="S411" s="49"/>
      <c r="T411" s="49"/>
      <c r="U411" s="49"/>
      <c r="V411" s="49"/>
      <c r="W411" s="49"/>
      <c r="X411" s="49" t="s">
        <v>407</v>
      </c>
      <c r="Y411" s="49"/>
      <c r="Z411" s="66">
        <v>8000</v>
      </c>
      <c r="AA411" s="280"/>
      <c r="AB411" s="66">
        <v>8000</v>
      </c>
      <c r="AC411" s="66">
        <v>8000</v>
      </c>
      <c r="AD411" s="66">
        <v>8000</v>
      </c>
      <c r="AE411" s="66">
        <v>8000</v>
      </c>
      <c r="AF411" s="66">
        <v>8000</v>
      </c>
      <c r="AG411" s="66">
        <v>8000</v>
      </c>
      <c r="AH411" s="66">
        <v>8000</v>
      </c>
      <c r="AI411" s="66">
        <v>8000</v>
      </c>
      <c r="AJ411" s="66">
        <v>8000</v>
      </c>
      <c r="AK411" s="66">
        <v>8000</v>
      </c>
      <c r="AL411" s="299"/>
      <c r="AM411" s="66">
        <v>8000</v>
      </c>
      <c r="AN411" s="173"/>
    </row>
    <row r="412" spans="1:40" x14ac:dyDescent="0.35">
      <c r="A412" s="66"/>
      <c r="B412" s="66"/>
      <c r="C412" s="49"/>
      <c r="D412" s="49"/>
      <c r="E412" s="49"/>
      <c r="F412" s="49" t="s">
        <v>408</v>
      </c>
      <c r="G412" s="49"/>
      <c r="H412" s="63">
        <v>0</v>
      </c>
      <c r="I412" s="63">
        <v>1000</v>
      </c>
      <c r="J412" s="64">
        <v>0</v>
      </c>
      <c r="K412" s="64">
        <v>2000</v>
      </c>
      <c r="L412" s="65">
        <v>345.05</v>
      </c>
      <c r="M412" s="65">
        <v>2000</v>
      </c>
      <c r="N412" s="66">
        <f t="shared" si="209"/>
        <v>345.05</v>
      </c>
      <c r="O412" s="66">
        <f t="shared" si="209"/>
        <v>5000</v>
      </c>
      <c r="P412" s="69">
        <f t="shared" si="206"/>
        <v>115.01666666666667</v>
      </c>
      <c r="Q412" s="69">
        <f t="shared" si="206"/>
        <v>1666.6666666666667</v>
      </c>
      <c r="R412" s="294"/>
      <c r="S412" s="49"/>
      <c r="T412" s="49"/>
      <c r="U412" s="49"/>
      <c r="V412" s="49"/>
      <c r="W412" s="49"/>
      <c r="X412" s="49" t="s">
        <v>408</v>
      </c>
      <c r="Y412" s="49"/>
      <c r="Z412" s="66">
        <v>2000</v>
      </c>
      <c r="AA412" s="280"/>
      <c r="AB412" s="66">
        <v>2000</v>
      </c>
      <c r="AC412" s="66">
        <v>2000</v>
      </c>
      <c r="AD412" s="66">
        <v>2000</v>
      </c>
      <c r="AE412" s="66">
        <v>2000</v>
      </c>
      <c r="AF412" s="66">
        <v>2000</v>
      </c>
      <c r="AG412" s="66">
        <v>2000</v>
      </c>
      <c r="AH412" s="66">
        <v>2000</v>
      </c>
      <c r="AI412" s="66">
        <v>2000</v>
      </c>
      <c r="AJ412" s="66">
        <v>2000</v>
      </c>
      <c r="AK412" s="66">
        <v>2000</v>
      </c>
      <c r="AL412" s="299"/>
      <c r="AM412" s="66">
        <v>2000</v>
      </c>
      <c r="AN412" s="173"/>
    </row>
    <row r="413" spans="1:40" x14ac:dyDescent="0.35">
      <c r="A413" s="66"/>
      <c r="B413" s="66"/>
      <c r="C413" s="49"/>
      <c r="D413" s="49"/>
      <c r="E413" s="49"/>
      <c r="F413" s="49" t="s">
        <v>409</v>
      </c>
      <c r="G413" s="49"/>
      <c r="H413" s="63">
        <v>0</v>
      </c>
      <c r="I413" s="63">
        <v>0</v>
      </c>
      <c r="J413" s="64">
        <v>0</v>
      </c>
      <c r="K413" s="64">
        <v>0</v>
      </c>
      <c r="L413" s="65">
        <v>3188.14</v>
      </c>
      <c r="M413" s="65">
        <v>0</v>
      </c>
      <c r="N413" s="66">
        <f t="shared" si="209"/>
        <v>3188.14</v>
      </c>
      <c r="O413" s="66">
        <v>0</v>
      </c>
      <c r="P413" s="69">
        <f t="shared" si="206"/>
        <v>1062.7133333333334</v>
      </c>
      <c r="Q413" s="69">
        <f t="shared" si="206"/>
        <v>0</v>
      </c>
      <c r="R413" s="294"/>
      <c r="S413" s="49"/>
      <c r="T413" s="49"/>
      <c r="U413" s="49"/>
      <c r="V413" s="49"/>
      <c r="W413" s="49"/>
      <c r="X413" s="49" t="s">
        <v>409</v>
      </c>
      <c r="Y413" s="49"/>
      <c r="Z413" s="66">
        <v>0</v>
      </c>
      <c r="AA413" s="280"/>
      <c r="AB413" s="66">
        <v>0</v>
      </c>
      <c r="AC413" s="66">
        <v>0</v>
      </c>
      <c r="AD413" s="66">
        <v>0</v>
      </c>
      <c r="AE413" s="66">
        <v>0</v>
      </c>
      <c r="AF413" s="66">
        <v>0</v>
      </c>
      <c r="AG413" s="66">
        <v>0</v>
      </c>
      <c r="AH413" s="66">
        <v>0</v>
      </c>
      <c r="AI413" s="66">
        <v>0</v>
      </c>
      <c r="AJ413" s="66">
        <v>0</v>
      </c>
      <c r="AK413" s="66">
        <v>0</v>
      </c>
      <c r="AL413" s="299"/>
      <c r="AM413" s="66">
        <v>0</v>
      </c>
      <c r="AN413" s="173"/>
    </row>
    <row r="414" spans="1:40" x14ac:dyDescent="0.35">
      <c r="A414" s="66"/>
      <c r="B414" s="66"/>
      <c r="C414" s="49"/>
      <c r="D414" s="49"/>
      <c r="E414" s="49"/>
      <c r="F414" s="49" t="s">
        <v>410</v>
      </c>
      <c r="G414" s="49"/>
      <c r="H414" s="63">
        <v>3166.71</v>
      </c>
      <c r="I414" s="63">
        <v>8000</v>
      </c>
      <c r="J414" s="64">
        <v>1006.12</v>
      </c>
      <c r="K414" s="64">
        <v>2000</v>
      </c>
      <c r="L414" s="65">
        <v>11411.04</v>
      </c>
      <c r="M414" s="65">
        <v>10000</v>
      </c>
      <c r="N414" s="66">
        <f t="shared" si="209"/>
        <v>15583.87</v>
      </c>
      <c r="O414" s="66">
        <f t="shared" si="209"/>
        <v>20000</v>
      </c>
      <c r="P414" s="69">
        <f t="shared" si="206"/>
        <v>5194.6233333333339</v>
      </c>
      <c r="Q414" s="69">
        <f t="shared" si="206"/>
        <v>6666.666666666667</v>
      </c>
      <c r="R414" s="294"/>
      <c r="S414" s="49"/>
      <c r="T414" s="49"/>
      <c r="U414" s="49"/>
      <c r="V414" s="49"/>
      <c r="W414" s="49"/>
      <c r="X414" s="49" t="s">
        <v>410</v>
      </c>
      <c r="Y414" s="49"/>
      <c r="Z414" s="66">
        <v>5000</v>
      </c>
      <c r="AA414" s="280"/>
      <c r="AB414" s="66">
        <v>5000</v>
      </c>
      <c r="AC414" s="66">
        <v>5000</v>
      </c>
      <c r="AD414" s="66">
        <v>5000</v>
      </c>
      <c r="AE414" s="66">
        <v>5000</v>
      </c>
      <c r="AF414" s="66">
        <v>5000</v>
      </c>
      <c r="AG414" s="66">
        <v>5000</v>
      </c>
      <c r="AH414" s="66">
        <v>5000</v>
      </c>
      <c r="AI414" s="66">
        <v>5000</v>
      </c>
      <c r="AJ414" s="66">
        <v>5000</v>
      </c>
      <c r="AK414" s="66">
        <v>5000</v>
      </c>
      <c r="AL414" s="299"/>
      <c r="AM414" s="66">
        <v>5000</v>
      </c>
      <c r="AN414" s="173"/>
    </row>
    <row r="415" spans="1:40" x14ac:dyDescent="0.35">
      <c r="A415" s="66"/>
      <c r="B415" s="66"/>
      <c r="C415" s="49"/>
      <c r="D415" s="49"/>
      <c r="E415" s="49"/>
      <c r="F415" s="49" t="s">
        <v>411</v>
      </c>
      <c r="G415" s="49"/>
      <c r="H415" s="63">
        <v>1564.56</v>
      </c>
      <c r="I415" s="63">
        <v>2000</v>
      </c>
      <c r="J415" s="64">
        <v>973.51</v>
      </c>
      <c r="K415" s="64">
        <v>2000</v>
      </c>
      <c r="L415" s="65">
        <v>1569.41</v>
      </c>
      <c r="M415" s="65">
        <v>4000</v>
      </c>
      <c r="N415" s="66">
        <f t="shared" si="209"/>
        <v>4107.4799999999996</v>
      </c>
      <c r="O415" s="66">
        <f t="shared" si="209"/>
        <v>8000</v>
      </c>
      <c r="P415" s="69">
        <f t="shared" si="206"/>
        <v>1369.1599999999999</v>
      </c>
      <c r="Q415" s="69">
        <f t="shared" si="206"/>
        <v>2666.6666666666665</v>
      </c>
      <c r="R415" s="294"/>
      <c r="S415" s="49"/>
      <c r="T415" s="49"/>
      <c r="U415" s="49"/>
      <c r="V415" s="49"/>
      <c r="W415" s="49"/>
      <c r="X415" s="49" t="s">
        <v>411</v>
      </c>
      <c r="Y415" s="49"/>
      <c r="Z415" s="66">
        <v>2000</v>
      </c>
      <c r="AA415" s="280"/>
      <c r="AB415" s="66">
        <v>2000</v>
      </c>
      <c r="AC415" s="66">
        <v>2000</v>
      </c>
      <c r="AD415" s="66">
        <v>2000</v>
      </c>
      <c r="AE415" s="66">
        <v>2000</v>
      </c>
      <c r="AF415" s="66">
        <v>2000</v>
      </c>
      <c r="AG415" s="66">
        <v>2000</v>
      </c>
      <c r="AH415" s="66">
        <v>2000</v>
      </c>
      <c r="AI415" s="66">
        <v>2000</v>
      </c>
      <c r="AJ415" s="66">
        <v>2000</v>
      </c>
      <c r="AK415" s="66">
        <v>2000</v>
      </c>
      <c r="AL415" s="299"/>
      <c r="AM415" s="66">
        <v>2000</v>
      </c>
      <c r="AN415" s="173"/>
    </row>
    <row r="416" spans="1:40" x14ac:dyDescent="0.35">
      <c r="A416" s="66"/>
      <c r="B416" s="66"/>
      <c r="C416" s="49"/>
      <c r="D416" s="49"/>
      <c r="E416" s="49"/>
      <c r="F416" s="49" t="s">
        <v>412</v>
      </c>
      <c r="G416" s="49"/>
      <c r="H416" s="63">
        <v>3000</v>
      </c>
      <c r="I416" s="63">
        <v>3000</v>
      </c>
      <c r="J416" s="64">
        <v>4000</v>
      </c>
      <c r="K416" s="64">
        <v>4000</v>
      </c>
      <c r="L416" s="65">
        <v>3387.33</v>
      </c>
      <c r="M416" s="65">
        <v>4000</v>
      </c>
      <c r="N416" s="66">
        <f t="shared" si="209"/>
        <v>10387.33</v>
      </c>
      <c r="O416" s="66">
        <f t="shared" si="209"/>
        <v>11000</v>
      </c>
      <c r="P416" s="69">
        <f t="shared" si="206"/>
        <v>3462.4433333333332</v>
      </c>
      <c r="Q416" s="69">
        <f t="shared" si="206"/>
        <v>3666.6666666666665</v>
      </c>
      <c r="R416" s="294"/>
      <c r="S416" s="49"/>
      <c r="T416" s="49"/>
      <c r="U416" s="49"/>
      <c r="V416" s="49"/>
      <c r="W416" s="49"/>
      <c r="X416" s="49" t="s">
        <v>412</v>
      </c>
      <c r="Y416" s="49"/>
      <c r="Z416" s="66">
        <v>4000</v>
      </c>
      <c r="AA416" s="280"/>
      <c r="AB416" s="66">
        <v>4000</v>
      </c>
      <c r="AC416" s="66">
        <v>4000</v>
      </c>
      <c r="AD416" s="66">
        <v>4000</v>
      </c>
      <c r="AE416" s="66">
        <v>4000</v>
      </c>
      <c r="AF416" s="66">
        <v>4000</v>
      </c>
      <c r="AG416" s="66">
        <v>4000</v>
      </c>
      <c r="AH416" s="66">
        <v>4000</v>
      </c>
      <c r="AI416" s="66">
        <v>4000</v>
      </c>
      <c r="AJ416" s="66">
        <v>4000</v>
      </c>
      <c r="AK416" s="66">
        <v>4000</v>
      </c>
      <c r="AL416" s="299"/>
      <c r="AM416" s="66">
        <v>4000</v>
      </c>
      <c r="AN416" s="173"/>
    </row>
    <row r="417" spans="1:45" x14ac:dyDescent="0.35">
      <c r="A417" s="66"/>
      <c r="B417" s="66"/>
      <c r="C417" s="49"/>
      <c r="D417" s="49"/>
      <c r="E417" s="49"/>
      <c r="F417" s="49" t="s">
        <v>413</v>
      </c>
      <c r="G417" s="49"/>
      <c r="H417" s="63">
        <v>28087.75</v>
      </c>
      <c r="I417" s="63">
        <v>60000</v>
      </c>
      <c r="J417" s="64">
        <v>42629.4</v>
      </c>
      <c r="K417" s="64">
        <v>60000</v>
      </c>
      <c r="L417" s="65">
        <v>52581.93</v>
      </c>
      <c r="M417" s="65">
        <v>60000</v>
      </c>
      <c r="N417" s="66">
        <f t="shared" si="209"/>
        <v>123299.08</v>
      </c>
      <c r="O417" s="66">
        <f t="shared" si="209"/>
        <v>180000</v>
      </c>
      <c r="P417" s="69">
        <f t="shared" si="206"/>
        <v>41099.693333333336</v>
      </c>
      <c r="Q417" s="69">
        <f t="shared" si="206"/>
        <v>60000</v>
      </c>
      <c r="R417" s="294"/>
      <c r="S417" s="49"/>
      <c r="T417" s="49"/>
      <c r="U417" s="49"/>
      <c r="V417" s="49"/>
      <c r="W417" s="49"/>
      <c r="X417" s="49" t="s">
        <v>413</v>
      </c>
      <c r="Y417" s="49"/>
      <c r="Z417" s="66">
        <v>60000</v>
      </c>
      <c r="AA417" s="280"/>
      <c r="AB417" s="66">
        <v>60000</v>
      </c>
      <c r="AC417" s="66">
        <v>60000</v>
      </c>
      <c r="AD417" s="66">
        <v>60000</v>
      </c>
      <c r="AE417" s="66">
        <v>60000</v>
      </c>
      <c r="AF417" s="66">
        <v>60000</v>
      </c>
      <c r="AG417" s="66">
        <v>60000</v>
      </c>
      <c r="AH417" s="66">
        <v>60000</v>
      </c>
      <c r="AI417" s="66">
        <v>60000</v>
      </c>
      <c r="AJ417" s="66">
        <v>60000</v>
      </c>
      <c r="AK417" s="66">
        <v>60000</v>
      </c>
      <c r="AL417" s="299"/>
      <c r="AM417" s="66">
        <v>60000</v>
      </c>
      <c r="AN417" s="173"/>
    </row>
    <row r="418" spans="1:45" x14ac:dyDescent="0.35">
      <c r="A418" s="66"/>
      <c r="B418" s="66"/>
      <c r="C418" s="49"/>
      <c r="D418" s="49"/>
      <c r="E418" s="49"/>
      <c r="F418" s="49" t="s">
        <v>414</v>
      </c>
      <c r="G418" s="49"/>
      <c r="H418" s="63">
        <v>11704.88</v>
      </c>
      <c r="I418" s="63">
        <v>30000</v>
      </c>
      <c r="J418" s="64">
        <v>14141.67</v>
      </c>
      <c r="K418" s="64">
        <v>40000</v>
      </c>
      <c r="L418" s="65">
        <v>27692.77</v>
      </c>
      <c r="M418" s="65">
        <v>50000</v>
      </c>
      <c r="N418" s="66">
        <f t="shared" si="209"/>
        <v>53539.32</v>
      </c>
      <c r="O418" s="66">
        <f t="shared" si="209"/>
        <v>120000</v>
      </c>
      <c r="P418" s="69">
        <f t="shared" si="206"/>
        <v>17846.439999999999</v>
      </c>
      <c r="Q418" s="69">
        <f t="shared" si="206"/>
        <v>40000</v>
      </c>
      <c r="R418" s="294"/>
      <c r="S418" s="49"/>
      <c r="T418" s="49"/>
      <c r="U418" s="49"/>
      <c r="V418" s="49"/>
      <c r="W418" s="49"/>
      <c r="X418" s="49" t="s">
        <v>414</v>
      </c>
      <c r="Y418" s="49"/>
      <c r="Z418" s="66">
        <v>50000</v>
      </c>
      <c r="AA418" s="280"/>
      <c r="AB418" s="66">
        <v>50000</v>
      </c>
      <c r="AC418" s="66">
        <v>50000</v>
      </c>
      <c r="AD418" s="66">
        <v>50000</v>
      </c>
      <c r="AE418" s="66">
        <v>50000</v>
      </c>
      <c r="AF418" s="66">
        <v>50000</v>
      </c>
      <c r="AG418" s="66">
        <v>35000</v>
      </c>
      <c r="AH418" s="66">
        <v>35000</v>
      </c>
      <c r="AI418" s="66">
        <v>35000</v>
      </c>
      <c r="AJ418" s="66">
        <v>35000</v>
      </c>
      <c r="AK418" s="66">
        <v>35000</v>
      </c>
      <c r="AL418" s="299"/>
      <c r="AM418" s="66">
        <v>35000</v>
      </c>
      <c r="AN418" s="173"/>
    </row>
    <row r="419" spans="1:45" x14ac:dyDescent="0.35">
      <c r="A419" s="66"/>
      <c r="B419" s="66"/>
      <c r="C419" s="49"/>
      <c r="D419" s="49"/>
      <c r="E419" s="49"/>
      <c r="F419" s="49" t="s">
        <v>415</v>
      </c>
      <c r="G419" s="49"/>
      <c r="H419" s="63">
        <v>24402.36</v>
      </c>
      <c r="I419" s="63">
        <v>26335</v>
      </c>
      <c r="J419" s="64">
        <v>14921.93</v>
      </c>
      <c r="K419" s="64">
        <v>31492</v>
      </c>
      <c r="L419" s="65">
        <v>42453.71</v>
      </c>
      <c r="M419" s="65">
        <v>41825</v>
      </c>
      <c r="N419" s="66">
        <f t="shared" si="209"/>
        <v>81778</v>
      </c>
      <c r="O419" s="66">
        <f t="shared" si="209"/>
        <v>99652</v>
      </c>
      <c r="P419" s="69">
        <f t="shared" si="206"/>
        <v>27259.333333333332</v>
      </c>
      <c r="Q419" s="69">
        <f t="shared" si="206"/>
        <v>33217.333333333336</v>
      </c>
      <c r="R419" s="294"/>
      <c r="S419" s="49"/>
      <c r="T419" s="49"/>
      <c r="U419" s="49"/>
      <c r="V419" s="49"/>
      <c r="W419" s="49"/>
      <c r="X419" s="49" t="s">
        <v>415</v>
      </c>
      <c r="Y419" s="49"/>
      <c r="Z419" s="66">
        <v>33735</v>
      </c>
      <c r="AA419" s="280"/>
      <c r="AB419" s="66">
        <v>33735</v>
      </c>
      <c r="AC419" s="66">
        <v>33735</v>
      </c>
      <c r="AD419" s="66">
        <v>33735</v>
      </c>
      <c r="AE419" s="66">
        <v>33735</v>
      </c>
      <c r="AF419" s="66">
        <v>35520</v>
      </c>
      <c r="AG419" s="66">
        <v>35520</v>
      </c>
      <c r="AH419" s="66">
        <v>35520</v>
      </c>
      <c r="AI419" s="66">
        <v>35520</v>
      </c>
      <c r="AJ419" s="66">
        <v>35520</v>
      </c>
      <c r="AK419" s="66">
        <v>35520</v>
      </c>
      <c r="AL419" s="299"/>
      <c r="AM419" s="66">
        <v>35520</v>
      </c>
      <c r="AN419" s="173"/>
    </row>
    <row r="420" spans="1:45" x14ac:dyDescent="0.35">
      <c r="A420" s="66"/>
      <c r="B420" s="66"/>
      <c r="C420" s="49"/>
      <c r="D420" s="49"/>
      <c r="E420" s="49"/>
      <c r="F420" s="49" t="s">
        <v>416</v>
      </c>
      <c r="G420" s="49"/>
      <c r="H420" s="63">
        <v>33577.199999999997</v>
      </c>
      <c r="I420" s="63">
        <v>25000</v>
      </c>
      <c r="J420" s="64">
        <v>45507.69</v>
      </c>
      <c r="K420" s="64">
        <v>35000</v>
      </c>
      <c r="L420" s="65">
        <v>69545.31</v>
      </c>
      <c r="M420" s="65">
        <v>40000</v>
      </c>
      <c r="N420" s="66">
        <f t="shared" si="209"/>
        <v>148630.20000000001</v>
      </c>
      <c r="O420" s="66">
        <f t="shared" si="209"/>
        <v>100000</v>
      </c>
      <c r="P420" s="69">
        <f t="shared" si="206"/>
        <v>49543.4</v>
      </c>
      <c r="Q420" s="69">
        <f t="shared" si="206"/>
        <v>33333.333333333336</v>
      </c>
      <c r="R420" s="294"/>
      <c r="S420" s="49"/>
      <c r="T420" s="49"/>
      <c r="U420" s="49"/>
      <c r="V420" s="49"/>
      <c r="W420" s="49"/>
      <c r="X420" s="49" t="s">
        <v>416</v>
      </c>
      <c r="Y420" s="49"/>
      <c r="Z420" s="66">
        <v>40000</v>
      </c>
      <c r="AA420" s="280"/>
      <c r="AB420" s="66">
        <v>40000</v>
      </c>
      <c r="AC420" s="66">
        <v>40000</v>
      </c>
      <c r="AD420" s="66">
        <v>40000</v>
      </c>
      <c r="AE420" s="66">
        <v>40000</v>
      </c>
      <c r="AF420" s="66">
        <v>40000</v>
      </c>
      <c r="AG420" s="66">
        <v>40000</v>
      </c>
      <c r="AH420" s="66">
        <v>40000</v>
      </c>
      <c r="AI420" s="66">
        <v>40000</v>
      </c>
      <c r="AJ420" s="66">
        <v>40000</v>
      </c>
      <c r="AK420" s="66">
        <v>40000</v>
      </c>
      <c r="AL420" s="299"/>
      <c r="AM420" s="66">
        <v>40000</v>
      </c>
      <c r="AN420" s="173"/>
    </row>
    <row r="421" spans="1:45" x14ac:dyDescent="0.35">
      <c r="A421" s="66"/>
      <c r="B421" s="66"/>
      <c r="C421" s="49"/>
      <c r="D421" s="49"/>
      <c r="E421" s="49"/>
      <c r="F421" s="49" t="s">
        <v>417</v>
      </c>
      <c r="G421" s="49"/>
      <c r="H421" s="63">
        <v>1435.5</v>
      </c>
      <c r="I421" s="63">
        <v>3500</v>
      </c>
      <c r="J421" s="64">
        <v>0</v>
      </c>
      <c r="K421" s="64">
        <v>3500</v>
      </c>
      <c r="L421" s="65">
        <v>0</v>
      </c>
      <c r="M421" s="65">
        <v>3500</v>
      </c>
      <c r="N421" s="66">
        <f t="shared" si="209"/>
        <v>1435.5</v>
      </c>
      <c r="O421" s="66">
        <f t="shared" si="209"/>
        <v>10500</v>
      </c>
      <c r="P421" s="69">
        <f t="shared" si="206"/>
        <v>478.5</v>
      </c>
      <c r="Q421" s="69">
        <f t="shared" si="206"/>
        <v>3500</v>
      </c>
      <c r="R421" s="294"/>
      <c r="S421" s="49"/>
      <c r="T421" s="49"/>
      <c r="U421" s="49"/>
      <c r="V421" s="49"/>
      <c r="W421" s="49"/>
      <c r="X421" s="49" t="s">
        <v>417</v>
      </c>
      <c r="Y421" s="49"/>
      <c r="Z421" s="66">
        <v>0</v>
      </c>
      <c r="AA421" s="280"/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0</v>
      </c>
      <c r="AI421" s="66">
        <v>0</v>
      </c>
      <c r="AJ421" s="66">
        <v>0</v>
      </c>
      <c r="AK421" s="66">
        <v>0</v>
      </c>
      <c r="AL421" s="299"/>
      <c r="AM421" s="66">
        <v>0</v>
      </c>
      <c r="AN421" s="173"/>
    </row>
    <row r="422" spans="1:45" ht="16" thickBot="1" x14ac:dyDescent="0.4">
      <c r="A422" s="66"/>
      <c r="B422" s="66"/>
      <c r="C422" s="49"/>
      <c r="D422" s="49"/>
      <c r="E422" s="49"/>
      <c r="F422" s="49" t="s">
        <v>418</v>
      </c>
      <c r="G422" s="49"/>
      <c r="H422" s="63">
        <v>11637</v>
      </c>
      <c r="I422" s="63">
        <v>8300</v>
      </c>
      <c r="J422" s="64">
        <v>12660.63</v>
      </c>
      <c r="K422" s="64">
        <v>26175</v>
      </c>
      <c r="L422" s="65">
        <v>8574</v>
      </c>
      <c r="M422" s="65">
        <v>23925</v>
      </c>
      <c r="N422" s="66">
        <f t="shared" si="209"/>
        <v>32871.629999999997</v>
      </c>
      <c r="O422" s="66">
        <f t="shared" si="209"/>
        <v>58400</v>
      </c>
      <c r="P422" s="69">
        <f t="shared" si="206"/>
        <v>10957.21</v>
      </c>
      <c r="Q422" s="69">
        <f t="shared" si="206"/>
        <v>19466.666666666668</v>
      </c>
      <c r="R422" s="294"/>
      <c r="S422" s="49"/>
      <c r="T422" s="49"/>
      <c r="U422" s="49"/>
      <c r="V422" s="49"/>
      <c r="W422" s="49"/>
      <c r="X422" s="49" t="s">
        <v>418</v>
      </c>
      <c r="Y422" s="49"/>
      <c r="Z422" s="66">
        <v>30000</v>
      </c>
      <c r="AA422" s="280"/>
      <c r="AB422" s="66">
        <v>30000</v>
      </c>
      <c r="AC422" s="66">
        <v>30000</v>
      </c>
      <c r="AD422" s="66">
        <v>30000</v>
      </c>
      <c r="AE422" s="66">
        <v>30000</v>
      </c>
      <c r="AF422" s="66">
        <v>26250</v>
      </c>
      <c r="AG422" s="66">
        <v>21000</v>
      </c>
      <c r="AH422" s="66">
        <v>21000</v>
      </c>
      <c r="AI422" s="66">
        <v>21000</v>
      </c>
      <c r="AJ422" s="66">
        <v>21000</v>
      </c>
      <c r="AK422" s="66">
        <v>21000</v>
      </c>
      <c r="AL422" s="299"/>
      <c r="AM422" s="66">
        <v>21000</v>
      </c>
    </row>
    <row r="423" spans="1:45" ht="51.65" customHeight="1" thickBot="1" x14ac:dyDescent="0.4">
      <c r="A423" s="66"/>
      <c r="B423" s="66"/>
      <c r="C423" s="49"/>
      <c r="D423" s="49"/>
      <c r="E423" s="49" t="s">
        <v>419</v>
      </c>
      <c r="F423" s="49"/>
      <c r="G423" s="49"/>
      <c r="H423" s="75">
        <f t="shared" ref="H423:M423" si="210">ROUND(SUM(H378:H402)+SUM(H405:H422),5)</f>
        <v>971394.67</v>
      </c>
      <c r="I423" s="75">
        <f t="shared" si="210"/>
        <v>759280</v>
      </c>
      <c r="J423" s="76">
        <f t="shared" si="210"/>
        <v>1081537.1200000001</v>
      </c>
      <c r="K423" s="76">
        <f t="shared" si="210"/>
        <v>896198</v>
      </c>
      <c r="L423" s="77">
        <f t="shared" si="210"/>
        <v>923156.36</v>
      </c>
      <c r="M423" s="77">
        <f t="shared" si="210"/>
        <v>887696</v>
      </c>
      <c r="N423" s="78">
        <f t="shared" si="209"/>
        <v>2976088.15</v>
      </c>
      <c r="O423" s="78">
        <f t="shared" si="209"/>
        <v>2543174</v>
      </c>
      <c r="P423" s="79">
        <f t="shared" si="206"/>
        <v>992029.3833333333</v>
      </c>
      <c r="Q423" s="79">
        <f t="shared" si="206"/>
        <v>847724.66666666663</v>
      </c>
      <c r="R423" s="294"/>
      <c r="S423" s="49"/>
      <c r="T423" s="49"/>
      <c r="U423" s="49"/>
      <c r="V423" s="49"/>
      <c r="W423" s="49" t="s">
        <v>419</v>
      </c>
      <c r="X423" s="49"/>
      <c r="Y423" s="49"/>
      <c r="Z423" s="78">
        <f>ROUND(SUM(Z378:Z422),5)</f>
        <v>913310</v>
      </c>
      <c r="AA423" s="280"/>
      <c r="AB423" s="80">
        <f t="shared" ref="AB423:AK423" si="211">ROUND(SUM(AB378:AB422),5)</f>
        <v>904046</v>
      </c>
      <c r="AC423" s="80">
        <f t="shared" si="211"/>
        <v>904046</v>
      </c>
      <c r="AD423" s="80">
        <f t="shared" si="211"/>
        <v>904046</v>
      </c>
      <c r="AE423" s="80">
        <f t="shared" si="211"/>
        <v>904046</v>
      </c>
      <c r="AF423" s="80">
        <f t="shared" si="211"/>
        <v>862453.9</v>
      </c>
      <c r="AG423" s="80">
        <f t="shared" si="211"/>
        <v>870204</v>
      </c>
      <c r="AH423" s="80">
        <f t="shared" si="211"/>
        <v>870204</v>
      </c>
      <c r="AI423" s="80">
        <f t="shared" si="211"/>
        <v>870204</v>
      </c>
      <c r="AJ423" s="80">
        <f t="shared" si="211"/>
        <v>870204</v>
      </c>
      <c r="AK423" s="266">
        <f t="shared" si="211"/>
        <v>871724</v>
      </c>
      <c r="AL423" s="299"/>
      <c r="AM423" s="270">
        <f t="shared" ref="AM423" si="212">ROUND(SUM(AM378:AM422),5)</f>
        <v>874724</v>
      </c>
      <c r="AN423" s="306" t="s">
        <v>952</v>
      </c>
    </row>
    <row r="424" spans="1:45" ht="16" thickBot="1" x14ac:dyDescent="0.4">
      <c r="A424" s="66"/>
      <c r="B424" s="66"/>
      <c r="C424" s="49"/>
      <c r="D424" s="49"/>
      <c r="E424" s="49" t="s">
        <v>420</v>
      </c>
      <c r="F424" s="49"/>
      <c r="G424" s="49"/>
      <c r="H424" s="63"/>
      <c r="I424" s="63"/>
      <c r="J424" s="64"/>
      <c r="K424" s="64"/>
      <c r="L424" s="65"/>
      <c r="M424" s="65"/>
      <c r="N424" s="66"/>
      <c r="O424" s="66"/>
      <c r="P424" s="69"/>
      <c r="Q424" s="69"/>
      <c r="R424" s="294"/>
      <c r="S424" s="49"/>
      <c r="T424" s="49"/>
      <c r="U424" s="49"/>
      <c r="V424" s="49"/>
      <c r="W424" s="49" t="s">
        <v>420</v>
      </c>
      <c r="X424" s="49"/>
      <c r="Y424" s="49"/>
      <c r="Z424" s="66"/>
      <c r="AA424" s="280"/>
      <c r="AB424" s="66"/>
      <c r="AC424" s="66"/>
      <c r="AD424" s="66"/>
      <c r="AE424" s="66"/>
      <c r="AF424" s="66"/>
      <c r="AG424" s="66"/>
      <c r="AH424" s="66"/>
      <c r="AI424" s="66"/>
      <c r="AJ424" s="66"/>
      <c r="AK424" s="66"/>
      <c r="AL424" s="299"/>
      <c r="AM424" s="66"/>
      <c r="AN424" s="307">
        <f>AM215-AM423</f>
        <v>1276</v>
      </c>
    </row>
    <row r="425" spans="1:45" x14ac:dyDescent="0.35">
      <c r="A425" s="66"/>
      <c r="B425" s="66"/>
      <c r="C425" s="49"/>
      <c r="D425" s="49"/>
      <c r="E425" s="49"/>
      <c r="F425" s="49" t="s">
        <v>421</v>
      </c>
      <c r="G425" s="49"/>
      <c r="H425" s="63">
        <v>0</v>
      </c>
      <c r="I425" s="63">
        <v>0</v>
      </c>
      <c r="J425" s="64">
        <v>8575.6299999999992</v>
      </c>
      <c r="K425" s="64">
        <v>0</v>
      </c>
      <c r="L425" s="65">
        <v>588.35</v>
      </c>
      <c r="M425" s="65">
        <v>0</v>
      </c>
      <c r="N425" s="66">
        <f>ROUND(H425+J425+L425,5)</f>
        <v>9163.98</v>
      </c>
      <c r="O425" s="66">
        <v>0</v>
      </c>
      <c r="P425" s="69">
        <f t="shared" si="206"/>
        <v>3054.66</v>
      </c>
      <c r="Q425" s="69">
        <f t="shared" si="206"/>
        <v>0</v>
      </c>
      <c r="R425" s="294"/>
      <c r="S425" s="49"/>
      <c r="T425" s="49"/>
      <c r="U425" s="49"/>
      <c r="V425" s="49"/>
      <c r="W425" s="49"/>
      <c r="X425" s="49" t="s">
        <v>421</v>
      </c>
      <c r="Y425" s="49"/>
      <c r="Z425" s="66">
        <v>0</v>
      </c>
      <c r="AA425" s="280"/>
      <c r="AB425" s="66">
        <v>0</v>
      </c>
      <c r="AC425" s="66">
        <v>0</v>
      </c>
      <c r="AD425" s="66">
        <v>0</v>
      </c>
      <c r="AE425" s="66">
        <v>0</v>
      </c>
      <c r="AF425" s="66">
        <v>0</v>
      </c>
      <c r="AG425" s="66">
        <v>18750</v>
      </c>
      <c r="AH425" s="66">
        <v>18750</v>
      </c>
      <c r="AI425" s="66">
        <v>18750</v>
      </c>
      <c r="AJ425" s="66">
        <v>18750</v>
      </c>
      <c r="AK425" s="66">
        <v>18750</v>
      </c>
      <c r="AL425" s="299"/>
      <c r="AM425" s="66">
        <v>18750</v>
      </c>
      <c r="AN425" s="308" t="s">
        <v>974</v>
      </c>
    </row>
    <row r="426" spans="1:45" ht="16" thickBot="1" x14ac:dyDescent="0.4">
      <c r="A426" s="66"/>
      <c r="B426" s="66"/>
      <c r="C426" s="49"/>
      <c r="D426" s="49"/>
      <c r="E426" s="49"/>
      <c r="F426" s="49" t="s">
        <v>422</v>
      </c>
      <c r="G426" s="49"/>
      <c r="H426" s="63">
        <v>0</v>
      </c>
      <c r="I426" s="63">
        <v>0</v>
      </c>
      <c r="J426" s="64">
        <v>4368.26</v>
      </c>
      <c r="K426" s="64">
        <v>0</v>
      </c>
      <c r="L426" s="65">
        <v>0</v>
      </c>
      <c r="M426" s="65">
        <v>0</v>
      </c>
      <c r="N426" s="66">
        <f>ROUND(H426+J426+L426,5)</f>
        <v>4368.26</v>
      </c>
      <c r="O426" s="66">
        <v>0</v>
      </c>
      <c r="P426" s="69">
        <f t="shared" si="206"/>
        <v>1456.0866666666668</v>
      </c>
      <c r="Q426" s="69">
        <f t="shared" si="206"/>
        <v>0</v>
      </c>
      <c r="R426" s="294"/>
      <c r="S426" s="49"/>
      <c r="T426" s="49"/>
      <c r="U426" s="49"/>
      <c r="V426" s="49"/>
      <c r="W426" s="49"/>
      <c r="X426" s="49" t="s">
        <v>422</v>
      </c>
      <c r="Y426" s="49"/>
      <c r="Z426" s="66">
        <v>0</v>
      </c>
      <c r="AA426" s="280"/>
      <c r="AB426" s="66">
        <v>0</v>
      </c>
      <c r="AC426" s="66">
        <v>0</v>
      </c>
      <c r="AD426" s="66">
        <v>0</v>
      </c>
      <c r="AE426" s="66">
        <v>0</v>
      </c>
      <c r="AF426" s="66">
        <v>0</v>
      </c>
      <c r="AG426" s="66">
        <v>0</v>
      </c>
      <c r="AH426" s="66">
        <v>0</v>
      </c>
      <c r="AI426" s="66">
        <v>0</v>
      </c>
      <c r="AJ426" s="66">
        <v>0</v>
      </c>
      <c r="AK426" s="66">
        <v>0</v>
      </c>
      <c r="AM426" s="66">
        <v>0</v>
      </c>
    </row>
    <row r="427" spans="1:45" ht="16" thickBot="1" x14ac:dyDescent="0.4">
      <c r="A427" s="66"/>
      <c r="B427" s="66"/>
      <c r="C427" s="49"/>
      <c r="D427" s="49"/>
      <c r="E427" s="49" t="s">
        <v>423</v>
      </c>
      <c r="F427" s="49"/>
      <c r="G427" s="49"/>
      <c r="H427" s="83">
        <f>ROUND(SUM(H424:H426),5)</f>
        <v>0</v>
      </c>
      <c r="I427" s="83"/>
      <c r="J427" s="84">
        <f>ROUND(SUM(J424:J426),5)</f>
        <v>12943.89</v>
      </c>
      <c r="K427" s="84"/>
      <c r="L427" s="85">
        <f>ROUND(SUM(L424:L426),5)</f>
        <v>588.35</v>
      </c>
      <c r="M427" s="85"/>
      <c r="N427" s="86">
        <f>ROUND(H427+J427+L427,5)</f>
        <v>13532.24</v>
      </c>
      <c r="O427" s="86"/>
      <c r="P427" s="87">
        <f t="shared" si="206"/>
        <v>4510.7466666666669</v>
      </c>
      <c r="Q427" s="87">
        <f t="shared" si="206"/>
        <v>0</v>
      </c>
      <c r="R427" s="294"/>
      <c r="S427" s="49"/>
      <c r="T427" s="49"/>
      <c r="U427" s="49"/>
      <c r="V427" s="49"/>
      <c r="W427" s="49" t="s">
        <v>423</v>
      </c>
      <c r="X427" s="49"/>
      <c r="Y427" s="49"/>
      <c r="Z427" s="86">
        <f>ROUND(SUM(Z424:Z426),5)</f>
        <v>0</v>
      </c>
      <c r="AA427" s="280"/>
      <c r="AB427" s="88">
        <f t="shared" ref="AB427:AK427" si="213">ROUND(SUM(AB424:AB426),5)</f>
        <v>0</v>
      </c>
      <c r="AC427" s="88">
        <f t="shared" si="213"/>
        <v>0</v>
      </c>
      <c r="AD427" s="88">
        <f t="shared" si="213"/>
        <v>0</v>
      </c>
      <c r="AE427" s="88">
        <f t="shared" si="213"/>
        <v>0</v>
      </c>
      <c r="AF427" s="88">
        <f t="shared" si="213"/>
        <v>0</v>
      </c>
      <c r="AG427" s="88">
        <f t="shared" si="213"/>
        <v>18750</v>
      </c>
      <c r="AH427" s="88">
        <f t="shared" si="213"/>
        <v>18750</v>
      </c>
      <c r="AI427" s="88">
        <f t="shared" si="213"/>
        <v>18750</v>
      </c>
      <c r="AJ427" s="88">
        <f t="shared" si="213"/>
        <v>18750</v>
      </c>
      <c r="AK427" s="266">
        <f t="shared" si="213"/>
        <v>18750</v>
      </c>
      <c r="AM427" s="270">
        <f t="shared" ref="AM427" si="214">ROUND(SUM(AM424:AM426),5)</f>
        <v>18750</v>
      </c>
    </row>
    <row r="428" spans="1:45" x14ac:dyDescent="0.35">
      <c r="A428" s="66"/>
      <c r="B428" s="66"/>
      <c r="C428" s="49"/>
      <c r="D428" s="49" t="s">
        <v>424</v>
      </c>
      <c r="E428" s="49"/>
      <c r="F428" s="49"/>
      <c r="G428" s="49"/>
      <c r="H428" s="63">
        <f t="shared" ref="H428:M428" si="215">ROUND(H377+H423+H427,5)</f>
        <v>971394.67</v>
      </c>
      <c r="I428" s="63">
        <f t="shared" si="215"/>
        <v>759280</v>
      </c>
      <c r="J428" s="64">
        <f t="shared" si="215"/>
        <v>1094481.01</v>
      </c>
      <c r="K428" s="64">
        <f t="shared" si="215"/>
        <v>896198</v>
      </c>
      <c r="L428" s="65">
        <f t="shared" si="215"/>
        <v>923744.71</v>
      </c>
      <c r="M428" s="65">
        <f t="shared" si="215"/>
        <v>887696</v>
      </c>
      <c r="N428" s="66">
        <f>ROUND(H428+J428+L428,5)</f>
        <v>2989620.39</v>
      </c>
      <c r="O428" s="66">
        <f>ROUND(I428+K428+M428,5)</f>
        <v>2543174</v>
      </c>
      <c r="P428" s="69">
        <f t="shared" si="206"/>
        <v>996540.13</v>
      </c>
      <c r="Q428" s="69">
        <f t="shared" si="206"/>
        <v>847724.66666666663</v>
      </c>
      <c r="R428" s="294"/>
      <c r="S428" s="49"/>
      <c r="T428" s="49"/>
      <c r="U428" s="49"/>
      <c r="V428" s="49" t="s">
        <v>424</v>
      </c>
      <c r="W428" s="49"/>
      <c r="X428" s="49"/>
      <c r="Y428" s="49"/>
      <c r="Z428" s="66">
        <f>ROUND(Z377+Z423+Z427,5)</f>
        <v>913310</v>
      </c>
      <c r="AA428" s="280"/>
      <c r="AB428" s="66">
        <f t="shared" ref="AB428:AK428" si="216">ROUND(AB377+AB423+AB427,5)</f>
        <v>904046</v>
      </c>
      <c r="AC428" s="66">
        <f t="shared" si="216"/>
        <v>904046</v>
      </c>
      <c r="AD428" s="66">
        <f t="shared" si="216"/>
        <v>904046</v>
      </c>
      <c r="AE428" s="66">
        <f t="shared" si="216"/>
        <v>904046</v>
      </c>
      <c r="AF428" s="66">
        <f t="shared" si="216"/>
        <v>862453.9</v>
      </c>
      <c r="AG428" s="66">
        <f t="shared" si="216"/>
        <v>888954</v>
      </c>
      <c r="AH428" s="66">
        <f t="shared" si="216"/>
        <v>888954</v>
      </c>
      <c r="AI428" s="66">
        <f t="shared" si="216"/>
        <v>888954</v>
      </c>
      <c r="AJ428" s="66">
        <f t="shared" si="216"/>
        <v>888954</v>
      </c>
      <c r="AK428" s="266">
        <f t="shared" si="216"/>
        <v>890474</v>
      </c>
      <c r="AM428" s="270">
        <f t="shared" ref="AM428" si="217">ROUND(AM377+AM423+AM427,5)</f>
        <v>893474</v>
      </c>
    </row>
    <row r="429" spans="1:45" x14ac:dyDescent="0.35">
      <c r="A429" s="66"/>
      <c r="B429" s="66"/>
      <c r="C429" s="49"/>
      <c r="D429" s="49" t="s">
        <v>425</v>
      </c>
      <c r="E429" s="49"/>
      <c r="F429" s="49"/>
      <c r="G429" s="49"/>
      <c r="H429" s="63"/>
      <c r="I429" s="63"/>
      <c r="J429" s="64"/>
      <c r="K429" s="64"/>
      <c r="L429" s="65"/>
      <c r="M429" s="65"/>
      <c r="N429" s="66"/>
      <c r="O429" s="66"/>
      <c r="P429" s="69">
        <f t="shared" si="206"/>
        <v>0</v>
      </c>
      <c r="Q429" s="69">
        <f t="shared" si="206"/>
        <v>0</v>
      </c>
      <c r="R429" s="294"/>
      <c r="S429" s="49"/>
      <c r="T429" s="49"/>
      <c r="U429" s="49"/>
      <c r="V429" s="49" t="s">
        <v>425</v>
      </c>
      <c r="W429" s="49"/>
      <c r="X429" s="49"/>
      <c r="Y429" s="49"/>
      <c r="Z429" s="66"/>
      <c r="AA429" s="280"/>
      <c r="AB429" s="66"/>
      <c r="AC429" s="66"/>
      <c r="AD429" s="66"/>
      <c r="AE429" s="66"/>
      <c r="AF429" s="66"/>
      <c r="AG429" s="66"/>
      <c r="AH429" s="66"/>
      <c r="AI429" s="66"/>
      <c r="AJ429" s="66"/>
      <c r="AK429" s="66"/>
      <c r="AM429" s="66"/>
    </row>
    <row r="430" spans="1:45" x14ac:dyDescent="0.35">
      <c r="A430" s="66"/>
      <c r="B430" s="66"/>
      <c r="C430" s="49"/>
      <c r="D430" s="49"/>
      <c r="E430" s="49" t="s">
        <v>426</v>
      </c>
      <c r="F430" s="49"/>
      <c r="G430" s="49"/>
      <c r="H430" s="63"/>
      <c r="I430" s="63"/>
      <c r="J430" s="64"/>
      <c r="K430" s="64"/>
      <c r="L430" s="65"/>
      <c r="M430" s="65"/>
      <c r="N430" s="66"/>
      <c r="O430" s="66"/>
      <c r="P430" s="69">
        <f t="shared" si="206"/>
        <v>0</v>
      </c>
      <c r="Q430" s="69">
        <f t="shared" si="206"/>
        <v>0</v>
      </c>
      <c r="R430" s="294"/>
      <c r="S430" s="49"/>
      <c r="T430" s="49"/>
      <c r="U430" s="49"/>
      <c r="V430" s="49"/>
      <c r="W430" s="49" t="s">
        <v>426</v>
      </c>
      <c r="X430" s="49"/>
      <c r="Y430" s="49"/>
      <c r="Z430" s="66"/>
      <c r="AA430" s="280"/>
      <c r="AB430" s="66"/>
      <c r="AC430" s="66"/>
      <c r="AD430" s="66">
        <v>20000</v>
      </c>
      <c r="AE430" s="66"/>
      <c r="AF430" s="66"/>
      <c r="AG430" s="66"/>
      <c r="AH430" s="66"/>
      <c r="AI430" s="66"/>
      <c r="AJ430" s="66"/>
      <c r="AK430" s="66"/>
      <c r="AM430" s="66"/>
      <c r="AN430" s="182"/>
    </row>
    <row r="431" spans="1:45" x14ac:dyDescent="0.35">
      <c r="A431" s="66"/>
      <c r="B431" s="66"/>
      <c r="C431" s="49"/>
      <c r="D431" s="49"/>
      <c r="E431" s="49"/>
      <c r="F431" s="49" t="s">
        <v>427</v>
      </c>
      <c r="G431" s="49"/>
      <c r="H431" s="63">
        <v>4144.6899999999996</v>
      </c>
      <c r="I431" s="63">
        <v>7500</v>
      </c>
      <c r="J431" s="64">
        <v>10330.16</v>
      </c>
      <c r="K431" s="64">
        <v>7500</v>
      </c>
      <c r="L431" s="65">
        <v>7979.6</v>
      </c>
      <c r="M431" s="65">
        <v>7500</v>
      </c>
      <c r="N431" s="66">
        <f t="shared" ref="N431:O441" si="218">ROUND(H431+J431+L431,5)</f>
        <v>22454.45</v>
      </c>
      <c r="O431" s="66">
        <f t="shared" si="218"/>
        <v>22500</v>
      </c>
      <c r="P431" s="69">
        <f t="shared" si="206"/>
        <v>7484.8166666666666</v>
      </c>
      <c r="Q431" s="69">
        <f t="shared" si="206"/>
        <v>7500</v>
      </c>
      <c r="R431" s="294"/>
      <c r="S431" s="49"/>
      <c r="T431" s="49"/>
      <c r="U431" s="49"/>
      <c r="V431" s="49"/>
      <c r="W431" s="49"/>
      <c r="X431" s="49" t="s">
        <v>427</v>
      </c>
      <c r="Y431" s="49"/>
      <c r="Z431" s="66">
        <v>9000</v>
      </c>
      <c r="AA431" s="280"/>
      <c r="AB431" s="66">
        <v>9000</v>
      </c>
      <c r="AC431" s="66">
        <v>8862.5</v>
      </c>
      <c r="AD431" s="66">
        <v>8862.5</v>
      </c>
      <c r="AE431" s="66">
        <v>9000</v>
      </c>
      <c r="AF431" s="66">
        <v>9000</v>
      </c>
      <c r="AG431" s="66">
        <v>9000</v>
      </c>
      <c r="AH431" s="66">
        <v>9000</v>
      </c>
      <c r="AI431" s="66">
        <v>9000</v>
      </c>
      <c r="AJ431" s="66">
        <v>9000</v>
      </c>
      <c r="AK431" s="66">
        <v>7500</v>
      </c>
      <c r="AL431" s="303" t="s">
        <v>954</v>
      </c>
      <c r="AM431" s="66">
        <v>9000</v>
      </c>
      <c r="AN431" s="190"/>
      <c r="AO431" s="81"/>
      <c r="AR431" s="131"/>
      <c r="AS431" s="111"/>
    </row>
    <row r="432" spans="1:45" x14ac:dyDescent="0.35">
      <c r="A432" s="66"/>
      <c r="B432" s="66"/>
      <c r="C432" s="49"/>
      <c r="D432" s="49"/>
      <c r="E432" s="49"/>
      <c r="F432" s="49" t="s">
        <v>428</v>
      </c>
      <c r="G432" s="49"/>
      <c r="H432" s="63">
        <v>4852.08</v>
      </c>
      <c r="I432" s="63">
        <v>7500</v>
      </c>
      <c r="J432" s="64">
        <v>4882.78</v>
      </c>
      <c r="K432" s="64">
        <v>7500</v>
      </c>
      <c r="L432" s="65">
        <v>3680.01</v>
      </c>
      <c r="M432" s="65">
        <v>7500</v>
      </c>
      <c r="N432" s="66">
        <f t="shared" si="218"/>
        <v>13414.87</v>
      </c>
      <c r="O432" s="66">
        <f t="shared" si="218"/>
        <v>22500</v>
      </c>
      <c r="P432" s="69">
        <f t="shared" si="206"/>
        <v>4471.6233333333339</v>
      </c>
      <c r="Q432" s="69">
        <f t="shared" si="206"/>
        <v>7500</v>
      </c>
      <c r="R432" s="294"/>
      <c r="S432" s="49"/>
      <c r="T432" s="49"/>
      <c r="U432" s="49"/>
      <c r="V432" s="49"/>
      <c r="W432" s="49"/>
      <c r="X432" s="49" t="s">
        <v>428</v>
      </c>
      <c r="Y432" s="49"/>
      <c r="Z432" s="66">
        <v>9000</v>
      </c>
      <c r="AA432" s="280"/>
      <c r="AB432" s="66">
        <v>9000</v>
      </c>
      <c r="AC432" s="66">
        <v>6987.5</v>
      </c>
      <c r="AD432" s="66">
        <v>6987.5</v>
      </c>
      <c r="AE432" s="66">
        <v>9000</v>
      </c>
      <c r="AF432" s="66">
        <v>9000</v>
      </c>
      <c r="AG432" s="66">
        <v>9000</v>
      </c>
      <c r="AH432" s="66">
        <v>9000</v>
      </c>
      <c r="AI432" s="66">
        <v>9000</v>
      </c>
      <c r="AJ432" s="66">
        <v>9000</v>
      </c>
      <c r="AK432" s="66">
        <v>7500</v>
      </c>
      <c r="AL432" s="303" t="s">
        <v>954</v>
      </c>
      <c r="AM432" s="66">
        <v>9000</v>
      </c>
      <c r="AN432" s="190"/>
      <c r="AO432" s="81"/>
      <c r="AR432" s="131"/>
      <c r="AS432" s="111"/>
    </row>
    <row r="433" spans="1:45" x14ac:dyDescent="0.35">
      <c r="A433" s="66"/>
      <c r="B433" s="66"/>
      <c r="C433" s="49"/>
      <c r="D433" s="49"/>
      <c r="E433" s="49"/>
      <c r="F433" s="49" t="s">
        <v>429</v>
      </c>
      <c r="G433" s="49"/>
      <c r="H433" s="63">
        <v>4206.08</v>
      </c>
      <c r="I433" s="63">
        <v>7500</v>
      </c>
      <c r="J433" s="64">
        <v>7426.56</v>
      </c>
      <c r="K433" s="64">
        <v>7500</v>
      </c>
      <c r="L433" s="65">
        <v>2957.62</v>
      </c>
      <c r="M433" s="65">
        <v>7500</v>
      </c>
      <c r="N433" s="66">
        <f t="shared" si="218"/>
        <v>14590.26</v>
      </c>
      <c r="O433" s="66">
        <f t="shared" si="218"/>
        <v>22500</v>
      </c>
      <c r="P433" s="69">
        <f t="shared" si="206"/>
        <v>4863.42</v>
      </c>
      <c r="Q433" s="69">
        <f t="shared" si="206"/>
        <v>7500</v>
      </c>
      <c r="R433" s="294"/>
      <c r="S433" s="49"/>
      <c r="T433" s="49"/>
      <c r="U433" s="49"/>
      <c r="V433" s="49"/>
      <c r="W433" s="49"/>
      <c r="X433" s="49" t="s">
        <v>429</v>
      </c>
      <c r="Y433" s="49"/>
      <c r="Z433" s="66">
        <v>9000</v>
      </c>
      <c r="AA433" s="280"/>
      <c r="AB433" s="66">
        <v>9000</v>
      </c>
      <c r="AC433" s="66">
        <v>6675</v>
      </c>
      <c r="AD433" s="66">
        <v>6675</v>
      </c>
      <c r="AE433" s="66">
        <v>9000</v>
      </c>
      <c r="AF433" s="66">
        <v>9000</v>
      </c>
      <c r="AG433" s="66">
        <v>9000</v>
      </c>
      <c r="AH433" s="66">
        <v>9000</v>
      </c>
      <c r="AI433" s="66">
        <v>9000</v>
      </c>
      <c r="AJ433" s="66">
        <v>9000</v>
      </c>
      <c r="AK433" s="66">
        <v>7500</v>
      </c>
      <c r="AL433" s="303" t="s">
        <v>954</v>
      </c>
      <c r="AM433" s="66">
        <v>9000</v>
      </c>
      <c r="AN433" s="190"/>
      <c r="AO433" s="81"/>
      <c r="AR433" s="131"/>
      <c r="AS433" s="111"/>
    </row>
    <row r="434" spans="1:45" x14ac:dyDescent="0.35">
      <c r="A434" s="66"/>
      <c r="B434" s="66"/>
      <c r="C434" s="49"/>
      <c r="D434" s="49"/>
      <c r="E434" s="49"/>
      <c r="F434" s="49" t="s">
        <v>430</v>
      </c>
      <c r="G434" s="49"/>
      <c r="H434" s="63">
        <v>2440.91</v>
      </c>
      <c r="I434" s="63">
        <v>7500</v>
      </c>
      <c r="J434" s="64">
        <v>3877.09</v>
      </c>
      <c r="K434" s="64">
        <v>7500</v>
      </c>
      <c r="L434" s="65">
        <v>5191.9799999999996</v>
      </c>
      <c r="M434" s="65">
        <v>7500</v>
      </c>
      <c r="N434" s="66">
        <f t="shared" si="218"/>
        <v>11509.98</v>
      </c>
      <c r="O434" s="66">
        <f t="shared" si="218"/>
        <v>22500</v>
      </c>
      <c r="P434" s="69">
        <f t="shared" si="206"/>
        <v>3836.66</v>
      </c>
      <c r="Q434" s="69">
        <f t="shared" si="206"/>
        <v>7500</v>
      </c>
      <c r="R434" s="294"/>
      <c r="S434" s="49"/>
      <c r="T434" s="49"/>
      <c r="U434" s="49"/>
      <c r="V434" s="49"/>
      <c r="W434" s="49"/>
      <c r="X434" s="49" t="s">
        <v>430</v>
      </c>
      <c r="Y434" s="49"/>
      <c r="Z434" s="66">
        <v>9000</v>
      </c>
      <c r="AA434" s="280"/>
      <c r="AB434" s="66">
        <v>9000</v>
      </c>
      <c r="AC434" s="66">
        <v>6987.5</v>
      </c>
      <c r="AD434" s="66">
        <v>6987.5</v>
      </c>
      <c r="AE434" s="66">
        <v>9000</v>
      </c>
      <c r="AF434" s="66">
        <v>9000</v>
      </c>
      <c r="AG434" s="66">
        <v>9000</v>
      </c>
      <c r="AH434" s="66">
        <v>9000</v>
      </c>
      <c r="AI434" s="66">
        <v>9000</v>
      </c>
      <c r="AJ434" s="66">
        <v>9000</v>
      </c>
      <c r="AK434" s="66">
        <v>7500</v>
      </c>
      <c r="AL434" s="303" t="s">
        <v>954</v>
      </c>
      <c r="AM434" s="66">
        <v>9000</v>
      </c>
      <c r="AN434" s="190"/>
      <c r="AO434" s="81"/>
      <c r="AR434" s="131"/>
      <c r="AS434" s="111"/>
    </row>
    <row r="435" spans="1:45" x14ac:dyDescent="0.35">
      <c r="A435" s="66"/>
      <c r="B435" s="66"/>
      <c r="C435" s="49"/>
      <c r="D435" s="49"/>
      <c r="E435" s="49"/>
      <c r="F435" s="49" t="s">
        <v>431</v>
      </c>
      <c r="G435" s="49"/>
      <c r="H435" s="63">
        <v>4830.38</v>
      </c>
      <c r="I435" s="63">
        <v>7500</v>
      </c>
      <c r="J435" s="64">
        <v>4520.57</v>
      </c>
      <c r="K435" s="64">
        <v>7500</v>
      </c>
      <c r="L435" s="65">
        <v>9680.42</v>
      </c>
      <c r="M435" s="65">
        <v>7500</v>
      </c>
      <c r="N435" s="66">
        <f t="shared" si="218"/>
        <v>19031.37</v>
      </c>
      <c r="O435" s="66">
        <f t="shared" si="218"/>
        <v>22500</v>
      </c>
      <c r="P435" s="69">
        <f t="shared" si="206"/>
        <v>6343.79</v>
      </c>
      <c r="Q435" s="69">
        <f t="shared" si="206"/>
        <v>7500</v>
      </c>
      <c r="R435" s="294"/>
      <c r="S435" s="49"/>
      <c r="T435" s="49"/>
      <c r="U435" s="49"/>
      <c r="V435" s="49"/>
      <c r="W435" s="49"/>
      <c r="X435" s="49" t="s">
        <v>431</v>
      </c>
      <c r="Y435" s="49"/>
      <c r="Z435" s="66">
        <v>9000</v>
      </c>
      <c r="AA435" s="280"/>
      <c r="AB435" s="66">
        <v>9000</v>
      </c>
      <c r="AC435" s="66">
        <v>7300</v>
      </c>
      <c r="AD435" s="66">
        <v>7300</v>
      </c>
      <c r="AE435" s="66">
        <v>9000</v>
      </c>
      <c r="AF435" s="66">
        <v>9000</v>
      </c>
      <c r="AG435" s="66">
        <v>9000</v>
      </c>
      <c r="AH435" s="66">
        <v>9000</v>
      </c>
      <c r="AI435" s="66">
        <v>9000</v>
      </c>
      <c r="AJ435" s="66">
        <v>9000</v>
      </c>
      <c r="AK435" s="66">
        <v>7500</v>
      </c>
      <c r="AL435" s="303" t="s">
        <v>954</v>
      </c>
      <c r="AM435" s="66">
        <v>9000</v>
      </c>
      <c r="AN435" s="190"/>
      <c r="AO435" s="81"/>
      <c r="AR435" s="131"/>
      <c r="AS435" s="111"/>
    </row>
    <row r="436" spans="1:45" x14ac:dyDescent="0.35">
      <c r="A436" s="66"/>
      <c r="B436" s="66"/>
      <c r="C436" s="49"/>
      <c r="D436" s="49"/>
      <c r="E436" s="49"/>
      <c r="F436" s="49" t="s">
        <v>432</v>
      </c>
      <c r="G436" s="49"/>
      <c r="H436" s="63">
        <v>6306.09</v>
      </c>
      <c r="I436" s="63">
        <v>7500</v>
      </c>
      <c r="J436" s="64">
        <v>6518.44</v>
      </c>
      <c r="K436" s="64">
        <v>7500</v>
      </c>
      <c r="L436" s="65">
        <v>7004.91</v>
      </c>
      <c r="M436" s="65">
        <v>7500</v>
      </c>
      <c r="N436" s="66">
        <f t="shared" si="218"/>
        <v>19829.439999999999</v>
      </c>
      <c r="O436" s="66">
        <f t="shared" si="218"/>
        <v>22500</v>
      </c>
      <c r="P436" s="69">
        <f t="shared" si="206"/>
        <v>6609.8133333333326</v>
      </c>
      <c r="Q436" s="69">
        <f t="shared" si="206"/>
        <v>7500</v>
      </c>
      <c r="R436" s="294"/>
      <c r="S436" s="49"/>
      <c r="T436" s="49"/>
      <c r="U436" s="49"/>
      <c r="V436" s="49"/>
      <c r="W436" s="49"/>
      <c r="X436" s="49" t="s">
        <v>432</v>
      </c>
      <c r="Y436" s="49"/>
      <c r="Z436" s="66">
        <v>9000</v>
      </c>
      <c r="AA436" s="280"/>
      <c r="AB436" s="66">
        <v>9000</v>
      </c>
      <c r="AC436" s="66">
        <v>6987.5</v>
      </c>
      <c r="AD436" s="66">
        <v>6987.5</v>
      </c>
      <c r="AE436" s="66">
        <v>9000</v>
      </c>
      <c r="AF436" s="66">
        <v>9000</v>
      </c>
      <c r="AG436" s="66">
        <v>9000</v>
      </c>
      <c r="AH436" s="66">
        <v>9000</v>
      </c>
      <c r="AI436" s="66">
        <v>9000</v>
      </c>
      <c r="AJ436" s="66">
        <v>9000</v>
      </c>
      <c r="AK436" s="66">
        <v>7500</v>
      </c>
      <c r="AL436" s="303" t="s">
        <v>954</v>
      </c>
      <c r="AM436" s="66">
        <v>9000</v>
      </c>
      <c r="AN436" s="190"/>
      <c r="AO436" s="81"/>
      <c r="AR436" s="131"/>
      <c r="AS436" s="111"/>
    </row>
    <row r="437" spans="1:45" x14ac:dyDescent="0.35">
      <c r="A437" s="66"/>
      <c r="B437" s="66"/>
      <c r="C437" s="49"/>
      <c r="D437" s="49"/>
      <c r="E437" s="49"/>
      <c r="F437" s="49" t="s">
        <v>433</v>
      </c>
      <c r="G437" s="49"/>
      <c r="H437" s="63">
        <v>3537.62</v>
      </c>
      <c r="I437" s="63">
        <v>7500</v>
      </c>
      <c r="J437" s="64">
        <v>837.66</v>
      </c>
      <c r="K437" s="64">
        <v>7500</v>
      </c>
      <c r="L437" s="65">
        <v>1997.82</v>
      </c>
      <c r="M437" s="65">
        <v>7500</v>
      </c>
      <c r="N437" s="66">
        <f t="shared" si="218"/>
        <v>6373.1</v>
      </c>
      <c r="O437" s="66">
        <f t="shared" si="218"/>
        <v>22500</v>
      </c>
      <c r="P437" s="69">
        <f t="shared" si="206"/>
        <v>2124.3666666666668</v>
      </c>
      <c r="Q437" s="69">
        <f t="shared" si="206"/>
        <v>7500</v>
      </c>
      <c r="R437" s="294"/>
      <c r="S437" s="49"/>
      <c r="T437" s="49"/>
      <c r="U437" s="49"/>
      <c r="V437" s="49"/>
      <c r="W437" s="49"/>
      <c r="X437" s="49" t="s">
        <v>433</v>
      </c>
      <c r="Y437" s="49"/>
      <c r="Z437" s="66">
        <v>9000</v>
      </c>
      <c r="AA437" s="280"/>
      <c r="AB437" s="66">
        <v>9000</v>
      </c>
      <c r="AC437" s="66">
        <v>6675</v>
      </c>
      <c r="AD437" s="66">
        <v>6675</v>
      </c>
      <c r="AE437" s="66">
        <v>9000</v>
      </c>
      <c r="AF437" s="66">
        <v>9000</v>
      </c>
      <c r="AG437" s="66">
        <v>9000</v>
      </c>
      <c r="AH437" s="66">
        <v>9000</v>
      </c>
      <c r="AI437" s="66">
        <v>9000</v>
      </c>
      <c r="AJ437" s="66">
        <v>9000</v>
      </c>
      <c r="AK437" s="66">
        <v>7500</v>
      </c>
      <c r="AL437" s="303" t="s">
        <v>954</v>
      </c>
      <c r="AM437" s="66">
        <v>9000</v>
      </c>
      <c r="AN437" s="190"/>
      <c r="AO437" s="81"/>
      <c r="AR437" s="131"/>
      <c r="AS437" s="111"/>
    </row>
    <row r="438" spans="1:45" x14ac:dyDescent="0.35">
      <c r="A438" s="66"/>
      <c r="B438" s="66"/>
      <c r="C438" s="49"/>
      <c r="D438" s="49"/>
      <c r="E438" s="49"/>
      <c r="F438" s="49" t="s">
        <v>434</v>
      </c>
      <c r="G438" s="49"/>
      <c r="H438" s="63">
        <v>4346.24</v>
      </c>
      <c r="I438" s="63">
        <v>7500</v>
      </c>
      <c r="J438" s="64">
        <v>6616.83</v>
      </c>
      <c r="K438" s="64">
        <v>7500</v>
      </c>
      <c r="L438" s="65">
        <v>7117.23</v>
      </c>
      <c r="M438" s="65">
        <v>7500</v>
      </c>
      <c r="N438" s="66">
        <f t="shared" si="218"/>
        <v>18080.3</v>
      </c>
      <c r="O438" s="66">
        <f t="shared" si="218"/>
        <v>22500</v>
      </c>
      <c r="P438" s="69">
        <f t="shared" si="206"/>
        <v>6026.7666666666664</v>
      </c>
      <c r="Q438" s="69">
        <f t="shared" si="206"/>
        <v>7500</v>
      </c>
      <c r="R438" s="294"/>
      <c r="S438" s="49"/>
      <c r="T438" s="49"/>
      <c r="U438" s="49"/>
      <c r="V438" s="49"/>
      <c r="W438" s="49"/>
      <c r="X438" s="49" t="s">
        <v>434</v>
      </c>
      <c r="Y438" s="49"/>
      <c r="Z438" s="66">
        <v>9000</v>
      </c>
      <c r="AA438" s="280"/>
      <c r="AB438" s="66">
        <v>9000</v>
      </c>
      <c r="AC438" s="66">
        <v>5737.5</v>
      </c>
      <c r="AD438" s="66">
        <v>5737.5</v>
      </c>
      <c r="AE438" s="66">
        <v>9000</v>
      </c>
      <c r="AF438" s="66">
        <v>9000</v>
      </c>
      <c r="AG438" s="66">
        <v>9000</v>
      </c>
      <c r="AH438" s="66">
        <v>9000</v>
      </c>
      <c r="AI438" s="66">
        <v>9000</v>
      </c>
      <c r="AJ438" s="66">
        <v>9000</v>
      </c>
      <c r="AK438" s="66">
        <v>7500</v>
      </c>
      <c r="AL438" s="303" t="s">
        <v>954</v>
      </c>
      <c r="AM438" s="66">
        <v>9000</v>
      </c>
      <c r="AN438" s="190"/>
      <c r="AO438" s="81"/>
      <c r="AR438" s="131"/>
      <c r="AS438" s="111"/>
    </row>
    <row r="439" spans="1:45" x14ac:dyDescent="0.35">
      <c r="A439" s="66"/>
      <c r="B439" s="66"/>
      <c r="C439" s="49"/>
      <c r="D439" s="49"/>
      <c r="E439" s="49"/>
      <c r="F439" s="49" t="s">
        <v>435</v>
      </c>
      <c r="G439" s="49"/>
      <c r="H439" s="63">
        <v>1648.19</v>
      </c>
      <c r="I439" s="63">
        <v>7500</v>
      </c>
      <c r="J439" s="64">
        <v>2683.31</v>
      </c>
      <c r="K439" s="64">
        <v>7500</v>
      </c>
      <c r="L439" s="65">
        <v>3272</v>
      </c>
      <c r="M439" s="65">
        <v>7500</v>
      </c>
      <c r="N439" s="66">
        <f t="shared" si="218"/>
        <v>7603.5</v>
      </c>
      <c r="O439" s="66">
        <f t="shared" si="218"/>
        <v>22500</v>
      </c>
      <c r="P439" s="69">
        <f t="shared" si="206"/>
        <v>2534.5</v>
      </c>
      <c r="Q439" s="69">
        <f t="shared" si="206"/>
        <v>7500</v>
      </c>
      <c r="R439" s="294"/>
      <c r="S439" s="49"/>
      <c r="T439" s="49"/>
      <c r="U439" s="49"/>
      <c r="V439" s="49"/>
      <c r="W439" s="49"/>
      <c r="X439" s="49" t="s">
        <v>435</v>
      </c>
      <c r="Y439" s="49"/>
      <c r="Z439" s="66">
        <v>9000</v>
      </c>
      <c r="AA439" s="280"/>
      <c r="AB439" s="66">
        <v>9000</v>
      </c>
      <c r="AC439" s="66">
        <v>5737.5</v>
      </c>
      <c r="AD439" s="66">
        <v>5737.5</v>
      </c>
      <c r="AE439" s="66">
        <v>9000</v>
      </c>
      <c r="AF439" s="66">
        <v>9000</v>
      </c>
      <c r="AG439" s="66">
        <v>9000</v>
      </c>
      <c r="AH439" s="66">
        <v>9000</v>
      </c>
      <c r="AI439" s="66">
        <v>9000</v>
      </c>
      <c r="AJ439" s="66">
        <v>9000</v>
      </c>
      <c r="AK439" s="66">
        <v>7500</v>
      </c>
      <c r="AL439" s="303" t="s">
        <v>954</v>
      </c>
      <c r="AM439" s="66">
        <v>9000</v>
      </c>
      <c r="AN439" s="190"/>
      <c r="AO439" s="81"/>
      <c r="AR439" s="131"/>
      <c r="AS439" s="111"/>
    </row>
    <row r="440" spans="1:45" ht="16" thickBot="1" x14ac:dyDescent="0.4">
      <c r="A440" s="66"/>
      <c r="B440" s="66"/>
      <c r="C440" s="49"/>
      <c r="D440" s="49"/>
      <c r="E440" s="49"/>
      <c r="F440" s="49" t="s">
        <v>436</v>
      </c>
      <c r="G440" s="49"/>
      <c r="H440" s="70">
        <v>3297.29</v>
      </c>
      <c r="I440" s="70">
        <v>7500</v>
      </c>
      <c r="J440" s="71">
        <v>2743.52</v>
      </c>
      <c r="K440" s="71">
        <v>7500</v>
      </c>
      <c r="L440" s="72">
        <v>4670.57</v>
      </c>
      <c r="M440" s="72">
        <v>7500</v>
      </c>
      <c r="N440" s="73">
        <f t="shared" si="218"/>
        <v>10711.38</v>
      </c>
      <c r="O440" s="73">
        <f t="shared" si="218"/>
        <v>22500</v>
      </c>
      <c r="P440" s="74">
        <f t="shared" si="206"/>
        <v>3570.4599999999996</v>
      </c>
      <c r="Q440" s="74">
        <f t="shared" si="206"/>
        <v>7500</v>
      </c>
      <c r="R440" s="294"/>
      <c r="S440" s="49"/>
      <c r="T440" s="49"/>
      <c r="U440" s="49"/>
      <c r="V440" s="49"/>
      <c r="W440" s="49"/>
      <c r="X440" s="49" t="s">
        <v>436</v>
      </c>
      <c r="Y440" s="49"/>
      <c r="Z440" s="73">
        <v>9000</v>
      </c>
      <c r="AA440" s="280"/>
      <c r="AB440" s="73">
        <v>9000</v>
      </c>
      <c r="AC440" s="66">
        <v>6050</v>
      </c>
      <c r="AD440" s="66">
        <v>6050</v>
      </c>
      <c r="AE440" s="66">
        <v>9000</v>
      </c>
      <c r="AF440" s="66">
        <v>9000</v>
      </c>
      <c r="AG440" s="66">
        <v>9000</v>
      </c>
      <c r="AH440" s="66">
        <v>9000</v>
      </c>
      <c r="AI440" s="66">
        <v>9000</v>
      </c>
      <c r="AJ440" s="66">
        <v>9000</v>
      </c>
      <c r="AK440" s="66">
        <v>7500</v>
      </c>
      <c r="AL440" s="303" t="s">
        <v>954</v>
      </c>
      <c r="AM440" s="73">
        <v>9000</v>
      </c>
      <c r="AN440" s="190"/>
      <c r="AO440" s="81"/>
      <c r="AR440" s="131"/>
      <c r="AS440" s="111"/>
    </row>
    <row r="441" spans="1:45" x14ac:dyDescent="0.35">
      <c r="A441" s="66"/>
      <c r="B441" s="66"/>
      <c r="C441" s="49"/>
      <c r="D441" s="49"/>
      <c r="E441" s="49" t="s">
        <v>437</v>
      </c>
      <c r="F441" s="49"/>
      <c r="G441" s="49"/>
      <c r="H441" s="63">
        <f t="shared" ref="H441:M441" si="219">ROUND(SUM(H430:H440),5)</f>
        <v>39609.57</v>
      </c>
      <c r="I441" s="63">
        <f t="shared" si="219"/>
        <v>75000</v>
      </c>
      <c r="J441" s="64">
        <f t="shared" si="219"/>
        <v>50436.92</v>
      </c>
      <c r="K441" s="64">
        <f t="shared" si="219"/>
        <v>75000</v>
      </c>
      <c r="L441" s="65">
        <f t="shared" si="219"/>
        <v>53552.160000000003</v>
      </c>
      <c r="M441" s="65">
        <f t="shared" si="219"/>
        <v>75000</v>
      </c>
      <c r="N441" s="66">
        <f t="shared" si="218"/>
        <v>143598.65</v>
      </c>
      <c r="O441" s="66">
        <f t="shared" si="218"/>
        <v>225000</v>
      </c>
      <c r="P441" s="69">
        <f t="shared" si="206"/>
        <v>47866.216666666667</v>
      </c>
      <c r="Q441" s="69">
        <f t="shared" si="206"/>
        <v>75000</v>
      </c>
      <c r="R441" s="294"/>
      <c r="S441" s="49"/>
      <c r="T441" s="49"/>
      <c r="U441" s="49"/>
      <c r="V441" s="49"/>
      <c r="W441" s="49" t="s">
        <v>437</v>
      </c>
      <c r="X441" s="49"/>
      <c r="Y441" s="49"/>
      <c r="Z441" s="66">
        <f>ROUND(SUM(Z430:Z440),5)</f>
        <v>90000</v>
      </c>
      <c r="AA441" s="280"/>
      <c r="AB441" s="80">
        <f t="shared" ref="AB441:AK441" si="220">ROUND(SUM(AB430:AB440),5)</f>
        <v>90000</v>
      </c>
      <c r="AC441" s="80">
        <f t="shared" si="220"/>
        <v>68000</v>
      </c>
      <c r="AD441" s="80">
        <f t="shared" si="220"/>
        <v>88000</v>
      </c>
      <c r="AE441" s="80">
        <f t="shared" si="220"/>
        <v>90000</v>
      </c>
      <c r="AF441" s="80">
        <f t="shared" si="220"/>
        <v>90000</v>
      </c>
      <c r="AG441" s="80">
        <f t="shared" si="220"/>
        <v>90000</v>
      </c>
      <c r="AH441" s="80">
        <f t="shared" si="220"/>
        <v>90000</v>
      </c>
      <c r="AI441" s="80">
        <f t="shared" si="220"/>
        <v>90000</v>
      </c>
      <c r="AJ441" s="80">
        <f t="shared" si="220"/>
        <v>90000</v>
      </c>
      <c r="AK441" s="266">
        <f t="shared" si="220"/>
        <v>75000</v>
      </c>
      <c r="AL441" s="302"/>
      <c r="AM441" s="270">
        <f t="shared" ref="AM441" si="221">ROUND(SUM(AM430:AM440),5)</f>
        <v>90000</v>
      </c>
      <c r="AN441" s="190"/>
      <c r="AO441" s="81"/>
      <c r="AS441" s="111"/>
    </row>
    <row r="442" spans="1:45" x14ac:dyDescent="0.35">
      <c r="A442" s="66"/>
      <c r="B442" s="66"/>
      <c r="C442" s="49"/>
      <c r="D442" s="49"/>
      <c r="E442" s="49" t="s">
        <v>438</v>
      </c>
      <c r="F442" s="49"/>
      <c r="G442" s="49"/>
      <c r="H442" s="63"/>
      <c r="I442" s="63"/>
      <c r="J442" s="64"/>
      <c r="K442" s="64"/>
      <c r="L442" s="65"/>
      <c r="M442" s="65"/>
      <c r="N442" s="66"/>
      <c r="O442" s="66"/>
      <c r="P442" s="69"/>
      <c r="Q442" s="69"/>
      <c r="R442" s="294"/>
      <c r="S442" s="49"/>
      <c r="T442" s="49"/>
      <c r="U442" s="49"/>
      <c r="V442" s="49"/>
      <c r="W442" s="49" t="s">
        <v>438</v>
      </c>
      <c r="X442" s="49"/>
      <c r="Y442" s="49"/>
      <c r="Z442" s="66"/>
      <c r="AA442" s="280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M442" s="66"/>
      <c r="AO442" s="81"/>
    </row>
    <row r="443" spans="1:45" x14ac:dyDescent="0.35">
      <c r="A443" s="66"/>
      <c r="B443" s="66"/>
      <c r="C443" s="49"/>
      <c r="D443" s="49"/>
      <c r="E443" s="49"/>
      <c r="F443" s="49" t="s">
        <v>439</v>
      </c>
      <c r="G443" s="49"/>
      <c r="H443" s="63"/>
      <c r="I443" s="63"/>
      <c r="J443" s="64"/>
      <c r="K443" s="64"/>
      <c r="L443" s="65"/>
      <c r="M443" s="65"/>
      <c r="N443" s="66"/>
      <c r="O443" s="66"/>
      <c r="P443" s="69"/>
      <c r="Q443" s="69"/>
      <c r="R443" s="294"/>
      <c r="S443" s="49"/>
      <c r="T443" s="49"/>
      <c r="U443" s="49"/>
      <c r="V443" s="49"/>
      <c r="W443" s="49"/>
      <c r="X443" s="49" t="s">
        <v>439</v>
      </c>
      <c r="Y443" s="49"/>
      <c r="Z443" s="66"/>
      <c r="AA443" s="280"/>
      <c r="AB443" s="66"/>
      <c r="AC443" s="66"/>
      <c r="AD443" s="66"/>
      <c r="AE443" s="66"/>
      <c r="AF443" s="66"/>
      <c r="AG443" s="66"/>
      <c r="AH443" s="66"/>
      <c r="AI443" s="66"/>
      <c r="AJ443" s="66"/>
      <c r="AK443" s="66"/>
      <c r="AM443" s="66"/>
      <c r="AO443" s="81"/>
    </row>
    <row r="444" spans="1:45" x14ac:dyDescent="0.35">
      <c r="A444" s="66"/>
      <c r="B444" s="66"/>
      <c r="C444" s="49"/>
      <c r="D444" s="49"/>
      <c r="E444" s="49"/>
      <c r="F444" s="49"/>
      <c r="G444" s="49" t="s">
        <v>440</v>
      </c>
      <c r="H444" s="63">
        <v>403.96</v>
      </c>
      <c r="I444" s="63">
        <v>0</v>
      </c>
      <c r="J444" s="64">
        <v>0</v>
      </c>
      <c r="K444" s="64">
        <v>3000</v>
      </c>
      <c r="L444" s="65">
        <v>2678.36</v>
      </c>
      <c r="M444" s="65">
        <v>3500</v>
      </c>
      <c r="N444" s="66">
        <f t="shared" ref="N444:O455" si="222">ROUND(H444+J444+L444,5)</f>
        <v>3082.32</v>
      </c>
      <c r="O444" s="66">
        <f t="shared" si="222"/>
        <v>6500</v>
      </c>
      <c r="P444" s="69">
        <f t="shared" si="206"/>
        <v>1027.44</v>
      </c>
      <c r="Q444" s="69">
        <f t="shared" si="206"/>
        <v>2166.6666666666665</v>
      </c>
      <c r="R444" s="294"/>
      <c r="S444" s="49"/>
      <c r="T444" s="49"/>
      <c r="U444" s="49"/>
      <c r="V444" s="49"/>
      <c r="W444" s="49"/>
      <c r="X444" s="49"/>
      <c r="Y444" s="49" t="s">
        <v>440</v>
      </c>
      <c r="Z444" s="66">
        <v>3500</v>
      </c>
      <c r="AA444" s="280"/>
      <c r="AB444" s="66">
        <f>Travel!$T$139</f>
        <v>3700</v>
      </c>
      <c r="AC444" s="66">
        <f>Travel!$T$139</f>
        <v>3700</v>
      </c>
      <c r="AD444" s="66">
        <f>Travel!$T$139</f>
        <v>3700</v>
      </c>
      <c r="AE444" s="66">
        <f>Travel!$T$139</f>
        <v>3700</v>
      </c>
      <c r="AF444" s="66">
        <v>5550</v>
      </c>
      <c r="AG444" s="66">
        <v>5550</v>
      </c>
      <c r="AH444" s="66">
        <v>5550</v>
      </c>
      <c r="AI444" s="66">
        <f>Travel!$T$139</f>
        <v>3700</v>
      </c>
      <c r="AJ444" s="66">
        <f>Travel!$T$139</f>
        <v>3700</v>
      </c>
      <c r="AK444" s="66">
        <v>3700</v>
      </c>
      <c r="AM444" s="66">
        <f>Travel!$T$139</f>
        <v>3700</v>
      </c>
      <c r="AN444" s="274">
        <f>9*1850</f>
        <v>16650</v>
      </c>
      <c r="AO444"/>
      <c r="AQ444"/>
      <c r="AR444"/>
      <c r="AS444"/>
    </row>
    <row r="445" spans="1:45" x14ac:dyDescent="0.35">
      <c r="A445" s="66"/>
      <c r="B445" s="66"/>
      <c r="C445" s="49"/>
      <c r="D445" s="49"/>
      <c r="E445" s="49"/>
      <c r="F445" s="49"/>
      <c r="G445" s="49" t="s">
        <v>441</v>
      </c>
      <c r="H445" s="63">
        <v>1105.1500000000001</v>
      </c>
      <c r="I445" s="63">
        <v>0</v>
      </c>
      <c r="J445" s="64">
        <v>1255.02</v>
      </c>
      <c r="K445" s="64">
        <v>3000</v>
      </c>
      <c r="L445" s="65">
        <v>1986.01</v>
      </c>
      <c r="M445" s="65">
        <v>3500</v>
      </c>
      <c r="N445" s="66">
        <f t="shared" si="222"/>
        <v>4346.18</v>
      </c>
      <c r="O445" s="66">
        <f t="shared" si="222"/>
        <v>6500</v>
      </c>
      <c r="P445" s="69">
        <f t="shared" si="206"/>
        <v>1448.7266666666667</v>
      </c>
      <c r="Q445" s="69">
        <f t="shared" si="206"/>
        <v>2166.6666666666665</v>
      </c>
      <c r="R445" s="294"/>
      <c r="S445" s="49"/>
      <c r="T445" s="49"/>
      <c r="U445" s="49"/>
      <c r="V445" s="49"/>
      <c r="W445" s="49"/>
      <c r="X445" s="49"/>
      <c r="Y445" s="49" t="s">
        <v>441</v>
      </c>
      <c r="Z445" s="66">
        <v>3500</v>
      </c>
      <c r="AA445" s="280"/>
      <c r="AB445" s="66">
        <f>Travel!$T$141</f>
        <v>3700</v>
      </c>
      <c r="AC445" s="66">
        <f>Travel!$T$141</f>
        <v>3700</v>
      </c>
      <c r="AD445" s="66">
        <f>Travel!$T$141</f>
        <v>3700</v>
      </c>
      <c r="AE445" s="66">
        <f>Travel!$T$141</f>
        <v>3700</v>
      </c>
      <c r="AF445" s="66">
        <v>5550</v>
      </c>
      <c r="AG445" s="66">
        <v>5550</v>
      </c>
      <c r="AH445" s="66">
        <v>5550</v>
      </c>
      <c r="AI445" s="66">
        <f>Travel!$T$141</f>
        <v>3700</v>
      </c>
      <c r="AJ445" s="66">
        <f>Travel!$T$141</f>
        <v>3700</v>
      </c>
      <c r="AK445" s="66">
        <v>3700</v>
      </c>
      <c r="AM445" s="66">
        <f>Travel!$T$141</f>
        <v>3700</v>
      </c>
      <c r="AO445"/>
      <c r="AQ445"/>
      <c r="AR445"/>
      <c r="AS445"/>
    </row>
    <row r="446" spans="1:45" ht="16" x14ac:dyDescent="0.35">
      <c r="A446" s="66"/>
      <c r="B446" s="66"/>
      <c r="C446" s="49"/>
      <c r="D446" s="49"/>
      <c r="E446" s="49"/>
      <c r="F446" s="49"/>
      <c r="G446" s="49" t="s">
        <v>442</v>
      </c>
      <c r="H446" s="63">
        <v>1181.1600000000001</v>
      </c>
      <c r="I446" s="63">
        <v>0</v>
      </c>
      <c r="J446" s="64">
        <v>0</v>
      </c>
      <c r="K446" s="64">
        <v>3000</v>
      </c>
      <c r="L446" s="65">
        <v>0</v>
      </c>
      <c r="M446" s="65">
        <v>3500</v>
      </c>
      <c r="N446" s="66">
        <f t="shared" si="222"/>
        <v>1181.1600000000001</v>
      </c>
      <c r="O446" s="66">
        <f t="shared" si="222"/>
        <v>6500</v>
      </c>
      <c r="P446" s="69">
        <f t="shared" si="206"/>
        <v>393.72</v>
      </c>
      <c r="Q446" s="69">
        <f t="shared" si="206"/>
        <v>2166.6666666666665</v>
      </c>
      <c r="R446" s="294"/>
      <c r="S446" s="49"/>
      <c r="T446" s="49"/>
      <c r="U446" s="49"/>
      <c r="V446" s="49"/>
      <c r="W446" s="49"/>
      <c r="X446" s="49"/>
      <c r="Y446" s="49" t="s">
        <v>442</v>
      </c>
      <c r="Z446" s="66">
        <v>3500</v>
      </c>
      <c r="AA446" s="280"/>
      <c r="AB446" s="66">
        <f>Travel!$T$145</f>
        <v>3700</v>
      </c>
      <c r="AC446" s="66">
        <f>Travel!$T$145</f>
        <v>3700</v>
      </c>
      <c r="AD446" s="66">
        <f>Travel!$T$145</f>
        <v>3700</v>
      </c>
      <c r="AE446" s="66">
        <f>Travel!$T$145</f>
        <v>3700</v>
      </c>
      <c r="AF446" s="66">
        <v>5550</v>
      </c>
      <c r="AG446" s="66">
        <v>5550</v>
      </c>
      <c r="AH446" s="66">
        <v>5550</v>
      </c>
      <c r="AI446" s="66">
        <f>Travel!$T$145</f>
        <v>3700</v>
      </c>
      <c r="AJ446" s="66">
        <f>Travel!$T$145</f>
        <v>3700</v>
      </c>
      <c r="AK446" s="66">
        <v>3700</v>
      </c>
      <c r="AM446" s="66">
        <f>Travel!$T$145</f>
        <v>3700</v>
      </c>
      <c r="AN446" s="191"/>
      <c r="AO446"/>
      <c r="AQ446"/>
      <c r="AR446"/>
      <c r="AS446"/>
    </row>
    <row r="447" spans="1:45" ht="16" x14ac:dyDescent="0.35">
      <c r="A447" s="66"/>
      <c r="B447" s="66"/>
      <c r="C447" s="49"/>
      <c r="D447" s="49"/>
      <c r="E447" s="49"/>
      <c r="F447" s="49"/>
      <c r="G447" s="49" t="s">
        <v>443</v>
      </c>
      <c r="H447" s="63">
        <v>0</v>
      </c>
      <c r="I447" s="63"/>
      <c r="J447" s="64">
        <v>0</v>
      </c>
      <c r="K447" s="64"/>
      <c r="L447" s="65">
        <v>1117.28</v>
      </c>
      <c r="M447" s="65">
        <v>3500</v>
      </c>
      <c r="N447" s="66">
        <f t="shared" si="222"/>
        <v>1117.28</v>
      </c>
      <c r="O447" s="66">
        <f t="shared" si="222"/>
        <v>3500</v>
      </c>
      <c r="P447" s="69">
        <f t="shared" si="206"/>
        <v>372.42666666666668</v>
      </c>
      <c r="Q447" s="69">
        <f t="shared" si="206"/>
        <v>1166.6666666666667</v>
      </c>
      <c r="R447" s="294"/>
      <c r="S447" s="49"/>
      <c r="T447" s="49"/>
      <c r="U447" s="49"/>
      <c r="V447" s="49"/>
      <c r="W447" s="49"/>
      <c r="X447" s="49"/>
      <c r="Y447" s="49" t="s">
        <v>443</v>
      </c>
      <c r="Z447" s="66">
        <v>3500</v>
      </c>
      <c r="AA447" s="280"/>
      <c r="AB447" s="66">
        <f>Travel!$T$149</f>
        <v>3700</v>
      </c>
      <c r="AC447" s="66">
        <f>Travel!$T$149</f>
        <v>3700</v>
      </c>
      <c r="AD447" s="66">
        <f>Travel!$T$149</f>
        <v>3700</v>
      </c>
      <c r="AE447" s="66">
        <f>Travel!$T$149</f>
        <v>3700</v>
      </c>
      <c r="AF447" s="66">
        <v>5550</v>
      </c>
      <c r="AG447" s="66">
        <v>5550</v>
      </c>
      <c r="AH447" s="66">
        <v>5550</v>
      </c>
      <c r="AI447" s="66">
        <f>Travel!$T$149</f>
        <v>3700</v>
      </c>
      <c r="AJ447" s="66">
        <f>Travel!$T$149</f>
        <v>3700</v>
      </c>
      <c r="AK447" s="66">
        <v>3700</v>
      </c>
      <c r="AM447" s="66">
        <f>Travel!$T$149</f>
        <v>3700</v>
      </c>
      <c r="AN447" s="191"/>
      <c r="AO447"/>
      <c r="AQ447"/>
      <c r="AR447"/>
      <c r="AS447"/>
    </row>
    <row r="448" spans="1:45" ht="16" x14ac:dyDescent="0.35">
      <c r="A448" s="66"/>
      <c r="B448" s="66"/>
      <c r="C448" s="49"/>
      <c r="D448" s="49"/>
      <c r="E448" s="49"/>
      <c r="F448" s="49"/>
      <c r="G448" s="49" t="s">
        <v>444</v>
      </c>
      <c r="H448" s="63">
        <v>2148.44</v>
      </c>
      <c r="I448" s="63">
        <v>0</v>
      </c>
      <c r="J448" s="64">
        <v>1620.45</v>
      </c>
      <c r="K448" s="64">
        <v>3000</v>
      </c>
      <c r="L448" s="65">
        <v>1291.76</v>
      </c>
      <c r="M448" s="65">
        <v>3500</v>
      </c>
      <c r="N448" s="66">
        <f t="shared" si="222"/>
        <v>5060.6499999999996</v>
      </c>
      <c r="O448" s="66">
        <f t="shared" si="222"/>
        <v>6500</v>
      </c>
      <c r="P448" s="69">
        <f t="shared" si="206"/>
        <v>1686.8833333333332</v>
      </c>
      <c r="Q448" s="69">
        <f t="shared" si="206"/>
        <v>2166.6666666666665</v>
      </c>
      <c r="R448" s="294"/>
      <c r="S448" s="49"/>
      <c r="T448" s="49"/>
      <c r="U448" s="49"/>
      <c r="V448" s="49"/>
      <c r="W448" s="49"/>
      <c r="X448" s="49"/>
      <c r="Y448" s="49" t="s">
        <v>444</v>
      </c>
      <c r="Z448" s="66">
        <v>3500</v>
      </c>
      <c r="AA448" s="280"/>
      <c r="AB448" s="66">
        <f>Travel!$T$151</f>
        <v>3700</v>
      </c>
      <c r="AC448" s="66">
        <f>Travel!$T$151</f>
        <v>3700</v>
      </c>
      <c r="AD448" s="66">
        <f>Travel!$T$151</f>
        <v>3700</v>
      </c>
      <c r="AE448" s="66">
        <f>Travel!$T$151</f>
        <v>3700</v>
      </c>
      <c r="AF448" s="66">
        <v>5550</v>
      </c>
      <c r="AG448" s="66">
        <v>5550</v>
      </c>
      <c r="AH448" s="66">
        <v>5550</v>
      </c>
      <c r="AI448" s="66">
        <f>Travel!$T$151</f>
        <v>3700</v>
      </c>
      <c r="AJ448" s="66">
        <f>Travel!$T$151</f>
        <v>3700</v>
      </c>
      <c r="AK448" s="66">
        <v>3700</v>
      </c>
      <c r="AM448" s="66">
        <f>Travel!$T$151</f>
        <v>3700</v>
      </c>
      <c r="AN448" s="191"/>
      <c r="AO448"/>
      <c r="AQ448"/>
      <c r="AR448"/>
      <c r="AS448"/>
    </row>
    <row r="449" spans="1:46" ht="16" x14ac:dyDescent="0.35">
      <c r="A449" s="66"/>
      <c r="B449" s="66"/>
      <c r="C449" s="49"/>
      <c r="D449" s="49"/>
      <c r="E449" s="49"/>
      <c r="F449" s="49"/>
      <c r="G449" s="49" t="s">
        <v>445</v>
      </c>
      <c r="H449" s="63">
        <v>0</v>
      </c>
      <c r="I449" s="63"/>
      <c r="J449" s="64">
        <v>1359.25</v>
      </c>
      <c r="K449" s="64"/>
      <c r="L449" s="65">
        <v>1201.5999999999999</v>
      </c>
      <c r="M449" s="65">
        <v>3500</v>
      </c>
      <c r="N449" s="66">
        <f t="shared" si="222"/>
        <v>2560.85</v>
      </c>
      <c r="O449" s="66">
        <f t="shared" si="222"/>
        <v>3500</v>
      </c>
      <c r="P449" s="69">
        <f t="shared" si="206"/>
        <v>853.61666666666667</v>
      </c>
      <c r="Q449" s="69">
        <f t="shared" si="206"/>
        <v>1166.6666666666667</v>
      </c>
      <c r="R449" s="294"/>
      <c r="S449" s="49"/>
      <c r="T449" s="49"/>
      <c r="U449" s="49"/>
      <c r="V449" s="49"/>
      <c r="W449" s="49"/>
      <c r="X449" s="49"/>
      <c r="Y449" s="49" t="s">
        <v>445</v>
      </c>
      <c r="Z449" s="66">
        <v>3500</v>
      </c>
      <c r="AA449" s="280"/>
      <c r="AB449" s="66">
        <f>Travel!$T$153</f>
        <v>3700</v>
      </c>
      <c r="AC449" s="66">
        <f>Travel!$T$153</f>
        <v>3700</v>
      </c>
      <c r="AD449" s="66">
        <f>Travel!$T$153</f>
        <v>3700</v>
      </c>
      <c r="AE449" s="66">
        <f>Travel!$T$153</f>
        <v>3700</v>
      </c>
      <c r="AF449" s="66">
        <v>5550</v>
      </c>
      <c r="AG449" s="66">
        <v>5550</v>
      </c>
      <c r="AH449" s="66">
        <v>5550</v>
      </c>
      <c r="AI449" s="66">
        <f>Travel!$T$153</f>
        <v>3700</v>
      </c>
      <c r="AJ449" s="66">
        <f>Travel!$T$153</f>
        <v>3700</v>
      </c>
      <c r="AK449" s="66">
        <v>3700</v>
      </c>
      <c r="AM449" s="66">
        <f>Travel!$T$153</f>
        <v>3700</v>
      </c>
      <c r="AN449" s="191"/>
      <c r="AO449"/>
      <c r="AQ449"/>
      <c r="AR449"/>
      <c r="AS449"/>
    </row>
    <row r="450" spans="1:46" ht="16" x14ac:dyDescent="0.35">
      <c r="A450" s="66"/>
      <c r="B450" s="66"/>
      <c r="C450" s="49"/>
      <c r="D450" s="49"/>
      <c r="E450" s="49"/>
      <c r="F450" s="49"/>
      <c r="G450" s="49" t="s">
        <v>446</v>
      </c>
      <c r="H450" s="63">
        <v>2169.11</v>
      </c>
      <c r="I450" s="63">
        <v>0</v>
      </c>
      <c r="J450" s="64">
        <v>2543.84</v>
      </c>
      <c r="K450" s="64">
        <v>3000</v>
      </c>
      <c r="L450" s="65">
        <v>0</v>
      </c>
      <c r="M450" s="65">
        <v>3500</v>
      </c>
      <c r="N450" s="66">
        <f t="shared" si="222"/>
        <v>4712.95</v>
      </c>
      <c r="O450" s="66">
        <f t="shared" si="222"/>
        <v>6500</v>
      </c>
      <c r="P450" s="69">
        <f t="shared" si="206"/>
        <v>1570.9833333333333</v>
      </c>
      <c r="Q450" s="69">
        <f t="shared" si="206"/>
        <v>2166.6666666666665</v>
      </c>
      <c r="R450" s="294"/>
      <c r="S450" s="49"/>
      <c r="T450" s="49"/>
      <c r="U450" s="49"/>
      <c r="V450" s="49"/>
      <c r="W450" s="49"/>
      <c r="X450" s="49"/>
      <c r="Y450" s="49" t="s">
        <v>446</v>
      </c>
      <c r="Z450" s="66">
        <v>3500</v>
      </c>
      <c r="AA450" s="280"/>
      <c r="AB450" s="66">
        <f>Travel!$T$155</f>
        <v>3700</v>
      </c>
      <c r="AC450" s="66">
        <f>Travel!$T$155</f>
        <v>3700</v>
      </c>
      <c r="AD450" s="66">
        <f>Travel!$T$155</f>
        <v>3700</v>
      </c>
      <c r="AE450" s="66">
        <f>Travel!$T$155</f>
        <v>3700</v>
      </c>
      <c r="AF450" s="66">
        <v>5550</v>
      </c>
      <c r="AG450" s="66">
        <v>5550</v>
      </c>
      <c r="AH450" s="66">
        <v>5550</v>
      </c>
      <c r="AI450" s="66">
        <f>Travel!$T$155</f>
        <v>3700</v>
      </c>
      <c r="AJ450" s="66">
        <f>Travel!$T$155</f>
        <v>3700</v>
      </c>
      <c r="AK450" s="66">
        <v>3700</v>
      </c>
      <c r="AM450" s="66">
        <f>Travel!$T$155</f>
        <v>3700</v>
      </c>
      <c r="AN450" s="191"/>
      <c r="AO450"/>
      <c r="AQ450"/>
      <c r="AR450"/>
      <c r="AS450"/>
    </row>
    <row r="451" spans="1:46" ht="16" x14ac:dyDescent="0.35">
      <c r="A451" s="66"/>
      <c r="B451" s="66"/>
      <c r="C451" s="49"/>
      <c r="D451" s="49"/>
      <c r="E451" s="49"/>
      <c r="F451" s="49"/>
      <c r="G451" s="49" t="s">
        <v>447</v>
      </c>
      <c r="H451" s="63">
        <v>264.98</v>
      </c>
      <c r="I451" s="63">
        <v>0</v>
      </c>
      <c r="J451" s="64">
        <v>1599.88</v>
      </c>
      <c r="K451" s="64">
        <v>3000</v>
      </c>
      <c r="L451" s="65">
        <v>8758.56</v>
      </c>
      <c r="M451" s="65">
        <v>3500</v>
      </c>
      <c r="N451" s="66">
        <f t="shared" si="222"/>
        <v>10623.42</v>
      </c>
      <c r="O451" s="66">
        <f t="shared" si="222"/>
        <v>6500</v>
      </c>
      <c r="P451" s="69">
        <f t="shared" ref="P451:Q509" si="223">N451/3</f>
        <v>3541.14</v>
      </c>
      <c r="Q451" s="69">
        <f t="shared" si="223"/>
        <v>2166.6666666666665</v>
      </c>
      <c r="R451" s="294"/>
      <c r="S451" s="49"/>
      <c r="T451" s="49"/>
      <c r="U451" s="49"/>
      <c r="V451" s="49"/>
      <c r="W451" s="49"/>
      <c r="X451" s="49"/>
      <c r="Y451" s="49" t="s">
        <v>447</v>
      </c>
      <c r="Z451" s="66">
        <v>3500</v>
      </c>
      <c r="AA451" s="280"/>
      <c r="AB451" s="66">
        <f>Travel!$T$157</f>
        <v>3700</v>
      </c>
      <c r="AC451" s="66">
        <f>Travel!$T$157</f>
        <v>3700</v>
      </c>
      <c r="AD451" s="66">
        <f>Travel!$T$157</f>
        <v>3700</v>
      </c>
      <c r="AE451" s="66">
        <f>Travel!$T$157</f>
        <v>3700</v>
      </c>
      <c r="AF451" s="66">
        <v>5550</v>
      </c>
      <c r="AG451" s="66">
        <v>5550</v>
      </c>
      <c r="AH451" s="66">
        <v>5550</v>
      </c>
      <c r="AI451" s="66">
        <f>Travel!$T$157</f>
        <v>3700</v>
      </c>
      <c r="AJ451" s="66">
        <f>Travel!$T$157</f>
        <v>3700</v>
      </c>
      <c r="AK451" s="66">
        <v>3700</v>
      </c>
      <c r="AM451" s="66">
        <f>Travel!$T$157</f>
        <v>3700</v>
      </c>
      <c r="AN451" s="218" t="s">
        <v>863</v>
      </c>
      <c r="AO451"/>
      <c r="AQ451"/>
      <c r="AR451"/>
      <c r="AS451"/>
    </row>
    <row r="452" spans="1:46" ht="16" x14ac:dyDescent="0.35">
      <c r="A452" s="66"/>
      <c r="B452" s="66"/>
      <c r="C452" s="49"/>
      <c r="D452" s="49"/>
      <c r="E452" s="49"/>
      <c r="F452" s="49"/>
      <c r="G452" s="49" t="s">
        <v>448</v>
      </c>
      <c r="H452" s="63">
        <v>1259.58</v>
      </c>
      <c r="I452" s="63">
        <v>0</v>
      </c>
      <c r="J452" s="64">
        <v>2139.39</v>
      </c>
      <c r="K452" s="64">
        <v>3000</v>
      </c>
      <c r="L452" s="65">
        <v>1207.4000000000001</v>
      </c>
      <c r="M452" s="65">
        <v>3500</v>
      </c>
      <c r="N452" s="66">
        <f t="shared" si="222"/>
        <v>4606.37</v>
      </c>
      <c r="O452" s="66">
        <f t="shared" si="222"/>
        <v>6500</v>
      </c>
      <c r="P452" s="69">
        <f t="shared" si="223"/>
        <v>1535.4566666666667</v>
      </c>
      <c r="Q452" s="69">
        <f t="shared" si="223"/>
        <v>2166.6666666666665</v>
      </c>
      <c r="R452" s="294"/>
      <c r="S452" s="49"/>
      <c r="T452" s="49"/>
      <c r="U452" s="49"/>
      <c r="V452" s="49"/>
      <c r="W452" s="49"/>
      <c r="X452" s="49"/>
      <c r="Y452" s="49" t="s">
        <v>448</v>
      </c>
      <c r="Z452" s="66">
        <v>3500</v>
      </c>
      <c r="AA452" s="280"/>
      <c r="AB452" s="66">
        <f>Travel!$T$159</f>
        <v>3700</v>
      </c>
      <c r="AC452" s="66">
        <f>Travel!$T$159</f>
        <v>3700</v>
      </c>
      <c r="AD452" s="66">
        <f>Travel!$T$159</f>
        <v>3700</v>
      </c>
      <c r="AE452" s="66">
        <f>Travel!$T$159</f>
        <v>3700</v>
      </c>
      <c r="AF452" s="66">
        <v>5550</v>
      </c>
      <c r="AG452" s="66">
        <v>5550</v>
      </c>
      <c r="AH452" s="66">
        <v>5550</v>
      </c>
      <c r="AI452" s="66">
        <f>Travel!$T$159</f>
        <v>3700</v>
      </c>
      <c r="AJ452" s="66">
        <f>Travel!$T$159</f>
        <v>3700</v>
      </c>
      <c r="AK452" s="66">
        <v>3700</v>
      </c>
      <c r="AM452" s="66">
        <f>Travel!$T$159</f>
        <v>3700</v>
      </c>
      <c r="AN452" s="191"/>
      <c r="AO452"/>
      <c r="AQ452"/>
      <c r="AR452"/>
      <c r="AS452"/>
    </row>
    <row r="453" spans="1:46" ht="16.5" thickBot="1" x14ac:dyDescent="0.4">
      <c r="A453" s="66"/>
      <c r="B453" s="66"/>
      <c r="C453" s="49"/>
      <c r="D453" s="49"/>
      <c r="E453" s="49"/>
      <c r="F453" s="49"/>
      <c r="G453" s="49" t="s">
        <v>449</v>
      </c>
      <c r="H453" s="63">
        <v>0</v>
      </c>
      <c r="I453" s="63">
        <v>49500</v>
      </c>
      <c r="J453" s="64">
        <v>0</v>
      </c>
      <c r="K453" s="64">
        <v>10000</v>
      </c>
      <c r="L453" s="65">
        <v>0</v>
      </c>
      <c r="M453" s="65">
        <v>20000</v>
      </c>
      <c r="N453" s="66">
        <f t="shared" si="222"/>
        <v>0</v>
      </c>
      <c r="O453" s="66">
        <f t="shared" si="222"/>
        <v>79500</v>
      </c>
      <c r="P453" s="69">
        <f t="shared" si="223"/>
        <v>0</v>
      </c>
      <c r="Q453" s="69">
        <f t="shared" si="223"/>
        <v>26500</v>
      </c>
      <c r="R453" s="294"/>
      <c r="S453" s="49"/>
      <c r="T453" s="49"/>
      <c r="U453" s="49"/>
      <c r="V453" s="49"/>
      <c r="W453" s="49"/>
      <c r="X453" s="49"/>
      <c r="Y453" s="49" t="s">
        <v>449</v>
      </c>
      <c r="Z453" s="73">
        <v>22000</v>
      </c>
      <c r="AA453" s="280"/>
      <c r="AB453" s="66">
        <f>Travel!$R$160</f>
        <v>10000</v>
      </c>
      <c r="AC453" s="66">
        <v>10000</v>
      </c>
      <c r="AD453" s="66">
        <v>10000</v>
      </c>
      <c r="AE453" s="66">
        <v>15000</v>
      </c>
      <c r="AF453" s="66">
        <v>17500</v>
      </c>
      <c r="AG453" s="66">
        <v>10000</v>
      </c>
      <c r="AH453" s="66">
        <v>10000</v>
      </c>
      <c r="AI453" s="66">
        <f>Travel!$P$160</f>
        <v>10000</v>
      </c>
      <c r="AJ453" s="66">
        <f>Travel!$P$160</f>
        <v>10000</v>
      </c>
      <c r="AK453" s="66">
        <f>Travel!$P$160</f>
        <v>10000</v>
      </c>
      <c r="AL453" s="299"/>
      <c r="AM453" s="66">
        <f>Travel!$P$160</f>
        <v>10000</v>
      </c>
      <c r="AN453" s="218" t="s">
        <v>1011</v>
      </c>
      <c r="AO453"/>
      <c r="AQ453"/>
      <c r="AR453"/>
      <c r="AS453"/>
    </row>
    <row r="454" spans="1:46" ht="16.5" thickBot="1" x14ac:dyDescent="0.4">
      <c r="A454" s="66"/>
      <c r="B454" s="66"/>
      <c r="C454" s="49"/>
      <c r="D454" s="49"/>
      <c r="E454" s="49"/>
      <c r="F454" s="49" t="s">
        <v>450</v>
      </c>
      <c r="G454" s="49"/>
      <c r="H454" s="75">
        <f t="shared" ref="H454:M454" si="224">ROUND(SUM(H443:H453),5)</f>
        <v>8532.3799999999992</v>
      </c>
      <c r="I454" s="75">
        <f t="shared" si="224"/>
        <v>49500</v>
      </c>
      <c r="J454" s="76">
        <f t="shared" si="224"/>
        <v>10517.83</v>
      </c>
      <c r="K454" s="76">
        <f t="shared" si="224"/>
        <v>31000</v>
      </c>
      <c r="L454" s="77">
        <f t="shared" si="224"/>
        <v>18240.97</v>
      </c>
      <c r="M454" s="77">
        <f t="shared" si="224"/>
        <v>51500</v>
      </c>
      <c r="N454" s="78">
        <f t="shared" si="222"/>
        <v>37291.18</v>
      </c>
      <c r="O454" s="78">
        <f t="shared" si="222"/>
        <v>132000</v>
      </c>
      <c r="P454" s="79">
        <f t="shared" si="223"/>
        <v>12430.393333333333</v>
      </c>
      <c r="Q454" s="79">
        <f t="shared" si="223"/>
        <v>44000</v>
      </c>
      <c r="R454" s="294"/>
      <c r="S454" s="49"/>
      <c r="T454" s="49"/>
      <c r="U454" s="49"/>
      <c r="V454" s="49"/>
      <c r="W454" s="49"/>
      <c r="X454" s="49" t="s">
        <v>450</v>
      </c>
      <c r="Y454" s="49"/>
      <c r="Z454" s="66">
        <f>ROUND(SUM(Z443:Z453),5)</f>
        <v>53500</v>
      </c>
      <c r="AA454" s="280"/>
      <c r="AB454" s="88">
        <f t="shared" ref="AB454:AK454" si="225">ROUND(SUM(AB443:AB453),5)</f>
        <v>43300</v>
      </c>
      <c r="AC454" s="88">
        <f t="shared" si="225"/>
        <v>43300</v>
      </c>
      <c r="AD454" s="88">
        <f t="shared" si="225"/>
        <v>43300</v>
      </c>
      <c r="AE454" s="88">
        <f t="shared" si="225"/>
        <v>48300</v>
      </c>
      <c r="AF454" s="88">
        <f t="shared" si="225"/>
        <v>67450</v>
      </c>
      <c r="AG454" s="88">
        <f t="shared" si="225"/>
        <v>59950</v>
      </c>
      <c r="AH454" s="88">
        <f t="shared" si="225"/>
        <v>59950</v>
      </c>
      <c r="AI454" s="88">
        <f t="shared" si="225"/>
        <v>43300</v>
      </c>
      <c r="AJ454" s="88">
        <f t="shared" si="225"/>
        <v>43300</v>
      </c>
      <c r="AK454" s="266">
        <f t="shared" si="225"/>
        <v>43300</v>
      </c>
      <c r="AM454" s="270">
        <f t="shared" ref="AM454" si="226">ROUND(SUM(AM443:AM453),5)</f>
        <v>43300</v>
      </c>
      <c r="AN454" s="191"/>
      <c r="AO454"/>
      <c r="AQ454"/>
      <c r="AR454"/>
      <c r="AS454"/>
    </row>
    <row r="455" spans="1:46" ht="16" x14ac:dyDescent="0.35">
      <c r="A455" s="66"/>
      <c r="B455" s="66"/>
      <c r="C455" s="49"/>
      <c r="D455" s="49"/>
      <c r="E455" s="49" t="s">
        <v>451</v>
      </c>
      <c r="F455" s="49"/>
      <c r="G455" s="49"/>
      <c r="H455" s="75">
        <f t="shared" ref="H455:M455" si="227">ROUND(H442+SUM(H454:H454),5)</f>
        <v>8532.3799999999992</v>
      </c>
      <c r="I455" s="75">
        <f t="shared" si="227"/>
        <v>49500</v>
      </c>
      <c r="J455" s="76">
        <f t="shared" si="227"/>
        <v>10517.83</v>
      </c>
      <c r="K455" s="76">
        <f t="shared" si="227"/>
        <v>31000</v>
      </c>
      <c r="L455" s="77">
        <f t="shared" si="227"/>
        <v>18240.97</v>
      </c>
      <c r="M455" s="77">
        <f t="shared" si="227"/>
        <v>51500</v>
      </c>
      <c r="N455" s="78">
        <f t="shared" si="222"/>
        <v>37291.18</v>
      </c>
      <c r="O455" s="78">
        <f t="shared" si="222"/>
        <v>132000</v>
      </c>
      <c r="P455" s="79">
        <f t="shared" si="223"/>
        <v>12430.393333333333</v>
      </c>
      <c r="Q455" s="79">
        <f t="shared" si="223"/>
        <v>44000</v>
      </c>
      <c r="R455" s="294"/>
      <c r="S455" s="49"/>
      <c r="T455" s="49"/>
      <c r="U455" s="49"/>
      <c r="V455" s="49"/>
      <c r="W455" s="49" t="s">
        <v>451</v>
      </c>
      <c r="X455" s="49"/>
      <c r="Y455" s="49"/>
      <c r="Z455" s="78">
        <f>ROUND(Z442+SUM(Z454:Z454),5)</f>
        <v>53500</v>
      </c>
      <c r="AA455" s="280"/>
      <c r="AB455" s="78">
        <f t="shared" ref="AB455:AK455" si="228">ROUND(AB442+SUM(AB454:AB454),5)</f>
        <v>43300</v>
      </c>
      <c r="AC455" s="78">
        <f t="shared" si="228"/>
        <v>43300</v>
      </c>
      <c r="AD455" s="78">
        <f t="shared" si="228"/>
        <v>43300</v>
      </c>
      <c r="AE455" s="78">
        <f t="shared" si="228"/>
        <v>48300</v>
      </c>
      <c r="AF455" s="78">
        <f t="shared" si="228"/>
        <v>67450</v>
      </c>
      <c r="AG455" s="78">
        <f t="shared" si="228"/>
        <v>59950</v>
      </c>
      <c r="AH455" s="78">
        <f t="shared" si="228"/>
        <v>59950</v>
      </c>
      <c r="AI455" s="78">
        <f t="shared" si="228"/>
        <v>43300</v>
      </c>
      <c r="AJ455" s="78">
        <f t="shared" si="228"/>
        <v>43300</v>
      </c>
      <c r="AK455" s="78">
        <f t="shared" si="228"/>
        <v>43300</v>
      </c>
      <c r="AM455" s="78">
        <f t="shared" ref="AM455" si="229">ROUND(AM442+SUM(AM454:AM454),5)</f>
        <v>43300</v>
      </c>
      <c r="AN455" s="191"/>
      <c r="AO455"/>
      <c r="AQ455"/>
      <c r="AR455"/>
      <c r="AS455" s="316"/>
    </row>
    <row r="456" spans="1:46" ht="16" x14ac:dyDescent="0.35">
      <c r="A456" s="66"/>
      <c r="B456" s="66"/>
      <c r="C456" s="49"/>
      <c r="D456" s="49"/>
      <c r="E456" s="49" t="s">
        <v>452</v>
      </c>
      <c r="F456" s="49"/>
      <c r="G456" s="49"/>
      <c r="H456" s="63"/>
      <c r="I456" s="63"/>
      <c r="J456" s="64"/>
      <c r="K456" s="64"/>
      <c r="L456" s="65"/>
      <c r="M456" s="65"/>
      <c r="N456" s="66"/>
      <c r="O456" s="66"/>
      <c r="P456" s="69"/>
      <c r="Q456" s="69"/>
      <c r="R456" s="294"/>
      <c r="S456" s="49"/>
      <c r="T456" s="49"/>
      <c r="U456" s="49"/>
      <c r="V456" s="49"/>
      <c r="W456" s="49" t="s">
        <v>452</v>
      </c>
      <c r="X456" s="49"/>
      <c r="Y456" s="49"/>
      <c r="Z456" s="66"/>
      <c r="AA456" s="280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M456" s="66"/>
      <c r="AN456" s="191"/>
      <c r="AO456"/>
      <c r="AQ456"/>
      <c r="AR456"/>
      <c r="AS456" s="316"/>
    </row>
    <row r="457" spans="1:46" ht="16.5" thickBot="1" x14ac:dyDescent="0.4">
      <c r="A457" s="66"/>
      <c r="B457" s="66"/>
      <c r="C457" s="49"/>
      <c r="D457" s="49"/>
      <c r="E457" s="49"/>
      <c r="F457" s="49" t="s">
        <v>453</v>
      </c>
      <c r="G457" s="49"/>
      <c r="H457" s="63">
        <v>3394.9</v>
      </c>
      <c r="I457" s="63">
        <v>5000</v>
      </c>
      <c r="J457" s="64">
        <v>2013.11</v>
      </c>
      <c r="K457" s="64">
        <v>3000</v>
      </c>
      <c r="L457" s="65">
        <v>3934.62</v>
      </c>
      <c r="M457" s="65">
        <v>3500</v>
      </c>
      <c r="N457" s="66">
        <f t="shared" ref="N457:O464" si="230">ROUND(H457+J457+L457,5)</f>
        <v>9342.6299999999992</v>
      </c>
      <c r="O457" s="66">
        <f t="shared" si="230"/>
        <v>11500</v>
      </c>
      <c r="P457" s="69">
        <f t="shared" si="223"/>
        <v>3114.2099999999996</v>
      </c>
      <c r="Q457" s="69">
        <f t="shared" si="223"/>
        <v>3833.3333333333335</v>
      </c>
      <c r="R457" s="294"/>
      <c r="S457" s="49"/>
      <c r="T457" s="49"/>
      <c r="U457" s="49"/>
      <c r="V457" s="49"/>
      <c r="W457" s="49"/>
      <c r="X457" s="49" t="s">
        <v>453</v>
      </c>
      <c r="Y457" s="49"/>
      <c r="Z457" s="66">
        <v>3500</v>
      </c>
      <c r="AA457" s="280"/>
      <c r="AB457" s="66">
        <f>Travel!$T$170</f>
        <v>9250</v>
      </c>
      <c r="AC457" s="66">
        <v>5000</v>
      </c>
      <c r="AD457" s="66">
        <v>5000</v>
      </c>
      <c r="AE457" s="66">
        <v>6700</v>
      </c>
      <c r="AF457" s="66">
        <f>Travel!$T$170</f>
        <v>9250</v>
      </c>
      <c r="AG457" s="66">
        <f>Travel!$T$170+1850</f>
        <v>11100</v>
      </c>
      <c r="AH457" s="66">
        <v>11100</v>
      </c>
      <c r="AI457" s="66">
        <f>Travel!$T$170</f>
        <v>9250</v>
      </c>
      <c r="AJ457" s="66">
        <f>Travel!$T$170</f>
        <v>9250</v>
      </c>
      <c r="AK457" s="66">
        <f>Travel!$T$170</f>
        <v>9250</v>
      </c>
      <c r="AM457" s="66">
        <f>Travel!$T$170</f>
        <v>9250</v>
      </c>
      <c r="AN457" s="305" t="s">
        <v>1037</v>
      </c>
      <c r="AO457"/>
      <c r="AQ457"/>
      <c r="AR457"/>
      <c r="AS457" s="316"/>
    </row>
    <row r="458" spans="1:46" x14ac:dyDescent="0.35">
      <c r="A458" s="66"/>
      <c r="B458" s="66"/>
      <c r="C458" s="49"/>
      <c r="D458" s="49"/>
      <c r="E458" s="49"/>
      <c r="F458" s="49" t="s">
        <v>454</v>
      </c>
      <c r="G458" s="49"/>
      <c r="H458" s="63">
        <v>2565.2399999999998</v>
      </c>
      <c r="I458" s="63">
        <v>4000</v>
      </c>
      <c r="J458" s="64">
        <v>5502.14</v>
      </c>
      <c r="K458" s="64">
        <v>14000</v>
      </c>
      <c r="L458" s="65">
        <v>9761.9599999999991</v>
      </c>
      <c r="M458" s="65">
        <v>20500</v>
      </c>
      <c r="N458" s="66">
        <f t="shared" si="230"/>
        <v>17829.34</v>
      </c>
      <c r="O458" s="66">
        <f t="shared" si="230"/>
        <v>38500</v>
      </c>
      <c r="P458" s="69">
        <f t="shared" si="223"/>
        <v>5943.1133333333337</v>
      </c>
      <c r="Q458" s="69">
        <f t="shared" si="223"/>
        <v>12833.333333333334</v>
      </c>
      <c r="R458" s="294"/>
      <c r="S458" s="49"/>
      <c r="T458" s="49"/>
      <c r="U458" s="49"/>
      <c r="V458" s="49"/>
      <c r="W458" s="49"/>
      <c r="X458" s="49" t="s">
        <v>454</v>
      </c>
      <c r="Y458" s="49"/>
      <c r="Z458" s="66">
        <v>20500</v>
      </c>
      <c r="AA458" s="280"/>
      <c r="AB458" s="66">
        <f>Travel!$T$172</f>
        <v>14500</v>
      </c>
      <c r="AC458" s="66">
        <v>15000</v>
      </c>
      <c r="AD458" s="66">
        <v>15000</v>
      </c>
      <c r="AE458" s="66">
        <f>Travel!$T$172</f>
        <v>14500</v>
      </c>
      <c r="AF458" s="66">
        <f>Travel!$T$172</f>
        <v>14500</v>
      </c>
      <c r="AG458" s="66">
        <v>16350</v>
      </c>
      <c r="AH458" s="66">
        <v>16350</v>
      </c>
      <c r="AI458" s="66">
        <f>Travel!$T$172</f>
        <v>14500</v>
      </c>
      <c r="AJ458" s="66">
        <f>Travel!$T$172</f>
        <v>14500</v>
      </c>
      <c r="AK458" s="66">
        <f>Travel!$T$172</f>
        <v>14500</v>
      </c>
      <c r="AM458" s="66">
        <f>Travel!$T$172</f>
        <v>14500</v>
      </c>
      <c r="AN458" s="313" t="s">
        <v>1009</v>
      </c>
      <c r="AO458"/>
      <c r="AQ458"/>
      <c r="AR458"/>
      <c r="AS458" s="316"/>
    </row>
    <row r="459" spans="1:46" ht="16" x14ac:dyDescent="0.35">
      <c r="A459" s="66"/>
      <c r="B459" s="66"/>
      <c r="C459" s="49"/>
      <c r="D459" s="49"/>
      <c r="E459" s="49"/>
      <c r="F459" s="49" t="s">
        <v>455</v>
      </c>
      <c r="G459" s="49"/>
      <c r="H459" s="63">
        <v>5858.28</v>
      </c>
      <c r="I459" s="63">
        <v>10000</v>
      </c>
      <c r="J459" s="64">
        <v>10847.15</v>
      </c>
      <c r="K459" s="64">
        <v>10000</v>
      </c>
      <c r="L459" s="65">
        <v>10420</v>
      </c>
      <c r="M459" s="65">
        <v>10000</v>
      </c>
      <c r="N459" s="66">
        <f t="shared" si="230"/>
        <v>27125.43</v>
      </c>
      <c r="O459" s="66">
        <f t="shared" si="230"/>
        <v>30000</v>
      </c>
      <c r="P459" s="69">
        <f t="shared" si="223"/>
        <v>9041.81</v>
      </c>
      <c r="Q459" s="69">
        <f t="shared" si="223"/>
        <v>10000</v>
      </c>
      <c r="R459" s="294"/>
      <c r="S459" s="49"/>
      <c r="T459" s="49"/>
      <c r="U459" s="49"/>
      <c r="V459" s="49"/>
      <c r="W459" s="49"/>
      <c r="X459" s="49" t="s">
        <v>455</v>
      </c>
      <c r="Y459" s="49"/>
      <c r="Z459" s="66">
        <v>15000</v>
      </c>
      <c r="AA459" s="280"/>
      <c r="AB459" s="66">
        <f>Travel!$T$180</f>
        <v>12000</v>
      </c>
      <c r="AC459" s="66">
        <v>12000</v>
      </c>
      <c r="AD459" s="66">
        <v>12000</v>
      </c>
      <c r="AE459" s="66">
        <v>12000</v>
      </c>
      <c r="AF459" s="66">
        <f>Travel!$T$180</f>
        <v>12000</v>
      </c>
      <c r="AG459" s="66">
        <f>Travel!$T$180</f>
        <v>12000</v>
      </c>
      <c r="AH459" s="66">
        <v>12000</v>
      </c>
      <c r="AI459" s="66">
        <f>Travel!$T$180</f>
        <v>12000</v>
      </c>
      <c r="AJ459" s="66">
        <f>Travel!$T$180</f>
        <v>12000</v>
      </c>
      <c r="AK459" s="66">
        <f>Travel!$T$180</f>
        <v>12000</v>
      </c>
      <c r="AM459" s="66">
        <f>Travel!$T$180</f>
        <v>12000</v>
      </c>
      <c r="AN459" s="192"/>
      <c r="AO459"/>
      <c r="AQ459"/>
      <c r="AR459"/>
      <c r="AS459" s="316"/>
    </row>
    <row r="460" spans="1:46" ht="16" x14ac:dyDescent="0.35">
      <c r="A460" s="66"/>
      <c r="B460" s="66"/>
      <c r="C460" s="49"/>
      <c r="D460" s="49"/>
      <c r="E460" s="49"/>
      <c r="F460" s="49" t="s">
        <v>456</v>
      </c>
      <c r="G460" s="49"/>
      <c r="H460" s="63">
        <v>24044.87</v>
      </c>
      <c r="I460" s="63">
        <v>30000</v>
      </c>
      <c r="J460" s="64">
        <v>28737.66</v>
      </c>
      <c r="K460" s="64">
        <v>25000</v>
      </c>
      <c r="L460" s="65">
        <v>29510.080000000002</v>
      </c>
      <c r="M460" s="65">
        <v>41550</v>
      </c>
      <c r="N460" s="66">
        <f t="shared" si="230"/>
        <v>82292.61</v>
      </c>
      <c r="O460" s="66">
        <f t="shared" si="230"/>
        <v>96550</v>
      </c>
      <c r="P460" s="69">
        <f t="shared" si="223"/>
        <v>27430.87</v>
      </c>
      <c r="Q460" s="69">
        <f t="shared" si="223"/>
        <v>32183.333333333332</v>
      </c>
      <c r="R460" s="294"/>
      <c r="S460" s="49"/>
      <c r="T460" s="49"/>
      <c r="U460" s="49"/>
      <c r="V460" s="49"/>
      <c r="W460" s="49"/>
      <c r="X460" s="49" t="s">
        <v>456</v>
      </c>
      <c r="Y460" s="49"/>
      <c r="Z460" s="66">
        <v>46550</v>
      </c>
      <c r="AA460" s="280"/>
      <c r="AB460" s="66">
        <f>Travel!$T$200</f>
        <v>46550</v>
      </c>
      <c r="AC460" s="66">
        <v>35000</v>
      </c>
      <c r="AD460" s="66">
        <v>35000</v>
      </c>
      <c r="AE460" s="66">
        <v>38000</v>
      </c>
      <c r="AF460" s="66">
        <f>Travel!$T$200</f>
        <v>46550</v>
      </c>
      <c r="AG460" s="66">
        <f>Travel!$T$200</f>
        <v>46550</v>
      </c>
      <c r="AH460" s="66">
        <v>46550</v>
      </c>
      <c r="AI460" s="66">
        <f>Travel!$T$200</f>
        <v>46550</v>
      </c>
      <c r="AJ460" s="66">
        <f>Travel!$T$200</f>
        <v>46550</v>
      </c>
      <c r="AK460" s="66">
        <f>Travel!$T$200</f>
        <v>46550</v>
      </c>
      <c r="AM460" s="66">
        <f>Travel!$T$200</f>
        <v>46550</v>
      </c>
      <c r="AN460" s="191"/>
      <c r="AO460"/>
      <c r="AQ460"/>
      <c r="AR460"/>
      <c r="AS460" s="316"/>
    </row>
    <row r="461" spans="1:46" ht="16" x14ac:dyDescent="0.35">
      <c r="A461" s="66"/>
      <c r="B461" s="66"/>
      <c r="C461" s="49"/>
      <c r="D461" s="49"/>
      <c r="E461" s="49"/>
      <c r="F461" s="49" t="s">
        <v>457</v>
      </c>
      <c r="G461" s="49"/>
      <c r="H461" s="63">
        <v>28178.42</v>
      </c>
      <c r="I461" s="63">
        <v>40000</v>
      </c>
      <c r="J461" s="64">
        <v>27139.06</v>
      </c>
      <c r="K461" s="64">
        <v>30000</v>
      </c>
      <c r="L461" s="65">
        <v>22272.240000000002</v>
      </c>
      <c r="M461" s="65">
        <v>37235</v>
      </c>
      <c r="N461" s="66">
        <f t="shared" si="230"/>
        <v>77589.72</v>
      </c>
      <c r="O461" s="66">
        <f t="shared" si="230"/>
        <v>107235</v>
      </c>
      <c r="P461" s="69">
        <f t="shared" si="223"/>
        <v>25863.24</v>
      </c>
      <c r="Q461" s="69">
        <f t="shared" si="223"/>
        <v>35745</v>
      </c>
      <c r="R461" s="294"/>
      <c r="S461" s="49"/>
      <c r="T461" s="49"/>
      <c r="U461" s="49"/>
      <c r="V461" s="49"/>
      <c r="W461" s="49"/>
      <c r="X461" s="49" t="s">
        <v>457</v>
      </c>
      <c r="Y461" s="49"/>
      <c r="Z461" s="66">
        <v>40620</v>
      </c>
      <c r="AA461" s="280"/>
      <c r="AB461" s="66">
        <f>Travel!$T$224</f>
        <v>30000</v>
      </c>
      <c r="AC461" s="66">
        <v>30000</v>
      </c>
      <c r="AD461" s="66">
        <v>30000</v>
      </c>
      <c r="AE461" s="66">
        <v>35000</v>
      </c>
      <c r="AF461" s="66">
        <f>Travel!$T$224</f>
        <v>30000</v>
      </c>
      <c r="AG461" s="66">
        <f>Travel!$T$224</f>
        <v>30000</v>
      </c>
      <c r="AH461" s="66">
        <v>30000</v>
      </c>
      <c r="AI461" s="66">
        <f>Travel!$T$224</f>
        <v>30000</v>
      </c>
      <c r="AJ461" s="66">
        <f>Travel!$T$224</f>
        <v>30000</v>
      </c>
      <c r="AK461" s="66">
        <f>Travel!$T$224</f>
        <v>30000</v>
      </c>
      <c r="AM461" s="66">
        <f>Travel!$T$224</f>
        <v>30000</v>
      </c>
      <c r="AN461" s="191"/>
      <c r="AO461"/>
      <c r="AQ461"/>
      <c r="AR461"/>
      <c r="AS461" s="316"/>
    </row>
    <row r="462" spans="1:46" ht="16" x14ac:dyDescent="0.35">
      <c r="A462" s="66"/>
      <c r="B462" s="66"/>
      <c r="C462" s="49"/>
      <c r="D462" s="49"/>
      <c r="E462" s="49"/>
      <c r="F462" s="49" t="s">
        <v>458</v>
      </c>
      <c r="G462" s="49"/>
      <c r="H462" s="63">
        <v>2176.31</v>
      </c>
      <c r="I462" s="63">
        <v>3000</v>
      </c>
      <c r="J462" s="64">
        <v>1412.41</v>
      </c>
      <c r="K462" s="64">
        <v>3000</v>
      </c>
      <c r="L462" s="65">
        <v>4821.83</v>
      </c>
      <c r="M462" s="65">
        <v>3500</v>
      </c>
      <c r="N462" s="66">
        <f t="shared" si="230"/>
        <v>8410.5499999999993</v>
      </c>
      <c r="O462" s="66">
        <f t="shared" si="230"/>
        <v>9500</v>
      </c>
      <c r="P462" s="69">
        <f t="shared" si="223"/>
        <v>2803.5166666666664</v>
      </c>
      <c r="Q462" s="69">
        <f t="shared" si="223"/>
        <v>3166.6666666666665</v>
      </c>
      <c r="R462" s="294"/>
      <c r="S462" s="49"/>
      <c r="T462" s="49"/>
      <c r="U462" s="49"/>
      <c r="V462" s="49"/>
      <c r="W462" s="49"/>
      <c r="X462" s="49" t="s">
        <v>458</v>
      </c>
      <c r="Y462" s="49"/>
      <c r="Z462" s="66">
        <v>3500</v>
      </c>
      <c r="AA462" s="280"/>
      <c r="AB462" s="66">
        <f>Travel!$T$226</f>
        <v>3700</v>
      </c>
      <c r="AC462" s="66">
        <f>Travel!$T$226</f>
        <v>3700</v>
      </c>
      <c r="AD462" s="66">
        <f>Travel!$T$226</f>
        <v>3700</v>
      </c>
      <c r="AE462" s="66">
        <f>Travel!$T$226</f>
        <v>3700</v>
      </c>
      <c r="AF462" s="66">
        <f>Travel!$T$226</f>
        <v>3700</v>
      </c>
      <c r="AG462" s="66">
        <f>Travel!$T$226+1850</f>
        <v>5550</v>
      </c>
      <c r="AH462" s="66">
        <v>5550</v>
      </c>
      <c r="AI462" s="66">
        <f>Travel!$T$226</f>
        <v>3700</v>
      </c>
      <c r="AJ462" s="66">
        <f>Travel!$T$226</f>
        <v>3700</v>
      </c>
      <c r="AK462" s="66">
        <v>3700</v>
      </c>
      <c r="AM462" s="66">
        <f>Travel!$T$226</f>
        <v>3700</v>
      </c>
      <c r="AN462" s="275"/>
      <c r="AO462"/>
      <c r="AQ462"/>
      <c r="AR462"/>
      <c r="AS462" s="276"/>
      <c r="AT462" s="159"/>
    </row>
    <row r="463" spans="1:46" ht="16.5" thickBot="1" x14ac:dyDescent="0.4">
      <c r="A463" s="66"/>
      <c r="B463" s="66"/>
      <c r="C463" s="49"/>
      <c r="D463" s="49"/>
      <c r="E463" s="49"/>
      <c r="F463" s="49" t="s">
        <v>459</v>
      </c>
      <c r="G463" s="49"/>
      <c r="H463" s="63">
        <v>1939.64</v>
      </c>
      <c r="I463" s="63">
        <v>5000</v>
      </c>
      <c r="J463" s="64">
        <v>0</v>
      </c>
      <c r="K463" s="64">
        <v>3000</v>
      </c>
      <c r="L463" s="65">
        <v>0</v>
      </c>
      <c r="M463" s="65">
        <v>8500</v>
      </c>
      <c r="N463" s="66">
        <f t="shared" si="230"/>
        <v>1939.64</v>
      </c>
      <c r="O463" s="66">
        <f t="shared" si="230"/>
        <v>16500</v>
      </c>
      <c r="P463" s="69">
        <f t="shared" si="223"/>
        <v>646.54666666666674</v>
      </c>
      <c r="Q463" s="69">
        <f t="shared" si="223"/>
        <v>5500</v>
      </c>
      <c r="R463" s="294"/>
      <c r="S463" s="49"/>
      <c r="T463" s="49"/>
      <c r="U463" s="49"/>
      <c r="V463" s="49"/>
      <c r="W463" s="49"/>
      <c r="X463" s="49" t="s">
        <v>459</v>
      </c>
      <c r="Y463" s="49"/>
      <c r="Z463" s="66">
        <v>8500</v>
      </c>
      <c r="AA463" s="280"/>
      <c r="AB463" s="66">
        <v>9000</v>
      </c>
      <c r="AC463" s="66">
        <v>5000</v>
      </c>
      <c r="AD463" s="66">
        <v>5000</v>
      </c>
      <c r="AE463" s="66">
        <v>5000</v>
      </c>
      <c r="AF463" s="66">
        <v>5000</v>
      </c>
      <c r="AG463" s="66">
        <v>10850</v>
      </c>
      <c r="AH463" s="66">
        <v>10850</v>
      </c>
      <c r="AI463" s="66">
        <f>Travel!$T$164</f>
        <v>7150</v>
      </c>
      <c r="AJ463" s="66">
        <f>Travel!$T$164</f>
        <v>7150</v>
      </c>
      <c r="AK463" s="66">
        <f>Travel!$T$164</f>
        <v>7150</v>
      </c>
      <c r="AM463" s="66">
        <f>Travel!$T$164</f>
        <v>7150</v>
      </c>
      <c r="AN463" s="191"/>
      <c r="AO463"/>
      <c r="AQ463"/>
      <c r="AR463"/>
      <c r="AS463"/>
    </row>
    <row r="464" spans="1:46" ht="16" x14ac:dyDescent="0.35">
      <c r="A464" s="66"/>
      <c r="B464" s="66"/>
      <c r="C464" s="49"/>
      <c r="D464" s="49"/>
      <c r="E464" s="49" t="s">
        <v>460</v>
      </c>
      <c r="F464" s="49"/>
      <c r="G464" s="49"/>
      <c r="H464" s="75">
        <f t="shared" ref="H464:M464" si="231">ROUND(SUM(H456:H463),5)</f>
        <v>68157.66</v>
      </c>
      <c r="I464" s="75">
        <f t="shared" si="231"/>
        <v>97000</v>
      </c>
      <c r="J464" s="76">
        <f t="shared" si="231"/>
        <v>75651.53</v>
      </c>
      <c r="K464" s="76">
        <f t="shared" si="231"/>
        <v>88000</v>
      </c>
      <c r="L464" s="77">
        <f t="shared" si="231"/>
        <v>80720.73</v>
      </c>
      <c r="M464" s="77">
        <f t="shared" si="231"/>
        <v>124785</v>
      </c>
      <c r="N464" s="78">
        <f t="shared" si="230"/>
        <v>224529.92000000001</v>
      </c>
      <c r="O464" s="78">
        <f t="shared" si="230"/>
        <v>309785</v>
      </c>
      <c r="P464" s="79">
        <f t="shared" si="223"/>
        <v>74843.306666666671</v>
      </c>
      <c r="Q464" s="79">
        <f t="shared" si="223"/>
        <v>103261.66666666667</v>
      </c>
      <c r="R464" s="294"/>
      <c r="S464" s="49"/>
      <c r="T464" s="49"/>
      <c r="U464" s="49"/>
      <c r="V464" s="49"/>
      <c r="W464" s="49" t="s">
        <v>460</v>
      </c>
      <c r="X464" s="49"/>
      <c r="Y464" s="49"/>
      <c r="Z464" s="78">
        <f>ROUND(SUM(Z456:Z463),5)</f>
        <v>138170</v>
      </c>
      <c r="AA464" s="280"/>
      <c r="AB464" s="91">
        <f t="shared" ref="AB464:AG464" si="232">ROUND(SUM(AB456:AB463),5)</f>
        <v>125000</v>
      </c>
      <c r="AC464" s="91">
        <f t="shared" si="232"/>
        <v>105700</v>
      </c>
      <c r="AD464" s="91">
        <f t="shared" si="232"/>
        <v>105700</v>
      </c>
      <c r="AE464" s="91">
        <f t="shared" si="232"/>
        <v>114900</v>
      </c>
      <c r="AF464" s="91">
        <f t="shared" si="232"/>
        <v>121000</v>
      </c>
      <c r="AG464" s="91">
        <f t="shared" si="232"/>
        <v>132400</v>
      </c>
      <c r="AH464" s="91">
        <v>132400</v>
      </c>
      <c r="AI464" s="91">
        <f t="shared" ref="AI464:AK464" si="233">ROUND(SUM(AI456:AI463),5)</f>
        <v>123150</v>
      </c>
      <c r="AJ464" s="91">
        <f t="shared" si="233"/>
        <v>123150</v>
      </c>
      <c r="AK464" s="266">
        <f t="shared" si="233"/>
        <v>123150</v>
      </c>
      <c r="AM464" s="270">
        <f t="shared" ref="AM464" si="234">ROUND(SUM(AM456:AM463),5)</f>
        <v>123150</v>
      </c>
      <c r="AN464" s="191"/>
      <c r="AO464"/>
      <c r="AQ464"/>
      <c r="AR464"/>
      <c r="AS464"/>
    </row>
    <row r="465" spans="1:45" ht="16" x14ac:dyDescent="0.35">
      <c r="A465" s="66"/>
      <c r="B465" s="66"/>
      <c r="C465" s="49"/>
      <c r="D465" s="49"/>
      <c r="E465" s="49" t="s">
        <v>461</v>
      </c>
      <c r="F465" s="49"/>
      <c r="G465" s="49"/>
      <c r="H465" s="63"/>
      <c r="I465" s="63"/>
      <c r="J465" s="64"/>
      <c r="K465" s="64"/>
      <c r="L465" s="65"/>
      <c r="M465" s="65"/>
      <c r="N465" s="66"/>
      <c r="O465" s="66"/>
      <c r="P465" s="69">
        <f t="shared" si="223"/>
        <v>0</v>
      </c>
      <c r="Q465" s="69">
        <f t="shared" si="223"/>
        <v>0</v>
      </c>
      <c r="R465" s="294"/>
      <c r="S465" s="49"/>
      <c r="T465" s="49"/>
      <c r="U465" s="49"/>
      <c r="V465" s="49"/>
      <c r="W465" s="49" t="s">
        <v>461</v>
      </c>
      <c r="X465" s="49"/>
      <c r="Y465" s="49"/>
      <c r="Z465" s="66"/>
      <c r="AA465" s="280"/>
      <c r="AB465" s="66"/>
      <c r="AC465" s="66"/>
      <c r="AD465" s="66"/>
      <c r="AE465" s="66"/>
      <c r="AF465" s="66"/>
      <c r="AG465" s="66"/>
      <c r="AH465" s="66"/>
      <c r="AI465" s="66"/>
      <c r="AJ465" s="66"/>
      <c r="AK465" s="66"/>
      <c r="AM465" s="66"/>
      <c r="AN465" s="191"/>
      <c r="AO465"/>
      <c r="AQ465"/>
      <c r="AR465"/>
      <c r="AS465" s="276"/>
    </row>
    <row r="466" spans="1:45" ht="16" x14ac:dyDescent="0.35">
      <c r="A466" s="66"/>
      <c r="B466" s="66"/>
      <c r="C466" s="49"/>
      <c r="D466" s="49"/>
      <c r="E466" s="49"/>
      <c r="F466" s="49" t="s">
        <v>462</v>
      </c>
      <c r="G466" s="49"/>
      <c r="H466" s="63">
        <v>0</v>
      </c>
      <c r="I466" s="63">
        <v>1500</v>
      </c>
      <c r="J466" s="64">
        <v>0</v>
      </c>
      <c r="K466" s="64">
        <v>1550</v>
      </c>
      <c r="L466" s="65">
        <v>0</v>
      </c>
      <c r="M466" s="65">
        <v>1300</v>
      </c>
      <c r="N466" s="66">
        <f t="shared" ref="N466:O469" si="235">ROUND(H466+J466+L466,5)</f>
        <v>0</v>
      </c>
      <c r="O466" s="66">
        <f t="shared" si="235"/>
        <v>4350</v>
      </c>
      <c r="P466" s="69">
        <f t="shared" si="223"/>
        <v>0</v>
      </c>
      <c r="Q466" s="69">
        <f t="shared" si="223"/>
        <v>1450</v>
      </c>
      <c r="R466" s="294"/>
      <c r="S466" s="49"/>
      <c r="T466" s="49"/>
      <c r="U466" s="49"/>
      <c r="V466" s="49"/>
      <c r="W466" s="49"/>
      <c r="X466" s="49" t="s">
        <v>462</v>
      </c>
      <c r="Y466" s="49"/>
      <c r="Z466" s="66">
        <v>1300</v>
      </c>
      <c r="AA466" s="280"/>
      <c r="AB466" s="66">
        <f>Travel!$T$228</f>
        <v>1300</v>
      </c>
      <c r="AC466" s="66">
        <f>Travel!$T$228</f>
        <v>1300</v>
      </c>
      <c r="AD466" s="66">
        <f>Travel!$T$228</f>
        <v>1300</v>
      </c>
      <c r="AE466" s="66">
        <f>Travel!$T$228</f>
        <v>1300</v>
      </c>
      <c r="AF466" s="66">
        <f>Travel!$T$228</f>
        <v>1300</v>
      </c>
      <c r="AG466" s="66">
        <f>Travel!$T$228</f>
        <v>1300</v>
      </c>
      <c r="AH466" s="66">
        <f>Travel!$T$228</f>
        <v>1300</v>
      </c>
      <c r="AI466" s="66">
        <f>Travel!$T$228</f>
        <v>1300</v>
      </c>
      <c r="AJ466" s="66">
        <f>Travel!$T$228</f>
        <v>1300</v>
      </c>
      <c r="AK466" s="66">
        <f>Travel!$T$228</f>
        <v>1300</v>
      </c>
      <c r="AM466" s="66">
        <f>Travel!$T$228</f>
        <v>1300</v>
      </c>
      <c r="AN466" s="191"/>
      <c r="AO466"/>
      <c r="AQ466"/>
      <c r="AR466"/>
      <c r="AS466"/>
    </row>
    <row r="467" spans="1:45" ht="16" x14ac:dyDescent="0.35">
      <c r="A467" s="66"/>
      <c r="B467" s="66"/>
      <c r="C467" s="49"/>
      <c r="D467" s="49"/>
      <c r="E467" s="49"/>
      <c r="F467" s="49" t="s">
        <v>463</v>
      </c>
      <c r="G467" s="49"/>
      <c r="H467" s="63">
        <v>1500</v>
      </c>
      <c r="I467" s="63">
        <v>12000</v>
      </c>
      <c r="J467" s="64">
        <v>2706.23</v>
      </c>
      <c r="K467" s="64">
        <v>8000</v>
      </c>
      <c r="L467" s="65">
        <v>2262.13</v>
      </c>
      <c r="M467" s="65">
        <v>7000</v>
      </c>
      <c r="N467" s="66">
        <f t="shared" si="235"/>
        <v>6468.36</v>
      </c>
      <c r="O467" s="66">
        <f t="shared" si="235"/>
        <v>27000</v>
      </c>
      <c r="P467" s="69">
        <f t="shared" si="223"/>
        <v>2156.12</v>
      </c>
      <c r="Q467" s="69">
        <f t="shared" si="223"/>
        <v>9000</v>
      </c>
      <c r="R467" s="294"/>
      <c r="S467" s="49"/>
      <c r="T467" s="49"/>
      <c r="U467" s="49"/>
      <c r="V467" s="49"/>
      <c r="W467" s="49"/>
      <c r="X467" s="49" t="s">
        <v>463</v>
      </c>
      <c r="Y467" s="49"/>
      <c r="Z467" s="66">
        <v>7000</v>
      </c>
      <c r="AA467" s="280"/>
      <c r="AB467" s="66">
        <f>Travel!$T$233</f>
        <v>18000</v>
      </c>
      <c r="AC467" s="66">
        <v>5000</v>
      </c>
      <c r="AD467" s="66">
        <v>5000</v>
      </c>
      <c r="AE467" s="66">
        <v>5000</v>
      </c>
      <c r="AF467" s="66">
        <f>Travel!$T$233</f>
        <v>18000</v>
      </c>
      <c r="AG467" s="66">
        <f>Travel!$T$233</f>
        <v>18000</v>
      </c>
      <c r="AH467" s="66">
        <f>Travel!$T$233</f>
        <v>18000</v>
      </c>
      <c r="AI467" s="66">
        <f>Travel!$T$233</f>
        <v>18000</v>
      </c>
      <c r="AJ467" s="66">
        <f>Travel!$T$233-6000</f>
        <v>12000</v>
      </c>
      <c r="AK467" s="66">
        <f>Travel!$T$233-6000</f>
        <v>12000</v>
      </c>
      <c r="AM467" s="66">
        <f>Travel!$T$233-6000</f>
        <v>12000</v>
      </c>
      <c r="AN467" s="191"/>
      <c r="AO467"/>
      <c r="AQ467"/>
      <c r="AR467"/>
      <c r="AS467"/>
    </row>
    <row r="468" spans="1:45" ht="16" thickBot="1" x14ac:dyDescent="0.4">
      <c r="A468" s="66"/>
      <c r="B468" s="66"/>
      <c r="C468" s="49"/>
      <c r="D468" s="49"/>
      <c r="E468" s="49"/>
      <c r="F468" s="49" t="s">
        <v>464</v>
      </c>
      <c r="G468" s="49"/>
      <c r="H468" s="70">
        <v>1017.89</v>
      </c>
      <c r="I468" s="70">
        <v>1500</v>
      </c>
      <c r="J468" s="71">
        <v>436.43</v>
      </c>
      <c r="K468" s="71">
        <v>3000</v>
      </c>
      <c r="L468" s="72">
        <v>0</v>
      </c>
      <c r="M468" s="72">
        <v>2600</v>
      </c>
      <c r="N468" s="73">
        <f t="shared" si="235"/>
        <v>1454.32</v>
      </c>
      <c r="O468" s="73">
        <f t="shared" si="235"/>
        <v>7100</v>
      </c>
      <c r="P468" s="74">
        <f t="shared" si="223"/>
        <v>484.77333333333331</v>
      </c>
      <c r="Q468" s="74">
        <f t="shared" si="223"/>
        <v>2366.6666666666665</v>
      </c>
      <c r="R468" s="294"/>
      <c r="S468" s="49"/>
      <c r="T468" s="49"/>
      <c r="U468" s="49"/>
      <c r="V468" s="49"/>
      <c r="W468" s="49"/>
      <c r="X468" s="49" t="s">
        <v>464</v>
      </c>
      <c r="Y468" s="49"/>
      <c r="Z468" s="73">
        <v>2600</v>
      </c>
      <c r="AA468" s="280"/>
      <c r="AB468" s="66">
        <f>Travel!$T$237</f>
        <v>0</v>
      </c>
      <c r="AC468" s="66">
        <f>Travel!$T$237</f>
        <v>0</v>
      </c>
      <c r="AD468" s="66">
        <f>Travel!$T$237</f>
        <v>0</v>
      </c>
      <c r="AE468" s="66">
        <v>2600</v>
      </c>
      <c r="AF468" s="66">
        <v>2600</v>
      </c>
      <c r="AG468" s="66">
        <f>Travel!$T$237</f>
        <v>0</v>
      </c>
      <c r="AH468" s="66">
        <f>Travel!$T$237</f>
        <v>0</v>
      </c>
      <c r="AI468" s="66">
        <f>Travel!$T$237</f>
        <v>0</v>
      </c>
      <c r="AJ468" s="66">
        <f>Travel!$T$237</f>
        <v>0</v>
      </c>
      <c r="AK468" s="66">
        <f>Travel!$T$237</f>
        <v>0</v>
      </c>
      <c r="AM468" s="66">
        <f>Travel!$T$237</f>
        <v>0</v>
      </c>
      <c r="AN468" s="46"/>
      <c r="AO468"/>
      <c r="AQ468"/>
      <c r="AR468"/>
      <c r="AS468"/>
    </row>
    <row r="469" spans="1:45" ht="16" x14ac:dyDescent="0.35">
      <c r="A469" s="66"/>
      <c r="B469" s="66"/>
      <c r="C469" s="49"/>
      <c r="D469" s="49"/>
      <c r="E469" s="49" t="s">
        <v>465</v>
      </c>
      <c r="F469" s="49"/>
      <c r="G469" s="49"/>
      <c r="H469" s="63">
        <f t="shared" ref="H469:M469" si="236">ROUND(SUM(H465:H468),5)</f>
        <v>2517.89</v>
      </c>
      <c r="I469" s="63">
        <f t="shared" si="236"/>
        <v>15000</v>
      </c>
      <c r="J469" s="64">
        <f t="shared" si="236"/>
        <v>3142.66</v>
      </c>
      <c r="K469" s="64">
        <f t="shared" si="236"/>
        <v>12550</v>
      </c>
      <c r="L469" s="65">
        <f t="shared" si="236"/>
        <v>2262.13</v>
      </c>
      <c r="M469" s="65">
        <f t="shared" si="236"/>
        <v>10900</v>
      </c>
      <c r="N469" s="66">
        <f t="shared" si="235"/>
        <v>7922.68</v>
      </c>
      <c r="O469" s="66">
        <f t="shared" si="235"/>
        <v>38450</v>
      </c>
      <c r="P469" s="69">
        <f t="shared" si="223"/>
        <v>2640.8933333333334</v>
      </c>
      <c r="Q469" s="69">
        <f t="shared" si="223"/>
        <v>12816.666666666666</v>
      </c>
      <c r="R469" s="294"/>
      <c r="S469" s="49"/>
      <c r="T469" s="49"/>
      <c r="U469" s="49"/>
      <c r="V469" s="49"/>
      <c r="W469" s="49" t="s">
        <v>465</v>
      </c>
      <c r="X469" s="49"/>
      <c r="Y469" s="49"/>
      <c r="Z469" s="66">
        <f>ROUND(SUM(Z465:Z468),5)</f>
        <v>10900</v>
      </c>
      <c r="AA469" s="280"/>
      <c r="AB469" s="91">
        <f t="shared" ref="AB469:AK469" si="237">ROUND(SUM(AB465:AB468),5)</f>
        <v>19300</v>
      </c>
      <c r="AC469" s="91">
        <f t="shared" si="237"/>
        <v>6300</v>
      </c>
      <c r="AD469" s="91">
        <f t="shared" si="237"/>
        <v>6300</v>
      </c>
      <c r="AE469" s="91">
        <f t="shared" si="237"/>
        <v>8900</v>
      </c>
      <c r="AF469" s="91">
        <f t="shared" si="237"/>
        <v>21900</v>
      </c>
      <c r="AG469" s="91">
        <f t="shared" si="237"/>
        <v>19300</v>
      </c>
      <c r="AH469" s="91">
        <f t="shared" si="237"/>
        <v>19300</v>
      </c>
      <c r="AI469" s="91">
        <f t="shared" si="237"/>
        <v>19300</v>
      </c>
      <c r="AJ469" s="91">
        <f t="shared" si="237"/>
        <v>13300</v>
      </c>
      <c r="AK469" s="266">
        <f t="shared" si="237"/>
        <v>13300</v>
      </c>
      <c r="AM469" s="270">
        <f t="shared" ref="AM469" si="238">ROUND(SUM(AM465:AM468),5)</f>
        <v>13300</v>
      </c>
      <c r="AN469" s="191"/>
      <c r="AO469"/>
      <c r="AQ469"/>
      <c r="AR469"/>
      <c r="AS469"/>
    </row>
    <row r="470" spans="1:45" ht="16" x14ac:dyDescent="0.35">
      <c r="A470" s="66"/>
      <c r="B470" s="66"/>
      <c r="C470" s="49"/>
      <c r="D470" s="49"/>
      <c r="E470" s="49" t="s">
        <v>466</v>
      </c>
      <c r="F470" s="49"/>
      <c r="G470" s="49"/>
      <c r="H470" s="63"/>
      <c r="I470" s="63"/>
      <c r="J470" s="64"/>
      <c r="K470" s="64"/>
      <c r="L470" s="65"/>
      <c r="M470" s="65"/>
      <c r="N470" s="66"/>
      <c r="O470" s="66"/>
      <c r="P470" s="69"/>
      <c r="Q470" s="69"/>
      <c r="R470" s="294"/>
      <c r="S470" s="49"/>
      <c r="T470" s="49"/>
      <c r="U470" s="49"/>
      <c r="V470" s="49"/>
      <c r="W470" s="49" t="s">
        <v>466</v>
      </c>
      <c r="X470" s="49"/>
      <c r="Y470" s="49"/>
      <c r="Z470" s="66"/>
      <c r="AA470" s="280"/>
      <c r="AB470" s="66"/>
      <c r="AC470" s="66"/>
      <c r="AD470" s="66"/>
      <c r="AE470" s="66"/>
      <c r="AF470" s="66"/>
      <c r="AG470" s="66"/>
      <c r="AH470" s="66"/>
      <c r="AI470" s="66"/>
      <c r="AJ470" s="66"/>
      <c r="AK470" s="66"/>
      <c r="AM470" s="66"/>
      <c r="AN470" s="191"/>
      <c r="AO470"/>
      <c r="AQ470"/>
      <c r="AR470"/>
      <c r="AS470"/>
    </row>
    <row r="471" spans="1:45" ht="16" x14ac:dyDescent="0.35">
      <c r="A471" s="66"/>
      <c r="B471" s="66"/>
      <c r="C471" s="49"/>
      <c r="D471" s="49"/>
      <c r="E471" s="49"/>
      <c r="F471" s="49" t="s">
        <v>467</v>
      </c>
      <c r="G471" s="49"/>
      <c r="H471" s="63">
        <v>16240.62</v>
      </c>
      <c r="I471" s="63">
        <v>16000</v>
      </c>
      <c r="J471" s="64">
        <v>14520.02</v>
      </c>
      <c r="K471" s="64">
        <v>16000</v>
      </c>
      <c r="L471" s="65">
        <v>9361.31</v>
      </c>
      <c r="M471" s="65">
        <v>18000</v>
      </c>
      <c r="N471" s="66">
        <f t="shared" ref="N471:O479" si="239">ROUND(H471+J471+L471,5)</f>
        <v>40121.949999999997</v>
      </c>
      <c r="O471" s="66">
        <f t="shared" si="239"/>
        <v>50000</v>
      </c>
      <c r="P471" s="69">
        <f t="shared" si="223"/>
        <v>13373.983333333332</v>
      </c>
      <c r="Q471" s="69">
        <f t="shared" si="223"/>
        <v>16666.666666666668</v>
      </c>
      <c r="R471" s="294"/>
      <c r="S471" s="49"/>
      <c r="T471" s="49"/>
      <c r="U471" s="49"/>
      <c r="V471" s="49"/>
      <c r="W471" s="49"/>
      <c r="X471" s="49" t="s">
        <v>467</v>
      </c>
      <c r="Y471" s="49"/>
      <c r="Z471" s="66">
        <v>21850</v>
      </c>
      <c r="AA471" s="280"/>
      <c r="AB471" s="66">
        <f>Travel!$T$248</f>
        <v>18000</v>
      </c>
      <c r="AC471" s="66">
        <v>20000</v>
      </c>
      <c r="AD471" s="66">
        <v>20000</v>
      </c>
      <c r="AE471" s="66">
        <v>20000</v>
      </c>
      <c r="AF471" s="66">
        <f>Travel!$T$248</f>
        <v>18000</v>
      </c>
      <c r="AG471" s="66">
        <f>Travel!$T$248</f>
        <v>18000</v>
      </c>
      <c r="AH471" s="66">
        <f>Travel!$T$248</f>
        <v>18000</v>
      </c>
      <c r="AI471" s="66">
        <f>Travel!$T$248</f>
        <v>18000</v>
      </c>
      <c r="AJ471" s="66">
        <f>Travel!$T$248</f>
        <v>18000</v>
      </c>
      <c r="AK471" s="66">
        <f>Travel!$T$248</f>
        <v>18000</v>
      </c>
      <c r="AM471" s="66">
        <f>Travel!$T$248</f>
        <v>18000</v>
      </c>
      <c r="AN471" s="191"/>
      <c r="AO471"/>
      <c r="AQ471"/>
      <c r="AR471"/>
      <c r="AS471"/>
    </row>
    <row r="472" spans="1:45" ht="16" x14ac:dyDescent="0.35">
      <c r="A472" s="66"/>
      <c r="B472" s="66"/>
      <c r="C472" s="49"/>
      <c r="D472" s="49"/>
      <c r="E472" s="49"/>
      <c r="F472" s="49" t="s">
        <v>468</v>
      </c>
      <c r="G472" s="49"/>
      <c r="H472" s="63">
        <v>84237.66</v>
      </c>
      <c r="I472" s="63">
        <v>105000</v>
      </c>
      <c r="J472" s="64">
        <v>110361.58</v>
      </c>
      <c r="K472" s="64">
        <v>110000</v>
      </c>
      <c r="L472" s="65">
        <v>103445.49</v>
      </c>
      <c r="M472" s="65">
        <v>83300</v>
      </c>
      <c r="N472" s="66">
        <f t="shared" si="239"/>
        <v>298044.73</v>
      </c>
      <c r="O472" s="66">
        <f t="shared" si="239"/>
        <v>298300</v>
      </c>
      <c r="P472" s="69">
        <f t="shared" si="223"/>
        <v>99348.243333333332</v>
      </c>
      <c r="Q472" s="69">
        <f t="shared" si="223"/>
        <v>99433.333333333328</v>
      </c>
      <c r="R472" s="294"/>
      <c r="S472" s="49"/>
      <c r="T472" s="49"/>
      <c r="U472" s="49"/>
      <c r="V472" s="49"/>
      <c r="W472" s="49"/>
      <c r="X472" s="49" t="s">
        <v>468</v>
      </c>
      <c r="Y472" s="49"/>
      <c r="Z472" s="66">
        <v>91700</v>
      </c>
      <c r="AA472" s="280"/>
      <c r="AB472" s="66">
        <f>Travel!$T$262</f>
        <v>92000</v>
      </c>
      <c r="AC472" s="66">
        <v>85000</v>
      </c>
      <c r="AD472" s="66">
        <v>85000</v>
      </c>
      <c r="AE472" s="66">
        <v>85000</v>
      </c>
      <c r="AF472" s="66">
        <f>Travel!$T$262</f>
        <v>92000</v>
      </c>
      <c r="AG472" s="66">
        <f>Travel!$T$262</f>
        <v>92000</v>
      </c>
      <c r="AH472" s="66">
        <f>Travel!$T$262</f>
        <v>92000</v>
      </c>
      <c r="AI472" s="66">
        <f>Travel!$T$262</f>
        <v>92000</v>
      </c>
      <c r="AJ472" s="66">
        <f>Travel!$T$262</f>
        <v>92000</v>
      </c>
      <c r="AK472" s="66">
        <f>Travel!$T$262</f>
        <v>92000</v>
      </c>
      <c r="AM472" s="66">
        <f>Travel!$T$262</f>
        <v>92000</v>
      </c>
      <c r="AN472" s="191"/>
      <c r="AO472"/>
      <c r="AQ472"/>
      <c r="AR472"/>
      <c r="AS472"/>
    </row>
    <row r="473" spans="1:45" ht="16" x14ac:dyDescent="0.35">
      <c r="A473" s="66"/>
      <c r="B473" s="66"/>
      <c r="C473" s="49"/>
      <c r="D473" s="49"/>
      <c r="E473" s="49"/>
      <c r="F473" s="49" t="s">
        <v>469</v>
      </c>
      <c r="G473" s="49"/>
      <c r="H473" s="63">
        <v>28747.02</v>
      </c>
      <c r="I473" s="63">
        <v>20000</v>
      </c>
      <c r="J473" s="64">
        <v>31842.32</v>
      </c>
      <c r="K473" s="64">
        <v>24000</v>
      </c>
      <c r="L473" s="65">
        <v>30837.69</v>
      </c>
      <c r="M473" s="65">
        <v>27500</v>
      </c>
      <c r="N473" s="66">
        <f t="shared" si="239"/>
        <v>91427.03</v>
      </c>
      <c r="O473" s="66">
        <f t="shared" si="239"/>
        <v>71500</v>
      </c>
      <c r="P473" s="69">
        <f t="shared" si="223"/>
        <v>30475.676666666666</v>
      </c>
      <c r="Q473" s="69">
        <f t="shared" si="223"/>
        <v>23833.333333333332</v>
      </c>
      <c r="R473" s="294"/>
      <c r="S473" s="49"/>
      <c r="T473" s="49"/>
      <c r="U473" s="49"/>
      <c r="V473" s="49"/>
      <c r="W473" s="49"/>
      <c r="X473" s="49" t="s">
        <v>469</v>
      </c>
      <c r="Y473" s="49"/>
      <c r="Z473" s="66">
        <v>27500</v>
      </c>
      <c r="AA473" s="280"/>
      <c r="AB473" s="66">
        <f>Travel!$T$289</f>
        <v>29500</v>
      </c>
      <c r="AC473" s="66">
        <v>27000</v>
      </c>
      <c r="AD473" s="66">
        <v>27000</v>
      </c>
      <c r="AE473" s="66">
        <v>30000</v>
      </c>
      <c r="AF473" s="66">
        <f>Travel!$T$289</f>
        <v>29500</v>
      </c>
      <c r="AG473" s="66">
        <f>Travel!$T$289</f>
        <v>29500</v>
      </c>
      <c r="AH473" s="66">
        <f>Travel!$T$289</f>
        <v>29500</v>
      </c>
      <c r="AI473" s="66">
        <f>Travel!$T$289</f>
        <v>29500</v>
      </c>
      <c r="AJ473" s="66">
        <f>Travel!$T$289</f>
        <v>29500</v>
      </c>
      <c r="AK473" s="66">
        <f>Travel!$T$289</f>
        <v>29500</v>
      </c>
      <c r="AM473" s="66">
        <f>Travel!$T$289</f>
        <v>29500</v>
      </c>
      <c r="AN473" s="191"/>
      <c r="AO473"/>
      <c r="AQ473"/>
      <c r="AR473"/>
      <c r="AS473"/>
    </row>
    <row r="474" spans="1:45" ht="16" x14ac:dyDescent="0.35">
      <c r="A474" s="66"/>
      <c r="B474" s="66"/>
      <c r="C474" s="49"/>
      <c r="D474" s="49"/>
      <c r="E474" s="49"/>
      <c r="F474" s="49" t="s">
        <v>470</v>
      </c>
      <c r="G474" s="49"/>
      <c r="H474" s="63">
        <v>616.34</v>
      </c>
      <c r="I474" s="63">
        <v>10000</v>
      </c>
      <c r="J474" s="64">
        <v>3020.55</v>
      </c>
      <c r="K474" s="64">
        <v>3000</v>
      </c>
      <c r="L474" s="65">
        <v>0</v>
      </c>
      <c r="M474" s="65">
        <v>3000</v>
      </c>
      <c r="N474" s="66">
        <f t="shared" si="239"/>
        <v>3636.89</v>
      </c>
      <c r="O474" s="66">
        <f t="shared" si="239"/>
        <v>16000</v>
      </c>
      <c r="P474" s="69">
        <f t="shared" si="223"/>
        <v>1212.2966666666666</v>
      </c>
      <c r="Q474" s="69">
        <f t="shared" si="223"/>
        <v>5333.333333333333</v>
      </c>
      <c r="R474" s="294"/>
      <c r="S474" s="49"/>
      <c r="T474" s="49"/>
      <c r="U474" s="49"/>
      <c r="V474" s="49"/>
      <c r="W474" s="49"/>
      <c r="X474" s="49" t="s">
        <v>470</v>
      </c>
      <c r="Y474" s="49"/>
      <c r="Z474" s="66">
        <v>3000</v>
      </c>
      <c r="AA474" s="280"/>
      <c r="AB474" s="66">
        <f>Travel!$T$290</f>
        <v>3000</v>
      </c>
      <c r="AC474" s="66">
        <f>Travel!$T$290</f>
        <v>3000</v>
      </c>
      <c r="AD474" s="66">
        <f>Travel!$T$290</f>
        <v>3000</v>
      </c>
      <c r="AE474" s="66">
        <f>Travel!$T$290</f>
        <v>3000</v>
      </c>
      <c r="AF474" s="66">
        <f>Travel!$T$290</f>
        <v>3000</v>
      </c>
      <c r="AG474" s="66">
        <f>Travel!$T$290</f>
        <v>3000</v>
      </c>
      <c r="AH474" s="66">
        <f>Travel!$T$290</f>
        <v>3000</v>
      </c>
      <c r="AI474" s="66">
        <f>Travel!$T$290</f>
        <v>3000</v>
      </c>
      <c r="AJ474" s="66">
        <f>Travel!$T$290</f>
        <v>3000</v>
      </c>
      <c r="AK474" s="66">
        <f>Travel!$T$290</f>
        <v>3000</v>
      </c>
      <c r="AM474" s="66">
        <f>Travel!$T$290</f>
        <v>3000</v>
      </c>
      <c r="AN474" s="191"/>
      <c r="AO474"/>
      <c r="AQ474"/>
      <c r="AR474"/>
      <c r="AS474"/>
    </row>
    <row r="475" spans="1:45" ht="16" x14ac:dyDescent="0.35">
      <c r="A475" s="66"/>
      <c r="B475" s="66"/>
      <c r="C475" s="49"/>
      <c r="D475" s="49"/>
      <c r="E475" s="49"/>
      <c r="F475" s="49" t="s">
        <v>471</v>
      </c>
      <c r="G475" s="49"/>
      <c r="H475" s="63">
        <v>78.7</v>
      </c>
      <c r="I475" s="63">
        <v>5000</v>
      </c>
      <c r="J475" s="64">
        <v>1625.78</v>
      </c>
      <c r="K475" s="64">
        <v>5000</v>
      </c>
      <c r="L475" s="65">
        <v>0</v>
      </c>
      <c r="M475" s="65">
        <v>3000</v>
      </c>
      <c r="N475" s="66">
        <f t="shared" si="239"/>
        <v>1704.48</v>
      </c>
      <c r="O475" s="66">
        <f t="shared" si="239"/>
        <v>13000</v>
      </c>
      <c r="P475" s="69">
        <f t="shared" si="223"/>
        <v>568.16</v>
      </c>
      <c r="Q475" s="69">
        <f t="shared" si="223"/>
        <v>4333.333333333333</v>
      </c>
      <c r="R475" s="294"/>
      <c r="S475" s="49"/>
      <c r="T475" s="49"/>
      <c r="U475" s="49"/>
      <c r="V475" s="49"/>
      <c r="W475" s="49"/>
      <c r="X475" s="49" t="s">
        <v>471</v>
      </c>
      <c r="Y475" s="49"/>
      <c r="Z475" s="66">
        <v>3000</v>
      </c>
      <c r="AA475" s="280"/>
      <c r="AB475" s="66">
        <f>Travel!$T$291</f>
        <v>9000</v>
      </c>
      <c r="AC475" s="66">
        <f>Travel!$T$291</f>
        <v>9000</v>
      </c>
      <c r="AD475" s="66">
        <f>Travel!$T$291</f>
        <v>9000</v>
      </c>
      <c r="AE475" s="66">
        <f>Travel!$T$291</f>
        <v>9000</v>
      </c>
      <c r="AF475" s="66">
        <v>3000</v>
      </c>
      <c r="AG475" s="66">
        <f>Travel!$T$291</f>
        <v>9000</v>
      </c>
      <c r="AH475" s="66">
        <f>Travel!$T$291</f>
        <v>9000</v>
      </c>
      <c r="AI475" s="66">
        <f>Travel!$T$291</f>
        <v>9000</v>
      </c>
      <c r="AJ475" s="66">
        <f>Travel!$T$291</f>
        <v>9000</v>
      </c>
      <c r="AK475" s="66">
        <f>Travel!$T$291</f>
        <v>9000</v>
      </c>
      <c r="AM475" s="66">
        <f>Travel!$T$291</f>
        <v>9000</v>
      </c>
      <c r="AN475" s="191"/>
      <c r="AO475"/>
      <c r="AQ475"/>
      <c r="AR475"/>
      <c r="AS475"/>
    </row>
    <row r="476" spans="1:45" ht="16" x14ac:dyDescent="0.35">
      <c r="A476" s="66"/>
      <c r="B476" s="66"/>
      <c r="C476" s="49"/>
      <c r="D476" s="49"/>
      <c r="E476" s="49"/>
      <c r="F476" s="49" t="s">
        <v>472</v>
      </c>
      <c r="G476" s="49"/>
      <c r="H476" s="63">
        <v>96284.26</v>
      </c>
      <c r="I476" s="63">
        <v>100000</v>
      </c>
      <c r="J476" s="64">
        <v>93888.55</v>
      </c>
      <c r="K476" s="64">
        <v>110000</v>
      </c>
      <c r="L476" s="65">
        <v>132837.73000000001</v>
      </c>
      <c r="M476" s="65">
        <v>123639</v>
      </c>
      <c r="N476" s="66">
        <f t="shared" si="239"/>
        <v>323010.53999999998</v>
      </c>
      <c r="O476" s="66">
        <f t="shared" si="239"/>
        <v>333639</v>
      </c>
      <c r="P476" s="69">
        <f t="shared" si="223"/>
        <v>107670.18</v>
      </c>
      <c r="Q476" s="69">
        <f t="shared" si="223"/>
        <v>111213</v>
      </c>
      <c r="R476" s="294"/>
      <c r="S476" s="49"/>
      <c r="T476" s="49"/>
      <c r="U476" s="49"/>
      <c r="V476" s="49"/>
      <c r="W476" s="49"/>
      <c r="X476" s="49" t="s">
        <v>472</v>
      </c>
      <c r="Y476" s="49"/>
      <c r="Z476" s="66">
        <v>108895</v>
      </c>
      <c r="AA476" s="280"/>
      <c r="AB476" s="66">
        <f>Travel!$AE$34</f>
        <v>138650</v>
      </c>
      <c r="AC476" s="66">
        <v>110000</v>
      </c>
      <c r="AD476" s="66">
        <v>110000</v>
      </c>
      <c r="AE476" s="66">
        <v>110000</v>
      </c>
      <c r="AF476" s="66">
        <f>Travel!$AE$34</f>
        <v>138650</v>
      </c>
      <c r="AG476" s="66">
        <f>Travel!$AE$34</f>
        <v>138650</v>
      </c>
      <c r="AH476" s="66">
        <f>Travel!$AE$34</f>
        <v>138650</v>
      </c>
      <c r="AI476" s="66">
        <f>Travel!$AE$34</f>
        <v>138650</v>
      </c>
      <c r="AJ476" s="66">
        <f>Travel!$AE$34</f>
        <v>138650</v>
      </c>
      <c r="AK476" s="66">
        <f>Travel!$AE$34-17400</f>
        <v>121250</v>
      </c>
      <c r="AM476" s="66">
        <f>Travel!$AE$34</f>
        <v>138650</v>
      </c>
      <c r="AN476" s="191"/>
      <c r="AO476"/>
      <c r="AQ476"/>
      <c r="AR476"/>
      <c r="AS476"/>
    </row>
    <row r="477" spans="1:45" ht="43.5" x14ac:dyDescent="0.35">
      <c r="A477" s="66"/>
      <c r="B477" s="66"/>
      <c r="C477" s="49"/>
      <c r="D477" s="49"/>
      <c r="E477" s="49"/>
      <c r="F477" s="49" t="s">
        <v>473</v>
      </c>
      <c r="G477" s="49"/>
      <c r="H477" s="63">
        <v>9910.27</v>
      </c>
      <c r="I477" s="63">
        <v>5000</v>
      </c>
      <c r="J477" s="64">
        <v>16614.96</v>
      </c>
      <c r="K477" s="64">
        <v>5000</v>
      </c>
      <c r="L477" s="65">
        <v>12232.35</v>
      </c>
      <c r="M477" s="65">
        <v>10000</v>
      </c>
      <c r="N477" s="66">
        <f t="shared" si="239"/>
        <v>38757.58</v>
      </c>
      <c r="O477" s="66">
        <f t="shared" si="239"/>
        <v>20000</v>
      </c>
      <c r="P477" s="69">
        <f t="shared" si="223"/>
        <v>12919.193333333335</v>
      </c>
      <c r="Q477" s="69">
        <f t="shared" si="223"/>
        <v>6666.666666666667</v>
      </c>
      <c r="R477" s="294"/>
      <c r="S477" s="49"/>
      <c r="T477" s="49"/>
      <c r="U477" s="49"/>
      <c r="V477" s="49"/>
      <c r="W477" s="49"/>
      <c r="X477" s="49" t="s">
        <v>473</v>
      </c>
      <c r="Y477" s="49"/>
      <c r="Z477" s="66">
        <v>10000</v>
      </c>
      <c r="AA477" s="280"/>
      <c r="AB477" s="66">
        <f>Travel!$T$292</f>
        <v>17500</v>
      </c>
      <c r="AC477" s="66">
        <f>Travel!$T$292</f>
        <v>17500</v>
      </c>
      <c r="AD477" s="66">
        <f>Travel!$T$292</f>
        <v>17500</v>
      </c>
      <c r="AE477" s="66">
        <f>Travel!$T$292</f>
        <v>17500</v>
      </c>
      <c r="AF477" s="66">
        <f>Travel!$T$292</f>
        <v>17500</v>
      </c>
      <c r="AG477" s="66">
        <f>Travel!$T$292</f>
        <v>17500</v>
      </c>
      <c r="AH477" s="66">
        <f>Travel!$T$292</f>
        <v>17500</v>
      </c>
      <c r="AI477" s="66">
        <f>Travel!$T$292</f>
        <v>17500</v>
      </c>
      <c r="AJ477" s="66">
        <f>Travel!$T$292</f>
        <v>17500</v>
      </c>
      <c r="AK477" s="66">
        <f>Travel!$T$292</f>
        <v>17500</v>
      </c>
      <c r="AM477" s="66">
        <f>Travel!$T$292</f>
        <v>17500</v>
      </c>
      <c r="AN477" s="219" t="s">
        <v>978</v>
      </c>
      <c r="AO477"/>
      <c r="AQ477"/>
      <c r="AR477"/>
      <c r="AS477"/>
    </row>
    <row r="478" spans="1:45" ht="16.5" thickBot="1" x14ac:dyDescent="0.4">
      <c r="A478" s="66"/>
      <c r="B478" s="66"/>
      <c r="C478" s="49"/>
      <c r="D478" s="49"/>
      <c r="E478" s="49"/>
      <c r="F478" s="49" t="s">
        <v>474</v>
      </c>
      <c r="G478" s="49"/>
      <c r="H478" s="63">
        <v>3422.95</v>
      </c>
      <c r="I478" s="63">
        <v>5000</v>
      </c>
      <c r="J478" s="64">
        <v>3597.69</v>
      </c>
      <c r="K478" s="64">
        <v>5000</v>
      </c>
      <c r="L478" s="65">
        <v>2437.37</v>
      </c>
      <c r="M478" s="65">
        <v>5000</v>
      </c>
      <c r="N478" s="66">
        <f t="shared" si="239"/>
        <v>9458.01</v>
      </c>
      <c r="O478" s="66">
        <f t="shared" si="239"/>
        <v>15000</v>
      </c>
      <c r="P478" s="69">
        <f t="shared" si="223"/>
        <v>3152.67</v>
      </c>
      <c r="Q478" s="69">
        <f t="shared" si="223"/>
        <v>5000</v>
      </c>
      <c r="R478" s="294"/>
      <c r="S478" s="49"/>
      <c r="T478" s="49"/>
      <c r="U478" s="49"/>
      <c r="V478" s="49"/>
      <c r="W478" s="49"/>
      <c r="X478" s="49" t="s">
        <v>474</v>
      </c>
      <c r="Y478" s="49"/>
      <c r="Z478" s="66">
        <v>5000</v>
      </c>
      <c r="AA478" s="280"/>
      <c r="AB478" s="66">
        <f>Travel!$T$293</f>
        <v>5000</v>
      </c>
      <c r="AC478" s="66">
        <f>Travel!$T$293</f>
        <v>5000</v>
      </c>
      <c r="AD478" s="66">
        <f>Travel!$T$293</f>
        <v>5000</v>
      </c>
      <c r="AE478" s="66">
        <f>Travel!$T$293</f>
        <v>5000</v>
      </c>
      <c r="AF478" s="66">
        <f>Travel!$T$293</f>
        <v>5000</v>
      </c>
      <c r="AG478" s="66">
        <f>Travel!$T$293</f>
        <v>5000</v>
      </c>
      <c r="AH478" s="66">
        <f>Travel!$T$293</f>
        <v>5000</v>
      </c>
      <c r="AI478" s="66">
        <f>Travel!$T$293</f>
        <v>5000</v>
      </c>
      <c r="AJ478" s="66">
        <f>Travel!$T$293</f>
        <v>5000</v>
      </c>
      <c r="AK478" s="66">
        <f>Travel!$T$293</f>
        <v>5000</v>
      </c>
      <c r="AM478" s="66">
        <f>Travel!$T$293</f>
        <v>5000</v>
      </c>
      <c r="AN478" s="191"/>
      <c r="AO478"/>
      <c r="AQ478"/>
      <c r="AR478"/>
      <c r="AS478"/>
    </row>
    <row r="479" spans="1:45" ht="16" x14ac:dyDescent="0.35">
      <c r="A479" s="66"/>
      <c r="B479" s="66"/>
      <c r="C479" s="49"/>
      <c r="D479" s="49"/>
      <c r="E479" s="49" t="s">
        <v>475</v>
      </c>
      <c r="F479" s="49"/>
      <c r="G479" s="49"/>
      <c r="H479" s="75">
        <f t="shared" ref="H479:M479" si="240">ROUND(SUM(H470:H478),5)</f>
        <v>239537.82</v>
      </c>
      <c r="I479" s="75">
        <f t="shared" si="240"/>
        <v>266000</v>
      </c>
      <c r="J479" s="76">
        <f t="shared" si="240"/>
        <v>275471.45</v>
      </c>
      <c r="K479" s="76">
        <f t="shared" si="240"/>
        <v>278000</v>
      </c>
      <c r="L479" s="77">
        <f t="shared" si="240"/>
        <v>291151.94</v>
      </c>
      <c r="M479" s="77">
        <f t="shared" si="240"/>
        <v>273439</v>
      </c>
      <c r="N479" s="78">
        <f t="shared" si="239"/>
        <v>806161.21</v>
      </c>
      <c r="O479" s="78">
        <f t="shared" si="239"/>
        <v>817439</v>
      </c>
      <c r="P479" s="79">
        <f t="shared" si="223"/>
        <v>268720.40333333332</v>
      </c>
      <c r="Q479" s="79">
        <f t="shared" si="223"/>
        <v>272479.66666666669</v>
      </c>
      <c r="R479" s="294"/>
      <c r="S479" s="49"/>
      <c r="T479" s="49"/>
      <c r="U479" s="49"/>
      <c r="V479" s="49"/>
      <c r="W479" s="49" t="s">
        <v>475</v>
      </c>
      <c r="X479" s="49"/>
      <c r="Y479" s="49"/>
      <c r="Z479" s="78">
        <f>ROUND(SUM(Z470:Z478),5)</f>
        <v>270945</v>
      </c>
      <c r="AA479" s="280"/>
      <c r="AB479" s="91">
        <f t="shared" ref="AB479:AK479" si="241">ROUND(SUM(AB470:AB478),5)</f>
        <v>312650</v>
      </c>
      <c r="AC479" s="91">
        <f t="shared" si="241"/>
        <v>276500</v>
      </c>
      <c r="AD479" s="91">
        <f t="shared" si="241"/>
        <v>276500</v>
      </c>
      <c r="AE479" s="91">
        <f t="shared" si="241"/>
        <v>279500</v>
      </c>
      <c r="AF479" s="91">
        <f t="shared" si="241"/>
        <v>306650</v>
      </c>
      <c r="AG479" s="91">
        <f t="shared" si="241"/>
        <v>312650</v>
      </c>
      <c r="AH479" s="91">
        <f t="shared" si="241"/>
        <v>312650</v>
      </c>
      <c r="AI479" s="91">
        <f t="shared" si="241"/>
        <v>312650</v>
      </c>
      <c r="AJ479" s="91">
        <f t="shared" si="241"/>
        <v>312650</v>
      </c>
      <c r="AK479" s="266">
        <f t="shared" si="241"/>
        <v>295250</v>
      </c>
      <c r="AM479" s="270">
        <f t="shared" ref="AM479" si="242">ROUND(SUM(AM470:AM478),5)</f>
        <v>312650</v>
      </c>
      <c r="AN479" s="191"/>
      <c r="AO479"/>
      <c r="AQ479"/>
      <c r="AR479"/>
      <c r="AS479"/>
    </row>
    <row r="480" spans="1:45" ht="16" x14ac:dyDescent="0.35">
      <c r="A480" s="66"/>
      <c r="B480" s="66"/>
      <c r="C480" s="49"/>
      <c r="D480" s="49"/>
      <c r="E480" s="49" t="s">
        <v>476</v>
      </c>
      <c r="F480" s="49"/>
      <c r="G480" s="49"/>
      <c r="H480" s="63"/>
      <c r="I480" s="63"/>
      <c r="J480" s="64"/>
      <c r="K480" s="64"/>
      <c r="L480" s="65"/>
      <c r="M480" s="65"/>
      <c r="N480" s="66"/>
      <c r="O480" s="66"/>
      <c r="P480" s="69"/>
      <c r="Q480" s="69"/>
      <c r="R480" s="294"/>
      <c r="S480" s="49"/>
      <c r="T480" s="49"/>
      <c r="U480" s="49"/>
      <c r="V480" s="49"/>
      <c r="W480" s="49" t="s">
        <v>476</v>
      </c>
      <c r="X480" s="49"/>
      <c r="Y480" s="49"/>
      <c r="Z480" s="66"/>
      <c r="AA480" s="280"/>
      <c r="AB480" s="66"/>
      <c r="AC480" s="66"/>
      <c r="AD480" s="66"/>
      <c r="AE480" s="66"/>
      <c r="AF480" s="66"/>
      <c r="AG480" s="66"/>
      <c r="AH480" s="66"/>
      <c r="AI480" s="66"/>
      <c r="AJ480" s="66"/>
      <c r="AK480" s="66"/>
      <c r="AM480" s="66"/>
      <c r="AN480" s="191"/>
      <c r="AO480"/>
      <c r="AQ480"/>
      <c r="AR480"/>
      <c r="AS480"/>
    </row>
    <row r="481" spans="1:45" ht="16" x14ac:dyDescent="0.35">
      <c r="A481" s="66"/>
      <c r="B481" s="66"/>
      <c r="C481" s="49"/>
      <c r="D481" s="49"/>
      <c r="E481" s="49"/>
      <c r="F481" s="49" t="s">
        <v>477</v>
      </c>
      <c r="G481" s="49"/>
      <c r="H481" s="63">
        <v>4850.88</v>
      </c>
      <c r="I481" s="63">
        <v>5000</v>
      </c>
      <c r="J481" s="64">
        <v>6433.78</v>
      </c>
      <c r="K481" s="64">
        <v>5000</v>
      </c>
      <c r="L481" s="65">
        <v>9402.39</v>
      </c>
      <c r="M481" s="65">
        <v>7200</v>
      </c>
      <c r="N481" s="66">
        <f t="shared" ref="N481:O489" si="243">ROUND(H481+J481+L481,5)</f>
        <v>20687.05</v>
      </c>
      <c r="O481" s="66">
        <f t="shared" si="243"/>
        <v>17200</v>
      </c>
      <c r="P481" s="69">
        <f t="shared" si="223"/>
        <v>6895.6833333333334</v>
      </c>
      <c r="Q481" s="69">
        <f t="shared" si="223"/>
        <v>5733.333333333333</v>
      </c>
      <c r="R481" s="294"/>
      <c r="S481" s="49"/>
      <c r="T481" s="49"/>
      <c r="U481" s="49"/>
      <c r="V481" s="49"/>
      <c r="W481" s="49"/>
      <c r="X481" s="49" t="s">
        <v>477</v>
      </c>
      <c r="Y481" s="49"/>
      <c r="Z481" s="66">
        <v>10500</v>
      </c>
      <c r="AA481" s="280"/>
      <c r="AB481" s="66">
        <f>Travel!$T$300</f>
        <v>10500</v>
      </c>
      <c r="AC481" s="66">
        <f>Travel!$T$300</f>
        <v>10500</v>
      </c>
      <c r="AD481" s="66">
        <f>Travel!$T$300</f>
        <v>10500</v>
      </c>
      <c r="AE481" s="66">
        <f>Travel!$T$300</f>
        <v>10500</v>
      </c>
      <c r="AF481" s="66">
        <f>Travel!$T$300</f>
        <v>10500</v>
      </c>
      <c r="AG481" s="66">
        <f>Travel!$T$300</f>
        <v>10500</v>
      </c>
      <c r="AH481" s="66">
        <f>Travel!$T$300</f>
        <v>10500</v>
      </c>
      <c r="AI481" s="66">
        <f>Travel!$T$300</f>
        <v>10500</v>
      </c>
      <c r="AJ481" s="66">
        <f>Travel!$T$300</f>
        <v>10500</v>
      </c>
      <c r="AK481" s="66">
        <f>Travel!$T$300</f>
        <v>10500</v>
      </c>
      <c r="AM481" s="66">
        <f>Travel!$T$300</f>
        <v>10500</v>
      </c>
      <c r="AN481" s="191"/>
      <c r="AO481"/>
      <c r="AQ481"/>
      <c r="AR481"/>
      <c r="AS481"/>
    </row>
    <row r="482" spans="1:45" ht="16" x14ac:dyDescent="0.35">
      <c r="A482" s="66"/>
      <c r="B482" s="66"/>
      <c r="C482" s="49"/>
      <c r="D482" s="49"/>
      <c r="E482" s="49"/>
      <c r="F482" s="49" t="s">
        <v>478</v>
      </c>
      <c r="G482" s="49"/>
      <c r="H482" s="63">
        <v>17822.79</v>
      </c>
      <c r="I482" s="63">
        <v>12000</v>
      </c>
      <c r="J482" s="64">
        <v>15822.35</v>
      </c>
      <c r="K482" s="64">
        <v>12000</v>
      </c>
      <c r="L482" s="65">
        <v>24082.639999999999</v>
      </c>
      <c r="M482" s="65">
        <v>17100</v>
      </c>
      <c r="N482" s="66">
        <f t="shared" si="243"/>
        <v>57727.78</v>
      </c>
      <c r="O482" s="66">
        <f t="shared" si="243"/>
        <v>41100</v>
      </c>
      <c r="P482" s="69">
        <f t="shared" si="223"/>
        <v>19242.593333333334</v>
      </c>
      <c r="Q482" s="69">
        <f t="shared" si="223"/>
        <v>13700</v>
      </c>
      <c r="R482" s="294"/>
      <c r="S482" s="49"/>
      <c r="T482" s="49"/>
      <c r="U482" s="49"/>
      <c r="V482" s="49"/>
      <c r="W482" s="49"/>
      <c r="X482" s="49" t="s">
        <v>478</v>
      </c>
      <c r="Y482" s="49"/>
      <c r="Z482" s="66">
        <v>18300</v>
      </c>
      <c r="AA482" s="280"/>
      <c r="AB482" s="66">
        <f>Travel!$T$312</f>
        <v>18300</v>
      </c>
      <c r="AC482" s="66">
        <v>15000</v>
      </c>
      <c r="AD482" s="66">
        <v>15000</v>
      </c>
      <c r="AE482" s="66">
        <v>15000</v>
      </c>
      <c r="AF482" s="66">
        <f>Travel!$T$312</f>
        <v>18300</v>
      </c>
      <c r="AG482" s="66">
        <f>Travel!$T$312</f>
        <v>18300</v>
      </c>
      <c r="AH482" s="66">
        <f>Travel!$T$312</f>
        <v>18300</v>
      </c>
      <c r="AI482" s="66">
        <f>Travel!$T$312</f>
        <v>18300</v>
      </c>
      <c r="AJ482" s="66">
        <f>Travel!$T$312</f>
        <v>18300</v>
      </c>
      <c r="AK482" s="66">
        <f>Travel!$T$312</f>
        <v>18300</v>
      </c>
      <c r="AM482" s="66">
        <f>Travel!$T$312</f>
        <v>18300</v>
      </c>
      <c r="AN482" s="191"/>
      <c r="AO482"/>
      <c r="AQ482"/>
      <c r="AR482"/>
      <c r="AS482"/>
    </row>
    <row r="483" spans="1:45" ht="16" x14ac:dyDescent="0.35">
      <c r="A483" s="66"/>
      <c r="B483" s="66"/>
      <c r="C483" s="49"/>
      <c r="D483" s="49"/>
      <c r="E483" s="49"/>
      <c r="F483" s="49" t="s">
        <v>479</v>
      </c>
      <c r="G483" s="49"/>
      <c r="H483" s="63">
        <v>18223.060000000001</v>
      </c>
      <c r="I483" s="63">
        <v>30000</v>
      </c>
      <c r="J483" s="64">
        <v>24555.200000000001</v>
      </c>
      <c r="K483" s="64">
        <v>24000</v>
      </c>
      <c r="L483" s="65">
        <v>28036.69</v>
      </c>
      <c r="M483" s="65">
        <v>24000</v>
      </c>
      <c r="N483" s="66">
        <f t="shared" si="243"/>
        <v>70814.95</v>
      </c>
      <c r="O483" s="66">
        <f t="shared" si="243"/>
        <v>78000</v>
      </c>
      <c r="P483" s="69">
        <f t="shared" si="223"/>
        <v>23604.983333333334</v>
      </c>
      <c r="Q483" s="69">
        <f t="shared" si="223"/>
        <v>26000</v>
      </c>
      <c r="R483" s="294"/>
      <c r="S483" s="49"/>
      <c r="T483" s="49"/>
      <c r="U483" s="49"/>
      <c r="V483" s="49"/>
      <c r="W483" s="49"/>
      <c r="X483" s="49" t="s">
        <v>479</v>
      </c>
      <c r="Y483" s="49"/>
      <c r="Z483" s="66">
        <v>28500</v>
      </c>
      <c r="AA483" s="280"/>
      <c r="AB483" s="66">
        <f>Travel!$T$332</f>
        <v>30500</v>
      </c>
      <c r="AC483" s="66">
        <v>25000</v>
      </c>
      <c r="AD483" s="66">
        <v>25000</v>
      </c>
      <c r="AE483" s="66">
        <v>25000</v>
      </c>
      <c r="AF483" s="66">
        <f>Travel!$T$332</f>
        <v>30500</v>
      </c>
      <c r="AG483" s="66">
        <f>Travel!$T$332</f>
        <v>30500</v>
      </c>
      <c r="AH483" s="66">
        <f>Travel!$T$332</f>
        <v>30500</v>
      </c>
      <c r="AI483" s="66">
        <f>Travel!$T$332</f>
        <v>30500</v>
      </c>
      <c r="AJ483" s="66">
        <f>Travel!$T$332</f>
        <v>30500</v>
      </c>
      <c r="AK483" s="66">
        <f>Travel!$T$332</f>
        <v>30500</v>
      </c>
      <c r="AM483" s="66">
        <f>Travel!$T$332</f>
        <v>30500</v>
      </c>
      <c r="AN483" s="191"/>
      <c r="AO483"/>
      <c r="AQ483"/>
      <c r="AR483"/>
      <c r="AS483"/>
    </row>
    <row r="484" spans="1:45" ht="16" x14ac:dyDescent="0.35">
      <c r="A484" s="66"/>
      <c r="B484" s="66"/>
      <c r="C484" s="49"/>
      <c r="D484" s="49"/>
      <c r="E484" s="49"/>
      <c r="F484" s="49" t="s">
        <v>480</v>
      </c>
      <c r="G484" s="49"/>
      <c r="H484" s="63">
        <v>1137.19</v>
      </c>
      <c r="I484" s="63">
        <v>5000</v>
      </c>
      <c r="J484" s="64">
        <v>736.13</v>
      </c>
      <c r="K484" s="64">
        <v>5000</v>
      </c>
      <c r="L484" s="65">
        <v>2584.88</v>
      </c>
      <c r="M484" s="65">
        <v>4615</v>
      </c>
      <c r="N484" s="66">
        <f t="shared" si="243"/>
        <v>4458.2</v>
      </c>
      <c r="O484" s="66">
        <f t="shared" si="243"/>
        <v>14615</v>
      </c>
      <c r="P484" s="69">
        <f t="shared" si="223"/>
        <v>1486.0666666666666</v>
      </c>
      <c r="Q484" s="69">
        <f t="shared" si="223"/>
        <v>4871.666666666667</v>
      </c>
      <c r="R484" s="294"/>
      <c r="S484" s="49"/>
      <c r="T484" s="49"/>
      <c r="U484" s="49"/>
      <c r="V484" s="49"/>
      <c r="W484" s="49"/>
      <c r="X484" s="49" t="s">
        <v>480</v>
      </c>
      <c r="Y484" s="49"/>
      <c r="Z484" s="66">
        <v>4615</v>
      </c>
      <c r="AA484" s="280"/>
      <c r="AB484" s="66">
        <f>Travel!$T$336</f>
        <v>5000</v>
      </c>
      <c r="AC484" s="66">
        <f>Travel!$T$336</f>
        <v>5000</v>
      </c>
      <c r="AD484" s="66">
        <f>Travel!$T$336</f>
        <v>5000</v>
      </c>
      <c r="AE484" s="66">
        <f>Travel!$T$336</f>
        <v>5000</v>
      </c>
      <c r="AF484" s="66">
        <f>Travel!$T$336</f>
        <v>5000</v>
      </c>
      <c r="AG484" s="66">
        <f>Travel!$T$336</f>
        <v>5000</v>
      </c>
      <c r="AH484" s="66">
        <f>Travel!$T$336</f>
        <v>5000</v>
      </c>
      <c r="AI484" s="66">
        <f>Travel!$T$336</f>
        <v>5000</v>
      </c>
      <c r="AJ484" s="66">
        <f>Travel!$T$336</f>
        <v>5000</v>
      </c>
      <c r="AK484" s="66">
        <f>Travel!$T$336</f>
        <v>5000</v>
      </c>
      <c r="AM484" s="66">
        <f>Travel!$T$336</f>
        <v>5000</v>
      </c>
      <c r="AN484" s="191"/>
      <c r="AO484"/>
      <c r="AQ484"/>
      <c r="AR484"/>
      <c r="AS484"/>
    </row>
    <row r="485" spans="1:45" ht="16" x14ac:dyDescent="0.35">
      <c r="A485" s="66"/>
      <c r="B485" s="66"/>
      <c r="C485" s="49"/>
      <c r="D485" s="49"/>
      <c r="E485" s="49"/>
      <c r="F485" s="49" t="s">
        <v>481</v>
      </c>
      <c r="G485" s="49"/>
      <c r="H485" s="63">
        <v>1252.07</v>
      </c>
      <c r="I485" s="63">
        <v>18000</v>
      </c>
      <c r="J485" s="64">
        <v>3568.99</v>
      </c>
      <c r="K485" s="64">
        <v>24000</v>
      </c>
      <c r="L485" s="65">
        <v>5789.34</v>
      </c>
      <c r="M485" s="65">
        <v>19200</v>
      </c>
      <c r="N485" s="66">
        <f t="shared" si="243"/>
        <v>10610.4</v>
      </c>
      <c r="O485" s="66">
        <f t="shared" si="243"/>
        <v>61200</v>
      </c>
      <c r="P485" s="69">
        <f t="shared" si="223"/>
        <v>3536.7999999999997</v>
      </c>
      <c r="Q485" s="69">
        <f t="shared" si="223"/>
        <v>20400</v>
      </c>
      <c r="R485" s="294"/>
      <c r="S485" s="49"/>
      <c r="T485" s="49"/>
      <c r="U485" s="49"/>
      <c r="V485" s="49"/>
      <c r="W485" s="49"/>
      <c r="X485" s="49" t="s">
        <v>481</v>
      </c>
      <c r="Y485" s="49"/>
      <c r="Z485" s="66">
        <v>19200</v>
      </c>
      <c r="AA485" s="280"/>
      <c r="AB485" s="66">
        <f>Travel!$T$352</f>
        <v>21000</v>
      </c>
      <c r="AC485" s="66">
        <v>15000</v>
      </c>
      <c r="AD485" s="66">
        <v>15000</v>
      </c>
      <c r="AE485" s="66">
        <v>15000</v>
      </c>
      <c r="AF485" s="66">
        <f>Travel!$T$352</f>
        <v>21000</v>
      </c>
      <c r="AG485" s="66">
        <f>Travel!$T$352</f>
        <v>21000</v>
      </c>
      <c r="AH485" s="66">
        <f>Travel!$T$352</f>
        <v>21000</v>
      </c>
      <c r="AI485" s="66">
        <f>Travel!$T$352</f>
        <v>21000</v>
      </c>
      <c r="AJ485" s="66">
        <f>Travel!$T$352</f>
        <v>21000</v>
      </c>
      <c r="AK485" s="66">
        <f>Travel!$T$352</f>
        <v>21000</v>
      </c>
      <c r="AM485" s="66">
        <f>Travel!$T$352</f>
        <v>21000</v>
      </c>
      <c r="AN485" s="191"/>
      <c r="AO485"/>
      <c r="AQ485"/>
      <c r="AR485"/>
      <c r="AS485"/>
    </row>
    <row r="486" spans="1:45" ht="32" x14ac:dyDescent="0.35">
      <c r="A486" s="66"/>
      <c r="B486" s="66"/>
      <c r="C486" s="49"/>
      <c r="D486" s="49"/>
      <c r="E486" s="49"/>
      <c r="F486" s="49" t="s">
        <v>482</v>
      </c>
      <c r="G486" s="49"/>
      <c r="H486" s="63">
        <v>16588.95</v>
      </c>
      <c r="I486" s="63">
        <v>22500</v>
      </c>
      <c r="J486" s="64">
        <v>24136.21</v>
      </c>
      <c r="K486" s="64">
        <v>25000</v>
      </c>
      <c r="L486" s="65">
        <v>40819.08</v>
      </c>
      <c r="M486" s="65">
        <v>36500</v>
      </c>
      <c r="N486" s="66">
        <f t="shared" si="243"/>
        <v>81544.240000000005</v>
      </c>
      <c r="O486" s="66">
        <f t="shared" si="243"/>
        <v>84000</v>
      </c>
      <c r="P486" s="69">
        <f t="shared" si="223"/>
        <v>27181.413333333334</v>
      </c>
      <c r="Q486" s="69">
        <f t="shared" si="223"/>
        <v>28000</v>
      </c>
      <c r="R486" s="294"/>
      <c r="S486" s="49"/>
      <c r="T486" s="49"/>
      <c r="U486" s="49"/>
      <c r="V486" s="49"/>
      <c r="W486" s="49"/>
      <c r="X486" s="49" t="s">
        <v>482</v>
      </c>
      <c r="Y486" s="49"/>
      <c r="Z486" s="66">
        <v>36500</v>
      </c>
      <c r="AA486" s="280"/>
      <c r="AB486" s="66">
        <f>Travel!$T$361</f>
        <v>39999.994999999995</v>
      </c>
      <c r="AC486" s="66">
        <v>30000</v>
      </c>
      <c r="AD486" s="66">
        <v>30000</v>
      </c>
      <c r="AE486" s="66">
        <v>30000</v>
      </c>
      <c r="AF486" s="66">
        <f>Travel!$T$361</f>
        <v>39999.994999999995</v>
      </c>
      <c r="AG486" s="66">
        <f>Travel!$T$361</f>
        <v>39999.994999999995</v>
      </c>
      <c r="AH486" s="66">
        <f>Travel!$T$361</f>
        <v>39999.994999999995</v>
      </c>
      <c r="AI486" s="66">
        <f>Travel!$T$361</f>
        <v>39999.994999999995</v>
      </c>
      <c r="AJ486" s="66">
        <f>Travel!$T$361</f>
        <v>39999.994999999995</v>
      </c>
      <c r="AK486" s="66">
        <f>Travel!$T$361</f>
        <v>39999.994999999995</v>
      </c>
      <c r="AM486" s="66">
        <f>Travel!$T$361</f>
        <v>39999.994999999995</v>
      </c>
      <c r="AN486" s="218" t="s">
        <v>1010</v>
      </c>
      <c r="AO486"/>
      <c r="AQ486"/>
      <c r="AR486"/>
      <c r="AS486"/>
    </row>
    <row r="487" spans="1:45" ht="16.5" thickBot="1" x14ac:dyDescent="0.4">
      <c r="A487" s="66"/>
      <c r="B487" s="66"/>
      <c r="C487" s="49"/>
      <c r="D487" s="49"/>
      <c r="E487" s="49"/>
      <c r="F487" s="49" t="s">
        <v>483</v>
      </c>
      <c r="G487" s="49"/>
      <c r="H487" s="63">
        <v>0</v>
      </c>
      <c r="I487" s="63">
        <v>0</v>
      </c>
      <c r="J487" s="64">
        <v>0</v>
      </c>
      <c r="K487" s="64">
        <v>0</v>
      </c>
      <c r="L487" s="65">
        <v>2890.95</v>
      </c>
      <c r="M487" s="65">
        <v>5000</v>
      </c>
      <c r="N487" s="66">
        <f t="shared" si="243"/>
        <v>2890.95</v>
      </c>
      <c r="O487" s="66">
        <f t="shared" si="243"/>
        <v>5000</v>
      </c>
      <c r="P487" s="69">
        <f t="shared" si="223"/>
        <v>963.65</v>
      </c>
      <c r="Q487" s="69">
        <f t="shared" si="223"/>
        <v>1666.6666666666667</v>
      </c>
      <c r="R487" s="294"/>
      <c r="S487" s="49"/>
      <c r="T487" s="49"/>
      <c r="U487" s="49"/>
      <c r="V487" s="49"/>
      <c r="W487" s="49"/>
      <c r="X487" s="49" t="s">
        <v>483</v>
      </c>
      <c r="Y487" s="49"/>
      <c r="Z487" s="66">
        <v>5000</v>
      </c>
      <c r="AA487" s="280"/>
      <c r="AB487" s="66">
        <f>Travel!$T$362</f>
        <v>5000</v>
      </c>
      <c r="AC487" s="66">
        <f>Travel!$T$362</f>
        <v>5000</v>
      </c>
      <c r="AD487" s="66">
        <f>Travel!$T$362</f>
        <v>5000</v>
      </c>
      <c r="AE487" s="66">
        <f>Travel!$T$362</f>
        <v>5000</v>
      </c>
      <c r="AF487" s="66">
        <f>Travel!$T$362</f>
        <v>5000</v>
      </c>
      <c r="AG487" s="66">
        <f>Travel!$T$362</f>
        <v>5000</v>
      </c>
      <c r="AH487" s="66">
        <f>Travel!$T$362</f>
        <v>5000</v>
      </c>
      <c r="AI487" s="66">
        <f>Travel!$T$362</f>
        <v>5000</v>
      </c>
      <c r="AJ487" s="66">
        <f>Travel!$T$362</f>
        <v>5000</v>
      </c>
      <c r="AK487" s="66">
        <f>Travel!$T$362</f>
        <v>5000</v>
      </c>
      <c r="AM487" s="66">
        <f>Travel!$T$362</f>
        <v>5000</v>
      </c>
      <c r="AN487" s="191"/>
      <c r="AO487"/>
      <c r="AQ487"/>
      <c r="AR487"/>
      <c r="AS487"/>
    </row>
    <row r="488" spans="1:45" ht="16.5" thickBot="1" x14ac:dyDescent="0.4">
      <c r="A488" s="66"/>
      <c r="B488" s="66"/>
      <c r="C488" s="49"/>
      <c r="D488" s="49"/>
      <c r="E488" s="49" t="s">
        <v>484</v>
      </c>
      <c r="F488" s="49"/>
      <c r="G488" s="49"/>
      <c r="H488" s="75">
        <f t="shared" ref="H488:M488" si="244">ROUND(SUM(H480:H487),5)</f>
        <v>59874.94</v>
      </c>
      <c r="I488" s="75">
        <f t="shared" si="244"/>
        <v>92500</v>
      </c>
      <c r="J488" s="76">
        <f t="shared" si="244"/>
        <v>75252.66</v>
      </c>
      <c r="K488" s="76">
        <f t="shared" si="244"/>
        <v>95000</v>
      </c>
      <c r="L488" s="77">
        <f t="shared" si="244"/>
        <v>113605.97</v>
      </c>
      <c r="M488" s="77">
        <f t="shared" si="244"/>
        <v>113615</v>
      </c>
      <c r="N488" s="78">
        <f t="shared" si="243"/>
        <v>248733.57</v>
      </c>
      <c r="O488" s="78">
        <f t="shared" si="243"/>
        <v>301115</v>
      </c>
      <c r="P488" s="79">
        <f t="shared" si="223"/>
        <v>82911.19</v>
      </c>
      <c r="Q488" s="79">
        <f t="shared" si="223"/>
        <v>100371.66666666667</v>
      </c>
      <c r="R488" s="294"/>
      <c r="S488" s="49"/>
      <c r="T488" s="49"/>
      <c r="U488" s="49"/>
      <c r="V488" s="49"/>
      <c r="W488" s="49" t="s">
        <v>484</v>
      </c>
      <c r="X488" s="49"/>
      <c r="Y488" s="49"/>
      <c r="Z488" s="92">
        <f>ROUND(SUM(Z480:Z487),5)</f>
        <v>122615</v>
      </c>
      <c r="AA488" s="280"/>
      <c r="AB488" s="91">
        <f t="shared" ref="AB488:AK488" si="245">ROUND(SUM(AB480:AB487),5)</f>
        <v>130299.995</v>
      </c>
      <c r="AC488" s="91">
        <f t="shared" si="245"/>
        <v>105500</v>
      </c>
      <c r="AD488" s="91">
        <f t="shared" si="245"/>
        <v>105500</v>
      </c>
      <c r="AE488" s="91">
        <f t="shared" si="245"/>
        <v>105500</v>
      </c>
      <c r="AF488" s="91">
        <f t="shared" si="245"/>
        <v>130299.995</v>
      </c>
      <c r="AG488" s="91">
        <f t="shared" si="245"/>
        <v>130299.995</v>
      </c>
      <c r="AH488" s="91">
        <f t="shared" si="245"/>
        <v>130299.995</v>
      </c>
      <c r="AI488" s="91">
        <f t="shared" si="245"/>
        <v>130299.995</v>
      </c>
      <c r="AJ488" s="91">
        <f t="shared" si="245"/>
        <v>130299.995</v>
      </c>
      <c r="AK488" s="266">
        <f t="shared" si="245"/>
        <v>130299.995</v>
      </c>
      <c r="AM488" s="270">
        <f t="shared" ref="AM488" si="246">ROUND(SUM(AM480:AM487),5)</f>
        <v>130299.995</v>
      </c>
      <c r="AN488" s="191"/>
      <c r="AO488"/>
      <c r="AQ488"/>
      <c r="AR488"/>
      <c r="AS488"/>
    </row>
    <row r="489" spans="1:45" ht="16" x14ac:dyDescent="0.35">
      <c r="A489" s="66"/>
      <c r="B489" s="66"/>
      <c r="C489" s="49"/>
      <c r="D489" s="49" t="s">
        <v>485</v>
      </c>
      <c r="E489" s="49"/>
      <c r="F489" s="49"/>
      <c r="G489" s="49"/>
      <c r="H489" s="75">
        <f t="shared" ref="H489:M489" si="247">ROUND(H429+H441+H455+H464+H469+H479+SUM(H488:H488),5)</f>
        <v>418230.26</v>
      </c>
      <c r="I489" s="75">
        <f t="shared" si="247"/>
        <v>595000</v>
      </c>
      <c r="J489" s="76">
        <f t="shared" si="247"/>
        <v>490473.05</v>
      </c>
      <c r="K489" s="76">
        <f t="shared" si="247"/>
        <v>579550</v>
      </c>
      <c r="L489" s="77">
        <f t="shared" si="247"/>
        <v>559533.9</v>
      </c>
      <c r="M489" s="77">
        <f t="shared" si="247"/>
        <v>649239</v>
      </c>
      <c r="N489" s="78">
        <f t="shared" si="243"/>
        <v>1468237.21</v>
      </c>
      <c r="O489" s="78">
        <f t="shared" si="243"/>
        <v>1823789</v>
      </c>
      <c r="P489" s="79">
        <f t="shared" si="223"/>
        <v>489412.40333333332</v>
      </c>
      <c r="Q489" s="79">
        <f t="shared" si="223"/>
        <v>607929.66666666663</v>
      </c>
      <c r="R489" s="294"/>
      <c r="S489" s="49"/>
      <c r="T489" s="49"/>
      <c r="U489" s="49"/>
      <c r="V489" s="49" t="s">
        <v>485</v>
      </c>
      <c r="W489" s="49"/>
      <c r="X489" s="49"/>
      <c r="Y489" s="49"/>
      <c r="Z489" s="78">
        <f>ROUND(Z429+Z441+Z455+Z464+Z469+Z479+SUM(Z488:Z488),5)</f>
        <v>686130</v>
      </c>
      <c r="AA489" s="280"/>
      <c r="AB489" s="78">
        <f t="shared" ref="AB489:AK489" si="248">ROUND(AB429+AB441+AB455+AB464+AB469+AB479+SUM(AB488:AB488),5)</f>
        <v>720549.995</v>
      </c>
      <c r="AC489" s="78">
        <f t="shared" si="248"/>
        <v>605300</v>
      </c>
      <c r="AD489" s="78">
        <f t="shared" si="248"/>
        <v>625300</v>
      </c>
      <c r="AE489" s="78">
        <f t="shared" si="248"/>
        <v>647100</v>
      </c>
      <c r="AF489" s="78">
        <f t="shared" si="248"/>
        <v>737299.995</v>
      </c>
      <c r="AG489" s="78">
        <f t="shared" si="248"/>
        <v>744599.995</v>
      </c>
      <c r="AH489" s="78">
        <f t="shared" si="248"/>
        <v>744599.995</v>
      </c>
      <c r="AI489" s="78">
        <f t="shared" si="248"/>
        <v>718699.995</v>
      </c>
      <c r="AJ489" s="78">
        <f t="shared" si="248"/>
        <v>712699.995</v>
      </c>
      <c r="AK489" s="78">
        <f t="shared" si="248"/>
        <v>680299.995</v>
      </c>
      <c r="AM489" s="78">
        <f t="shared" ref="AM489" si="249">ROUND(AM429+AM441+AM455+AM464+AM469+AM479+SUM(AM488:AM488),5)</f>
        <v>712699.995</v>
      </c>
      <c r="AN489" s="191"/>
      <c r="AO489"/>
      <c r="AQ489"/>
      <c r="AR489"/>
      <c r="AS489"/>
    </row>
    <row r="490" spans="1:45" ht="16" x14ac:dyDescent="0.35">
      <c r="A490" s="66"/>
      <c r="B490" s="66"/>
      <c r="C490" s="49"/>
      <c r="D490" s="49" t="s">
        <v>486</v>
      </c>
      <c r="E490" s="49"/>
      <c r="F490" s="49"/>
      <c r="G490" s="49"/>
      <c r="H490" s="63"/>
      <c r="I490" s="63"/>
      <c r="J490" s="64"/>
      <c r="K490" s="64"/>
      <c r="L490" s="65"/>
      <c r="M490" s="65"/>
      <c r="N490" s="66"/>
      <c r="O490" s="66"/>
      <c r="P490" s="69">
        <f t="shared" si="223"/>
        <v>0</v>
      </c>
      <c r="Q490" s="69">
        <f t="shared" si="223"/>
        <v>0</v>
      </c>
      <c r="R490" s="294"/>
      <c r="S490" s="49"/>
      <c r="T490" s="49"/>
      <c r="U490" s="49"/>
      <c r="V490" s="49" t="s">
        <v>486</v>
      </c>
      <c r="W490" s="49"/>
      <c r="X490" s="49"/>
      <c r="Y490" s="49"/>
      <c r="Z490" s="66"/>
      <c r="AA490" s="280"/>
      <c r="AB490" s="66"/>
      <c r="AC490" s="66"/>
      <c r="AD490" s="66"/>
      <c r="AE490" s="66"/>
      <c r="AF490" s="66"/>
      <c r="AG490" s="66"/>
      <c r="AH490" s="66"/>
      <c r="AI490" s="66"/>
      <c r="AJ490" s="66"/>
      <c r="AK490" s="66"/>
      <c r="AM490" s="66"/>
      <c r="AN490" s="191"/>
      <c r="AO490"/>
      <c r="AQ490"/>
      <c r="AR490"/>
      <c r="AS490"/>
    </row>
    <row r="491" spans="1:45" ht="16" x14ac:dyDescent="0.35">
      <c r="A491" s="66"/>
      <c r="B491" s="66"/>
      <c r="C491" s="49"/>
      <c r="D491" s="49"/>
      <c r="E491" s="49" t="s">
        <v>487</v>
      </c>
      <c r="F491" s="49"/>
      <c r="G491" s="49"/>
      <c r="H491" s="63">
        <v>10042.5</v>
      </c>
      <c r="I491" s="63">
        <v>20000</v>
      </c>
      <c r="J491" s="64">
        <v>0</v>
      </c>
      <c r="K491" s="64">
        <v>5000</v>
      </c>
      <c r="L491" s="65">
        <v>0</v>
      </c>
      <c r="M491" s="65">
        <v>5000</v>
      </c>
      <c r="N491" s="66">
        <f t="shared" ref="N491:O514" si="250">ROUND(H491+J491+L491,5)</f>
        <v>10042.5</v>
      </c>
      <c r="O491" s="66">
        <f t="shared" si="250"/>
        <v>30000</v>
      </c>
      <c r="P491" s="69">
        <f t="shared" si="223"/>
        <v>3347.5</v>
      </c>
      <c r="Q491" s="69">
        <f t="shared" si="223"/>
        <v>10000</v>
      </c>
      <c r="R491" s="294"/>
      <c r="S491" s="49"/>
      <c r="T491" s="49"/>
      <c r="U491" s="49"/>
      <c r="V491" s="49"/>
      <c r="W491" s="49" t="s">
        <v>487</v>
      </c>
      <c r="X491" s="49"/>
      <c r="Y491" s="49"/>
      <c r="Z491" s="66">
        <v>0</v>
      </c>
      <c r="AA491" s="280"/>
      <c r="AB491" s="66">
        <v>0</v>
      </c>
      <c r="AC491" s="66">
        <v>0</v>
      </c>
      <c r="AD491" s="66">
        <v>0</v>
      </c>
      <c r="AE491" s="66">
        <v>0</v>
      </c>
      <c r="AF491" s="66">
        <v>0</v>
      </c>
      <c r="AG491" s="66">
        <v>0</v>
      </c>
      <c r="AH491" s="66">
        <v>0</v>
      </c>
      <c r="AI491" s="66">
        <v>0</v>
      </c>
      <c r="AJ491" s="66">
        <v>0</v>
      </c>
      <c r="AK491" s="66">
        <v>0</v>
      </c>
      <c r="AM491" s="66">
        <v>0</v>
      </c>
      <c r="AN491" s="191"/>
      <c r="AO491"/>
      <c r="AQ491"/>
      <c r="AR491"/>
      <c r="AS491"/>
    </row>
    <row r="492" spans="1:45" ht="16" x14ac:dyDescent="0.35">
      <c r="A492" s="66"/>
      <c r="B492" s="66"/>
      <c r="C492" s="49"/>
      <c r="D492" s="49"/>
      <c r="E492" s="49" t="s">
        <v>488</v>
      </c>
      <c r="F492" s="49"/>
      <c r="G492" s="49"/>
      <c r="H492" s="63">
        <v>1172.6500000000001</v>
      </c>
      <c r="I492" s="63">
        <v>3500</v>
      </c>
      <c r="J492" s="64">
        <v>3653.36</v>
      </c>
      <c r="K492" s="64">
        <v>2500</v>
      </c>
      <c r="L492" s="65">
        <v>2379.42</v>
      </c>
      <c r="M492" s="65">
        <v>2000</v>
      </c>
      <c r="N492" s="66">
        <f t="shared" si="250"/>
        <v>7205.43</v>
      </c>
      <c r="O492" s="66">
        <f t="shared" si="250"/>
        <v>8000</v>
      </c>
      <c r="P492" s="69">
        <f t="shared" si="223"/>
        <v>2401.81</v>
      </c>
      <c r="Q492" s="69">
        <f t="shared" si="223"/>
        <v>2666.6666666666665</v>
      </c>
      <c r="R492" s="294"/>
      <c r="S492" s="49"/>
      <c r="T492" s="49"/>
      <c r="U492" s="49"/>
      <c r="V492" s="49"/>
      <c r="W492" s="49" t="s">
        <v>488</v>
      </c>
      <c r="X492" s="49"/>
      <c r="Y492" s="49"/>
      <c r="Z492" s="66">
        <v>2000</v>
      </c>
      <c r="AA492" s="280"/>
      <c r="AB492" s="66">
        <v>2500</v>
      </c>
      <c r="AC492" s="66">
        <v>2500</v>
      </c>
      <c r="AD492" s="66">
        <v>2500</v>
      </c>
      <c r="AE492" s="66">
        <v>2500</v>
      </c>
      <c r="AF492" s="66">
        <v>2500</v>
      </c>
      <c r="AG492" s="66">
        <v>2500</v>
      </c>
      <c r="AH492" s="66">
        <v>2500</v>
      </c>
      <c r="AI492" s="66">
        <v>2500</v>
      </c>
      <c r="AJ492" s="66">
        <v>2500</v>
      </c>
      <c r="AK492" s="66">
        <v>2500</v>
      </c>
      <c r="AM492" s="66">
        <v>2500</v>
      </c>
      <c r="AN492" s="191"/>
      <c r="AO492"/>
      <c r="AQ492"/>
      <c r="AR492"/>
      <c r="AS492"/>
    </row>
    <row r="493" spans="1:45" ht="16" x14ac:dyDescent="0.35">
      <c r="A493" s="66"/>
      <c r="B493" s="66"/>
      <c r="C493" s="49"/>
      <c r="D493" s="49"/>
      <c r="E493" s="49" t="s">
        <v>489</v>
      </c>
      <c r="F493" s="49"/>
      <c r="G493" s="49"/>
      <c r="H493" s="63">
        <v>6048.44</v>
      </c>
      <c r="I493" s="63">
        <v>5000</v>
      </c>
      <c r="J493" s="64">
        <v>4333.66</v>
      </c>
      <c r="K493" s="64">
        <v>5500</v>
      </c>
      <c r="L493" s="65">
        <v>4745.84</v>
      </c>
      <c r="M493" s="65">
        <v>6000</v>
      </c>
      <c r="N493" s="66">
        <f t="shared" si="250"/>
        <v>15127.94</v>
      </c>
      <c r="O493" s="66">
        <f t="shared" si="250"/>
        <v>16500</v>
      </c>
      <c r="P493" s="69">
        <f t="shared" si="223"/>
        <v>5042.6466666666665</v>
      </c>
      <c r="Q493" s="69">
        <f t="shared" si="223"/>
        <v>5500</v>
      </c>
      <c r="R493" s="294"/>
      <c r="S493" s="49"/>
      <c r="T493" s="49"/>
      <c r="U493" s="49"/>
      <c r="V493" s="49"/>
      <c r="W493" s="49" t="s">
        <v>489</v>
      </c>
      <c r="X493" s="49"/>
      <c r="Y493" s="49"/>
      <c r="Z493" s="66">
        <v>6000</v>
      </c>
      <c r="AA493" s="280"/>
      <c r="AB493" s="66">
        <v>6000</v>
      </c>
      <c r="AC493" s="66">
        <v>6000</v>
      </c>
      <c r="AD493" s="66">
        <v>6000</v>
      </c>
      <c r="AE493" s="66">
        <v>6000</v>
      </c>
      <c r="AF493" s="66">
        <v>6000</v>
      </c>
      <c r="AG493" s="66">
        <v>6000</v>
      </c>
      <c r="AH493" s="66">
        <v>6000</v>
      </c>
      <c r="AI493" s="66">
        <v>6000</v>
      </c>
      <c r="AJ493" s="66">
        <v>6000</v>
      </c>
      <c r="AK493" s="66">
        <v>6000</v>
      </c>
      <c r="AM493" s="66">
        <v>6000</v>
      </c>
      <c r="AN493" s="191"/>
      <c r="AO493"/>
      <c r="AQ493"/>
      <c r="AR493"/>
      <c r="AS493"/>
    </row>
    <row r="494" spans="1:45" ht="16" x14ac:dyDescent="0.35">
      <c r="A494" s="66"/>
      <c r="B494" s="66"/>
      <c r="C494" s="49"/>
      <c r="D494" s="49"/>
      <c r="E494" s="49" t="s">
        <v>490</v>
      </c>
      <c r="F494" s="49"/>
      <c r="G494" s="49"/>
      <c r="H494" s="63">
        <v>199.67</v>
      </c>
      <c r="I494" s="63">
        <v>2000</v>
      </c>
      <c r="J494" s="64">
        <v>6226.1</v>
      </c>
      <c r="K494" s="64">
        <v>2000</v>
      </c>
      <c r="L494" s="65">
        <v>6873</v>
      </c>
      <c r="M494" s="65">
        <v>3000</v>
      </c>
      <c r="N494" s="66">
        <f t="shared" si="250"/>
        <v>13298.77</v>
      </c>
      <c r="O494" s="66">
        <f t="shared" si="250"/>
        <v>7000</v>
      </c>
      <c r="P494" s="69">
        <f t="shared" si="223"/>
        <v>4432.9233333333332</v>
      </c>
      <c r="Q494" s="69">
        <f t="shared" si="223"/>
        <v>2333.3333333333335</v>
      </c>
      <c r="R494" s="294"/>
      <c r="S494" s="49"/>
      <c r="T494" s="49"/>
      <c r="U494" s="49"/>
      <c r="V494" s="49"/>
      <c r="W494" s="49" t="s">
        <v>490</v>
      </c>
      <c r="X494" s="49"/>
      <c r="Y494" s="49"/>
      <c r="Z494" s="66">
        <v>3000</v>
      </c>
      <c r="AA494" s="280"/>
      <c r="AB494" s="66">
        <v>3000</v>
      </c>
      <c r="AC494" s="66">
        <v>3000</v>
      </c>
      <c r="AD494" s="66">
        <v>3000</v>
      </c>
      <c r="AE494" s="66">
        <v>3000</v>
      </c>
      <c r="AF494" s="66">
        <v>3000</v>
      </c>
      <c r="AG494" s="66">
        <v>3000</v>
      </c>
      <c r="AH494" s="66">
        <v>3000</v>
      </c>
      <c r="AI494" s="66">
        <v>3000</v>
      </c>
      <c r="AJ494" s="66">
        <v>3000</v>
      </c>
      <c r="AK494" s="66">
        <v>3000</v>
      </c>
      <c r="AM494" s="66">
        <v>3000</v>
      </c>
      <c r="AN494" s="191"/>
      <c r="AO494"/>
      <c r="AQ494"/>
      <c r="AR494"/>
      <c r="AS494"/>
    </row>
    <row r="495" spans="1:45" ht="16" x14ac:dyDescent="0.35">
      <c r="A495" s="66"/>
      <c r="B495" s="66"/>
      <c r="C495" s="49"/>
      <c r="D495" s="49"/>
      <c r="E495" s="49" t="s">
        <v>491</v>
      </c>
      <c r="F495" s="49"/>
      <c r="G495" s="49"/>
      <c r="H495" s="63">
        <v>140209.15</v>
      </c>
      <c r="I495" s="63">
        <v>140219.46</v>
      </c>
      <c r="J495" s="64">
        <v>168724.35</v>
      </c>
      <c r="K495" s="64">
        <v>141992.4</v>
      </c>
      <c r="L495" s="65">
        <v>201334.85</v>
      </c>
      <c r="M495" s="65">
        <v>155031.26</v>
      </c>
      <c r="N495" s="66">
        <f t="shared" si="250"/>
        <v>510268.35</v>
      </c>
      <c r="O495" s="66">
        <f t="shared" si="250"/>
        <v>437243.12</v>
      </c>
      <c r="P495" s="69">
        <f t="shared" si="223"/>
        <v>170089.44999999998</v>
      </c>
      <c r="Q495" s="69">
        <f t="shared" si="223"/>
        <v>145747.70666666667</v>
      </c>
      <c r="R495" s="294"/>
      <c r="S495" s="49"/>
      <c r="T495" s="49"/>
      <c r="U495" s="49"/>
      <c r="V495" s="49"/>
      <c r="W495" s="49" t="s">
        <v>491</v>
      </c>
      <c r="X495" s="49"/>
      <c r="Y495" s="49"/>
      <c r="Z495" s="66">
        <v>179396</v>
      </c>
      <c r="AA495" s="280"/>
      <c r="AB495" s="66">
        <f t="shared" ref="AB495:AF495" si="251">ROUND(AB220*0.0386, 0)</f>
        <v>205031</v>
      </c>
      <c r="AC495" s="66">
        <f t="shared" si="251"/>
        <v>205031</v>
      </c>
      <c r="AD495" s="66">
        <f t="shared" si="251"/>
        <v>207550</v>
      </c>
      <c r="AE495" s="66">
        <f t="shared" si="251"/>
        <v>206778</v>
      </c>
      <c r="AF495" s="66">
        <f t="shared" si="251"/>
        <v>212691</v>
      </c>
      <c r="AG495" s="66">
        <f>ROUND(AG220*0.0386, 0)</f>
        <v>216120</v>
      </c>
      <c r="AH495" s="66">
        <f>ROUND(AH220*0.0386, 0)</f>
        <v>221717</v>
      </c>
      <c r="AI495" s="66">
        <f>ROUND(AI220*0.0386, 0)</f>
        <v>219170</v>
      </c>
      <c r="AJ495" s="66">
        <f>ROUND(AJ220*0.0386, 0)</f>
        <v>219305</v>
      </c>
      <c r="AK495" s="66">
        <f>ROUND(AK220*0.0386, 0)</f>
        <v>220930</v>
      </c>
      <c r="AL495" s="304"/>
      <c r="AM495" s="66">
        <f>ROUND(AM220*0.0386, 0)</f>
        <v>217953</v>
      </c>
      <c r="AN495" s="232" t="s">
        <v>844</v>
      </c>
      <c r="AO495"/>
      <c r="AQ495"/>
      <c r="AR495"/>
      <c r="AS495"/>
    </row>
    <row r="496" spans="1:45" x14ac:dyDescent="0.35">
      <c r="A496" s="66"/>
      <c r="B496" s="66"/>
      <c r="C496" s="49"/>
      <c r="D496" s="49"/>
      <c r="E496" s="49" t="s">
        <v>492</v>
      </c>
      <c r="F496" s="49"/>
      <c r="G496" s="49"/>
      <c r="H496" s="63">
        <v>0</v>
      </c>
      <c r="I496" s="63">
        <v>1000</v>
      </c>
      <c r="J496" s="64">
        <v>0</v>
      </c>
      <c r="K496" s="64">
        <v>0</v>
      </c>
      <c r="L496" s="65">
        <v>0</v>
      </c>
      <c r="M496" s="65">
        <v>0</v>
      </c>
      <c r="N496" s="66">
        <f t="shared" si="250"/>
        <v>0</v>
      </c>
      <c r="O496" s="66">
        <f>ROUND(I496+K496+M496,5)</f>
        <v>1000</v>
      </c>
      <c r="P496" s="69">
        <f t="shared" si="223"/>
        <v>0</v>
      </c>
      <c r="Q496" s="69">
        <f t="shared" si="223"/>
        <v>333.33333333333331</v>
      </c>
      <c r="R496" s="294"/>
      <c r="S496" s="49"/>
      <c r="T496" s="49"/>
      <c r="U496" s="49"/>
      <c r="V496" s="49"/>
      <c r="W496" s="49" t="s">
        <v>492</v>
      </c>
      <c r="X496" s="49"/>
      <c r="Y496" s="49"/>
      <c r="Z496" s="66">
        <v>0</v>
      </c>
      <c r="AA496" s="280"/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0</v>
      </c>
      <c r="AI496" s="66">
        <v>0</v>
      </c>
      <c r="AJ496" s="66">
        <v>0</v>
      </c>
      <c r="AK496" s="66">
        <v>0</v>
      </c>
      <c r="AL496" s="304"/>
      <c r="AM496" s="66">
        <v>0</v>
      </c>
      <c r="AO496"/>
      <c r="AQ496"/>
      <c r="AR496"/>
      <c r="AS496"/>
    </row>
    <row r="497" spans="1:45" x14ac:dyDescent="0.35">
      <c r="A497" s="66"/>
      <c r="B497" s="66"/>
      <c r="C497" s="49"/>
      <c r="D497" s="49"/>
      <c r="E497" s="49"/>
      <c r="F497" s="49"/>
      <c r="G497" s="49"/>
      <c r="H497" s="63"/>
      <c r="I497" s="63"/>
      <c r="J497" s="64"/>
      <c r="K497" s="64"/>
      <c r="L497" s="65"/>
      <c r="M497" s="65"/>
      <c r="N497" s="66"/>
      <c r="O497" s="66"/>
      <c r="P497" s="69"/>
      <c r="Q497" s="69"/>
      <c r="R497" s="294"/>
      <c r="S497" s="49"/>
      <c r="T497" s="49"/>
      <c r="U497" s="49"/>
      <c r="V497" s="49"/>
      <c r="W497" s="49" t="s">
        <v>967</v>
      </c>
      <c r="X497" s="49"/>
      <c r="Y497" s="49"/>
      <c r="Z497" s="66"/>
      <c r="AA497" s="280"/>
      <c r="AB497" s="66"/>
      <c r="AC497" s="66"/>
      <c r="AD497" s="66"/>
      <c r="AE497" s="66"/>
      <c r="AF497" s="66"/>
      <c r="AG497" s="66"/>
      <c r="AH497" s="66"/>
      <c r="AI497" s="66"/>
      <c r="AJ497" s="66"/>
      <c r="AK497" s="66"/>
      <c r="AL497" s="304"/>
      <c r="AM497" s="66"/>
      <c r="AO497"/>
      <c r="AQ497"/>
      <c r="AR497"/>
      <c r="AS497"/>
    </row>
    <row r="498" spans="1:45" ht="16" x14ac:dyDescent="0.35">
      <c r="A498" s="66"/>
      <c r="B498" s="66"/>
      <c r="C498" s="49"/>
      <c r="D498" s="49"/>
      <c r="E498" s="49" t="s">
        <v>493</v>
      </c>
      <c r="F498" s="49"/>
      <c r="G498" s="49"/>
      <c r="H498" s="63">
        <v>3322.5</v>
      </c>
      <c r="I498" s="63">
        <v>6000</v>
      </c>
      <c r="J498" s="64">
        <v>5750.2</v>
      </c>
      <c r="K498" s="64">
        <v>4000</v>
      </c>
      <c r="L498" s="65">
        <v>26568.75</v>
      </c>
      <c r="M498" s="65">
        <v>4000</v>
      </c>
      <c r="N498" s="66">
        <f t="shared" si="250"/>
        <v>35641.449999999997</v>
      </c>
      <c r="O498" s="66">
        <f t="shared" si="250"/>
        <v>14000</v>
      </c>
      <c r="P498" s="69">
        <f t="shared" si="223"/>
        <v>11880.483333333332</v>
      </c>
      <c r="Q498" s="69">
        <f t="shared" si="223"/>
        <v>4666.666666666667</v>
      </c>
      <c r="R498" s="294"/>
      <c r="S498" s="49"/>
      <c r="T498" s="49"/>
      <c r="U498" s="49"/>
      <c r="V498" s="49"/>
      <c r="W498" s="49" t="s">
        <v>493</v>
      </c>
      <c r="X498" s="49"/>
      <c r="Y498" s="49"/>
      <c r="Z498" s="66">
        <v>37500</v>
      </c>
      <c r="AA498" s="280"/>
      <c r="AB498" s="66">
        <v>24000</v>
      </c>
      <c r="AC498" s="66">
        <v>24000</v>
      </c>
      <c r="AD498" s="66">
        <v>24000</v>
      </c>
      <c r="AE498" s="66">
        <v>24000</v>
      </c>
      <c r="AF498" s="66">
        <v>24000</v>
      </c>
      <c r="AG498" s="66">
        <v>15000</v>
      </c>
      <c r="AH498" s="66">
        <v>15000</v>
      </c>
      <c r="AI498" s="66">
        <v>15000</v>
      </c>
      <c r="AJ498" s="66">
        <v>15000</v>
      </c>
      <c r="AK498" s="66">
        <v>15000</v>
      </c>
      <c r="AM498" s="66">
        <v>15000</v>
      </c>
      <c r="AN498" s="191"/>
      <c r="AO498"/>
      <c r="AQ498"/>
      <c r="AR498"/>
      <c r="AS498"/>
    </row>
    <row r="499" spans="1:45" ht="16" x14ac:dyDescent="0.35">
      <c r="A499" s="66"/>
      <c r="B499" s="66"/>
      <c r="C499" s="49"/>
      <c r="D499" s="49"/>
      <c r="E499" s="49" t="s">
        <v>494</v>
      </c>
      <c r="F499" s="49"/>
      <c r="G499" s="49"/>
      <c r="H499" s="63">
        <v>2934</v>
      </c>
      <c r="I499" s="63">
        <v>5607</v>
      </c>
      <c r="J499" s="64">
        <v>0</v>
      </c>
      <c r="K499" s="64">
        <v>0</v>
      </c>
      <c r="L499" s="65">
        <v>0</v>
      </c>
      <c r="M499" s="65">
        <v>0</v>
      </c>
      <c r="N499" s="66">
        <f t="shared" si="250"/>
        <v>2934</v>
      </c>
      <c r="O499" s="66">
        <f t="shared" si="250"/>
        <v>5607</v>
      </c>
      <c r="P499" s="69">
        <f t="shared" si="223"/>
        <v>978</v>
      </c>
      <c r="Q499" s="69">
        <f t="shared" si="223"/>
        <v>1869</v>
      </c>
      <c r="R499" s="294"/>
      <c r="S499" s="49"/>
      <c r="T499" s="49"/>
      <c r="U499" s="49"/>
      <c r="V499" s="49"/>
      <c r="W499" s="49" t="s">
        <v>494</v>
      </c>
      <c r="X499" s="49"/>
      <c r="Y499" s="49"/>
      <c r="Z499" s="66">
        <v>0</v>
      </c>
      <c r="AA499" s="280"/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0</v>
      </c>
      <c r="AI499" s="66">
        <v>0</v>
      </c>
      <c r="AJ499" s="66">
        <v>0</v>
      </c>
      <c r="AK499" s="66">
        <v>0</v>
      </c>
      <c r="AM499" s="66">
        <v>0</v>
      </c>
      <c r="AN499" s="191"/>
      <c r="AO499"/>
      <c r="AQ499"/>
      <c r="AR499"/>
      <c r="AS499"/>
    </row>
    <row r="500" spans="1:45" ht="29" x14ac:dyDescent="0.35">
      <c r="A500" s="66"/>
      <c r="B500" s="66"/>
      <c r="C500" s="49"/>
      <c r="D500" s="49"/>
      <c r="E500" s="49" t="s">
        <v>495</v>
      </c>
      <c r="F500" s="49"/>
      <c r="G500" s="49"/>
      <c r="H500" s="63">
        <v>74809.66</v>
      </c>
      <c r="I500" s="63">
        <v>105600</v>
      </c>
      <c r="J500" s="64">
        <v>52243.49</v>
      </c>
      <c r="K500" s="64">
        <v>53000</v>
      </c>
      <c r="L500" s="65">
        <v>51678.79</v>
      </c>
      <c r="M500" s="65">
        <v>70507</v>
      </c>
      <c r="N500" s="66">
        <f t="shared" si="250"/>
        <v>178731.94</v>
      </c>
      <c r="O500" s="66">
        <f t="shared" si="250"/>
        <v>229107</v>
      </c>
      <c r="P500" s="69">
        <f t="shared" si="223"/>
        <v>59577.313333333332</v>
      </c>
      <c r="Q500" s="69">
        <f t="shared" si="223"/>
        <v>76369</v>
      </c>
      <c r="R500" s="294"/>
      <c r="S500" s="49"/>
      <c r="T500" s="49"/>
      <c r="U500" s="49"/>
      <c r="V500" s="49"/>
      <c r="W500" s="49" t="s">
        <v>495</v>
      </c>
      <c r="X500" s="49"/>
      <c r="Y500" s="49"/>
      <c r="Z500" s="66">
        <v>74122.820000000007</v>
      </c>
      <c r="AA500" s="280"/>
      <c r="AB500" s="66">
        <v>109482.14</v>
      </c>
      <c r="AC500" s="66">
        <v>109482.14</v>
      </c>
      <c r="AD500" s="66">
        <v>109482.14</v>
      </c>
      <c r="AE500" s="66">
        <v>109482.14</v>
      </c>
      <c r="AF500" s="66">
        <f>ROUND(135482.14, 0)</f>
        <v>135482</v>
      </c>
      <c r="AG500" s="66">
        <f>ROUND(145282.14, 0)</f>
        <v>145282</v>
      </c>
      <c r="AH500" s="66">
        <v>121979.63</v>
      </c>
      <c r="AI500" s="66">
        <v>121979.63</v>
      </c>
      <c r="AJ500" s="66">
        <f>ROUND(121979.63, 0)</f>
        <v>121980</v>
      </c>
      <c r="AK500" s="66">
        <f>ROUND(128364.63, 0)</f>
        <v>128365</v>
      </c>
      <c r="AM500" s="66">
        <f>ROUND(121564.63, 0)</f>
        <v>121565</v>
      </c>
      <c r="AN500" s="221" t="s">
        <v>969</v>
      </c>
      <c r="AO500"/>
      <c r="AQ500"/>
      <c r="AR500"/>
      <c r="AS500"/>
    </row>
    <row r="501" spans="1:45" ht="16" x14ac:dyDescent="0.35">
      <c r="A501" s="66"/>
      <c r="B501" s="66"/>
      <c r="C501" s="49"/>
      <c r="D501" s="49"/>
      <c r="E501" s="49" t="s">
        <v>496</v>
      </c>
      <c r="F501" s="49"/>
      <c r="G501" s="49"/>
      <c r="H501" s="63">
        <v>2727.19</v>
      </c>
      <c r="I501" s="63">
        <v>4500</v>
      </c>
      <c r="J501" s="64">
        <v>4935.63</v>
      </c>
      <c r="K501" s="64">
        <v>4500</v>
      </c>
      <c r="L501" s="65">
        <v>6253.02</v>
      </c>
      <c r="M501" s="65">
        <v>4025</v>
      </c>
      <c r="N501" s="66">
        <f t="shared" si="250"/>
        <v>13915.84</v>
      </c>
      <c r="O501" s="66">
        <f t="shared" si="250"/>
        <v>13025</v>
      </c>
      <c r="P501" s="69">
        <f t="shared" si="223"/>
        <v>4638.6133333333337</v>
      </c>
      <c r="Q501" s="69">
        <f t="shared" si="223"/>
        <v>4341.666666666667</v>
      </c>
      <c r="R501" s="294"/>
      <c r="S501" s="49"/>
      <c r="T501" s="49"/>
      <c r="U501" s="49"/>
      <c r="V501" s="49"/>
      <c r="W501" s="49" t="s">
        <v>496</v>
      </c>
      <c r="X501" s="49"/>
      <c r="Y501" s="49"/>
      <c r="Z501" s="66">
        <v>8352</v>
      </c>
      <c r="AA501" s="280"/>
      <c r="AB501" s="66">
        <v>4563</v>
      </c>
      <c r="AC501" s="66">
        <v>4563</v>
      </c>
      <c r="AD501" s="66">
        <v>4563</v>
      </c>
      <c r="AE501" s="66">
        <v>4563</v>
      </c>
      <c r="AF501" s="66">
        <v>4563</v>
      </c>
      <c r="AG501" s="66">
        <v>4563</v>
      </c>
      <c r="AH501" s="66">
        <v>4563</v>
      </c>
      <c r="AI501" s="66">
        <v>4563</v>
      </c>
      <c r="AJ501" s="66">
        <v>4563</v>
      </c>
      <c r="AK501" s="66">
        <v>4563</v>
      </c>
      <c r="AM501" s="66">
        <v>4563</v>
      </c>
      <c r="AN501" s="191"/>
      <c r="AO501"/>
      <c r="AQ501"/>
      <c r="AR501"/>
      <c r="AS501"/>
    </row>
    <row r="502" spans="1:45" ht="16" x14ac:dyDescent="0.35">
      <c r="A502" s="66"/>
      <c r="B502" s="66"/>
      <c r="C502" s="49"/>
      <c r="D502" s="49"/>
      <c r="E502" s="49" t="s">
        <v>497</v>
      </c>
      <c r="F502" s="49"/>
      <c r="G502" s="49"/>
      <c r="H502" s="63">
        <v>3590</v>
      </c>
      <c r="I502" s="63">
        <v>4608</v>
      </c>
      <c r="J502" s="64">
        <v>3588</v>
      </c>
      <c r="K502" s="64">
        <v>3700</v>
      </c>
      <c r="L502" s="65">
        <v>689</v>
      </c>
      <c r="M502" s="65">
        <v>3600</v>
      </c>
      <c r="N502" s="66">
        <f t="shared" si="250"/>
        <v>7867</v>
      </c>
      <c r="O502" s="66">
        <f t="shared" si="250"/>
        <v>11908</v>
      </c>
      <c r="P502" s="69">
        <f t="shared" si="223"/>
        <v>2622.3333333333335</v>
      </c>
      <c r="Q502" s="69">
        <f t="shared" si="223"/>
        <v>3969.3333333333335</v>
      </c>
      <c r="R502" s="294"/>
      <c r="S502" s="49"/>
      <c r="T502" s="49"/>
      <c r="U502" s="49"/>
      <c r="V502" s="49"/>
      <c r="W502" s="49" t="s">
        <v>497</v>
      </c>
      <c r="X502" s="49"/>
      <c r="Y502" s="49"/>
      <c r="Z502" s="66">
        <v>2000</v>
      </c>
      <c r="AA502" s="280"/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0</v>
      </c>
      <c r="AI502" s="66">
        <v>0</v>
      </c>
      <c r="AJ502" s="66">
        <v>0</v>
      </c>
      <c r="AK502" s="66">
        <v>0</v>
      </c>
      <c r="AM502" s="66">
        <v>0</v>
      </c>
      <c r="AN502" s="191"/>
      <c r="AO502"/>
      <c r="AQ502"/>
      <c r="AR502"/>
      <c r="AS502"/>
    </row>
    <row r="503" spans="1:45" ht="16" x14ac:dyDescent="0.35">
      <c r="A503" s="66"/>
      <c r="B503" s="66"/>
      <c r="C503" s="49"/>
      <c r="D503" s="49"/>
      <c r="E503" s="49" t="s">
        <v>498</v>
      </c>
      <c r="F503" s="49"/>
      <c r="G503" s="49"/>
      <c r="H503" s="63">
        <v>12597.17</v>
      </c>
      <c r="I503" s="63">
        <v>12766</v>
      </c>
      <c r="J503" s="64">
        <v>11637.22</v>
      </c>
      <c r="K503" s="64">
        <v>12771.48</v>
      </c>
      <c r="L503" s="65">
        <v>11300</v>
      </c>
      <c r="M503" s="65">
        <v>11832</v>
      </c>
      <c r="N503" s="66">
        <f t="shared" si="250"/>
        <v>35534.39</v>
      </c>
      <c r="O503" s="66">
        <f t="shared" si="250"/>
        <v>37369.480000000003</v>
      </c>
      <c r="P503" s="69">
        <f t="shared" si="223"/>
        <v>11844.796666666667</v>
      </c>
      <c r="Q503" s="69">
        <f t="shared" si="223"/>
        <v>12456.493333333334</v>
      </c>
      <c r="R503" s="294"/>
      <c r="S503" s="49"/>
      <c r="T503" s="49"/>
      <c r="U503" s="49"/>
      <c r="V503" s="49"/>
      <c r="W503" s="49" t="s">
        <v>498</v>
      </c>
      <c r="X503" s="49"/>
      <c r="Y503" s="49"/>
      <c r="Z503" s="66">
        <v>12424</v>
      </c>
      <c r="AA503" s="280"/>
      <c r="AB503" s="66">
        <v>11767.5</v>
      </c>
      <c r="AC503" s="66">
        <v>11767.5</v>
      </c>
      <c r="AD503" s="66">
        <v>11767.5</v>
      </c>
      <c r="AE503" s="66">
        <v>11767.5</v>
      </c>
      <c r="AF503" s="66">
        <v>11767.5</v>
      </c>
      <c r="AG503" s="66">
        <v>11767.5</v>
      </c>
      <c r="AH503" s="66">
        <v>11767.5</v>
      </c>
      <c r="AI503" s="66">
        <v>11767.5</v>
      </c>
      <c r="AJ503" s="66">
        <v>11767.5</v>
      </c>
      <c r="AK503" s="66">
        <v>11767.5</v>
      </c>
      <c r="AM503" s="66">
        <v>11767.5</v>
      </c>
      <c r="AN503" s="191"/>
      <c r="AO503"/>
      <c r="AQ503"/>
      <c r="AR503"/>
      <c r="AS503"/>
    </row>
    <row r="504" spans="1:45" ht="16" x14ac:dyDescent="0.35">
      <c r="A504" s="66"/>
      <c r="B504" s="66"/>
      <c r="C504" s="49"/>
      <c r="D504" s="49"/>
      <c r="E504" s="49" t="s">
        <v>499</v>
      </c>
      <c r="F504" s="49"/>
      <c r="G504" s="49"/>
      <c r="H504" s="63">
        <v>12597.14</v>
      </c>
      <c r="I504" s="63">
        <v>12766</v>
      </c>
      <c r="J504" s="64">
        <v>11637.22</v>
      </c>
      <c r="K504" s="64">
        <v>12771.35</v>
      </c>
      <c r="L504" s="65">
        <v>11300</v>
      </c>
      <c r="M504" s="65">
        <v>11832</v>
      </c>
      <c r="N504" s="66">
        <f t="shared" si="250"/>
        <v>35534.36</v>
      </c>
      <c r="O504" s="66">
        <f t="shared" si="250"/>
        <v>37369.35</v>
      </c>
      <c r="P504" s="69">
        <f t="shared" si="223"/>
        <v>11844.786666666667</v>
      </c>
      <c r="Q504" s="69">
        <f t="shared" si="223"/>
        <v>12456.449999999999</v>
      </c>
      <c r="R504" s="294"/>
      <c r="S504" s="49"/>
      <c r="T504" s="49"/>
      <c r="U504" s="49"/>
      <c r="V504" s="49"/>
      <c r="W504" s="49" t="s">
        <v>499</v>
      </c>
      <c r="X504" s="49"/>
      <c r="Y504" s="49"/>
      <c r="Z504" s="66">
        <v>12424</v>
      </c>
      <c r="AA504" s="280"/>
      <c r="AB504" s="66">
        <v>11767.5</v>
      </c>
      <c r="AC504" s="66">
        <v>11767.5</v>
      </c>
      <c r="AD504" s="66">
        <v>11767.5</v>
      </c>
      <c r="AE504" s="66">
        <v>11767.5</v>
      </c>
      <c r="AF504" s="66">
        <v>11767.5</v>
      </c>
      <c r="AG504" s="66">
        <v>11767.5</v>
      </c>
      <c r="AH504" s="66">
        <v>11767.5</v>
      </c>
      <c r="AI504" s="66">
        <v>11767.5</v>
      </c>
      <c r="AJ504" s="66">
        <v>11767.5</v>
      </c>
      <c r="AK504" s="66">
        <v>11767.5</v>
      </c>
      <c r="AM504" s="66">
        <v>11767.5</v>
      </c>
      <c r="AN504" s="191"/>
      <c r="AO504"/>
      <c r="AQ504"/>
      <c r="AR504"/>
      <c r="AS504"/>
    </row>
    <row r="505" spans="1:45" ht="16" x14ac:dyDescent="0.35">
      <c r="A505" s="66"/>
      <c r="B505" s="66"/>
      <c r="C505" s="49"/>
      <c r="D505" s="49"/>
      <c r="E505" s="49" t="s">
        <v>500</v>
      </c>
      <c r="F505" s="49"/>
      <c r="G505" s="49"/>
      <c r="H505" s="63">
        <v>4694</v>
      </c>
      <c r="I505" s="63">
        <v>4807</v>
      </c>
      <c r="J505" s="64">
        <v>5020.5</v>
      </c>
      <c r="K505" s="64">
        <v>4700</v>
      </c>
      <c r="L505" s="65">
        <v>5177.16</v>
      </c>
      <c r="M505" s="65">
        <v>5244</v>
      </c>
      <c r="N505" s="66">
        <f t="shared" si="250"/>
        <v>14891.66</v>
      </c>
      <c r="O505" s="66">
        <f t="shared" si="250"/>
        <v>14751</v>
      </c>
      <c r="P505" s="69">
        <f t="shared" si="223"/>
        <v>4963.8866666666663</v>
      </c>
      <c r="Q505" s="69">
        <f t="shared" si="223"/>
        <v>4917</v>
      </c>
      <c r="R505" s="294"/>
      <c r="S505" s="49"/>
      <c r="T505" s="49"/>
      <c r="U505" s="49"/>
      <c r="V505" s="49"/>
      <c r="W505" s="49" t="s">
        <v>500</v>
      </c>
      <c r="X505" s="49"/>
      <c r="Y505" s="49"/>
      <c r="Z505" s="66">
        <v>5411</v>
      </c>
      <c r="AA505" s="280"/>
      <c r="AB505" s="66">
        <f t="shared" ref="AB505:AM505" si="252">ROUND(7535.85, 0)</f>
        <v>7536</v>
      </c>
      <c r="AC505" s="66">
        <f t="shared" si="252"/>
        <v>7536</v>
      </c>
      <c r="AD505" s="66">
        <f t="shared" si="252"/>
        <v>7536</v>
      </c>
      <c r="AE505" s="66">
        <f t="shared" si="252"/>
        <v>7536</v>
      </c>
      <c r="AF505" s="66">
        <f t="shared" si="252"/>
        <v>7536</v>
      </c>
      <c r="AG505" s="66">
        <f t="shared" si="252"/>
        <v>7536</v>
      </c>
      <c r="AH505" s="66">
        <f t="shared" si="252"/>
        <v>7536</v>
      </c>
      <c r="AI505" s="66">
        <f t="shared" si="252"/>
        <v>7536</v>
      </c>
      <c r="AJ505" s="66">
        <f t="shared" si="252"/>
        <v>7536</v>
      </c>
      <c r="AK505" s="66">
        <f t="shared" si="252"/>
        <v>7536</v>
      </c>
      <c r="AM505" s="66">
        <f t="shared" si="252"/>
        <v>7536</v>
      </c>
      <c r="AN505" s="218" t="s">
        <v>992</v>
      </c>
      <c r="AO505"/>
      <c r="AQ505"/>
      <c r="AR505"/>
      <c r="AS505"/>
    </row>
    <row r="506" spans="1:45" ht="16" x14ac:dyDescent="0.35">
      <c r="A506" s="66"/>
      <c r="B506" s="66"/>
      <c r="C506" s="49"/>
      <c r="D506" s="49"/>
      <c r="E506" s="49" t="s">
        <v>501</v>
      </c>
      <c r="F506" s="49"/>
      <c r="G506" s="49"/>
      <c r="H506" s="63">
        <v>0</v>
      </c>
      <c r="I506" s="63">
        <v>0</v>
      </c>
      <c r="J506" s="64">
        <v>14469.34</v>
      </c>
      <c r="K506" s="64">
        <v>2000</v>
      </c>
      <c r="L506" s="65">
        <v>16282.95</v>
      </c>
      <c r="M506" s="65">
        <v>2000</v>
      </c>
      <c r="N506" s="66">
        <f t="shared" si="250"/>
        <v>30752.29</v>
      </c>
      <c r="O506" s="66">
        <f t="shared" si="250"/>
        <v>4000</v>
      </c>
      <c r="P506" s="69">
        <f t="shared" si="223"/>
        <v>10250.763333333334</v>
      </c>
      <c r="Q506" s="69">
        <f t="shared" si="223"/>
        <v>1333.3333333333333</v>
      </c>
      <c r="R506" s="294"/>
      <c r="S506" s="49"/>
      <c r="T506" s="49"/>
      <c r="U506" s="49"/>
      <c r="V506" s="49"/>
      <c r="W506" s="49" t="s">
        <v>501</v>
      </c>
      <c r="X506" s="49"/>
      <c r="Y506" s="49"/>
      <c r="Z506" s="66">
        <v>2000</v>
      </c>
      <c r="AA506" s="280"/>
      <c r="AB506" s="66">
        <v>0</v>
      </c>
      <c r="AC506" s="66">
        <v>0</v>
      </c>
      <c r="AD506" s="66">
        <v>0</v>
      </c>
      <c r="AE506" s="66">
        <v>0</v>
      </c>
      <c r="AF506" s="66">
        <v>0</v>
      </c>
      <c r="AG506" s="66">
        <v>0</v>
      </c>
      <c r="AH506" s="66">
        <v>0</v>
      </c>
      <c r="AI506" s="66">
        <v>0</v>
      </c>
      <c r="AJ506" s="66">
        <v>0</v>
      </c>
      <c r="AK506" s="66">
        <v>0</v>
      </c>
      <c r="AM506" s="66">
        <v>0</v>
      </c>
      <c r="AN506" s="191"/>
      <c r="AO506"/>
      <c r="AQ506"/>
      <c r="AR506"/>
      <c r="AS506"/>
    </row>
    <row r="507" spans="1:45" ht="29" x14ac:dyDescent="0.35">
      <c r="A507" s="66"/>
      <c r="B507" s="66"/>
      <c r="C507" s="49"/>
      <c r="D507" s="49"/>
      <c r="E507" s="49" t="s">
        <v>502</v>
      </c>
      <c r="F507" s="49"/>
      <c r="G507" s="49"/>
      <c r="H507" s="63">
        <v>15158.69</v>
      </c>
      <c r="I507" s="63">
        <v>50000</v>
      </c>
      <c r="J507" s="64">
        <v>5299.22</v>
      </c>
      <c r="K507" s="64">
        <v>10000</v>
      </c>
      <c r="L507" s="65">
        <v>10963.76</v>
      </c>
      <c r="M507" s="65">
        <v>45000</v>
      </c>
      <c r="N507" s="66">
        <f t="shared" si="250"/>
        <v>31421.67</v>
      </c>
      <c r="O507" s="66">
        <f t="shared" si="250"/>
        <v>105000</v>
      </c>
      <c r="P507" s="69">
        <f t="shared" si="223"/>
        <v>10473.89</v>
      </c>
      <c r="Q507" s="69">
        <f t="shared" si="223"/>
        <v>35000</v>
      </c>
      <c r="R507" s="294"/>
      <c r="S507" s="49"/>
      <c r="T507" s="49"/>
      <c r="U507" s="49"/>
      <c r="V507" s="49"/>
      <c r="W507" s="49" t="s">
        <v>502</v>
      </c>
      <c r="X507" s="49"/>
      <c r="Y507" s="49"/>
      <c r="Z507" s="66">
        <v>20000</v>
      </c>
      <c r="AA507" s="280"/>
      <c r="AB507" s="66">
        <v>20000</v>
      </c>
      <c r="AC507" s="66">
        <v>10000</v>
      </c>
      <c r="AD507" s="66">
        <v>10000</v>
      </c>
      <c r="AE507" s="66">
        <v>10000</v>
      </c>
      <c r="AF507" s="66">
        <v>20000</v>
      </c>
      <c r="AG507" s="66">
        <f>20000+5000</f>
        <v>25000</v>
      </c>
      <c r="AH507" s="66">
        <f>20000+5000</f>
        <v>25000</v>
      </c>
      <c r="AI507" s="66">
        <f>20000+5000</f>
        <v>25000</v>
      </c>
      <c r="AJ507" s="66">
        <f>20000+5000</f>
        <v>25000</v>
      </c>
      <c r="AK507" s="66">
        <f>20000+5000</f>
        <v>25000</v>
      </c>
      <c r="AM507" s="66">
        <f>20000+5000</f>
        <v>25000</v>
      </c>
      <c r="AN507" s="221" t="s">
        <v>1012</v>
      </c>
      <c r="AO507"/>
      <c r="AQ507"/>
      <c r="AR507"/>
      <c r="AS507"/>
    </row>
    <row r="508" spans="1:45" x14ac:dyDescent="0.35">
      <c r="A508" s="66"/>
      <c r="B508" s="66"/>
      <c r="C508" s="49"/>
      <c r="D508" s="49"/>
      <c r="E508" s="49" t="s">
        <v>503</v>
      </c>
      <c r="F508" s="49"/>
      <c r="G508" s="49"/>
      <c r="H508" s="63">
        <v>1942.71</v>
      </c>
      <c r="I508" s="63">
        <v>0</v>
      </c>
      <c r="J508" s="64">
        <v>1701.44</v>
      </c>
      <c r="K508" s="64">
        <v>1500</v>
      </c>
      <c r="L508" s="65">
        <v>1553.27</v>
      </c>
      <c r="M508" s="65">
        <v>1650</v>
      </c>
      <c r="N508" s="66">
        <f t="shared" si="250"/>
        <v>5197.42</v>
      </c>
      <c r="O508" s="66">
        <f t="shared" si="250"/>
        <v>3150</v>
      </c>
      <c r="P508" s="69">
        <f t="shared" si="223"/>
        <v>1732.4733333333334</v>
      </c>
      <c r="Q508" s="69">
        <f t="shared" si="223"/>
        <v>1050</v>
      </c>
      <c r="R508" s="294"/>
      <c r="S508" s="49"/>
      <c r="T508" s="49"/>
      <c r="U508" s="49"/>
      <c r="V508" s="49"/>
      <c r="W508" s="49" t="s">
        <v>503</v>
      </c>
      <c r="X508" s="49"/>
      <c r="Y508" s="49"/>
      <c r="Z508" s="66">
        <v>1650</v>
      </c>
      <c r="AA508" s="280"/>
      <c r="AB508" s="66">
        <v>1600</v>
      </c>
      <c r="AC508" s="66">
        <v>1600</v>
      </c>
      <c r="AD508" s="66">
        <v>1600</v>
      </c>
      <c r="AE508" s="66">
        <v>1600</v>
      </c>
      <c r="AF508" s="66">
        <v>1600</v>
      </c>
      <c r="AG508" s="66">
        <v>1600</v>
      </c>
      <c r="AH508" s="66">
        <v>1600</v>
      </c>
      <c r="AI508" s="66">
        <v>1600</v>
      </c>
      <c r="AJ508" s="66">
        <v>1600</v>
      </c>
      <c r="AK508" s="66">
        <v>1600</v>
      </c>
      <c r="AM508" s="66">
        <v>1600</v>
      </c>
      <c r="AO508"/>
      <c r="AQ508"/>
      <c r="AR508"/>
      <c r="AS508"/>
    </row>
    <row r="509" spans="1:45" x14ac:dyDescent="0.35">
      <c r="A509" s="66"/>
      <c r="B509" s="66"/>
      <c r="C509" s="49"/>
      <c r="D509" s="49"/>
      <c r="E509" s="49" t="s">
        <v>504</v>
      </c>
      <c r="F509" s="49"/>
      <c r="G509" s="49"/>
      <c r="H509" s="63">
        <v>43056.86</v>
      </c>
      <c r="I509" s="63">
        <v>43200</v>
      </c>
      <c r="J509" s="64">
        <v>49577.21</v>
      </c>
      <c r="K509" s="64">
        <v>40000</v>
      </c>
      <c r="L509" s="65">
        <v>49198.66</v>
      </c>
      <c r="M509" s="65">
        <v>43000</v>
      </c>
      <c r="N509" s="66">
        <f t="shared" si="250"/>
        <v>141832.73000000001</v>
      </c>
      <c r="O509" s="66">
        <f t="shared" si="250"/>
        <v>126200</v>
      </c>
      <c r="P509" s="69">
        <f t="shared" si="223"/>
        <v>47277.576666666668</v>
      </c>
      <c r="Q509" s="69">
        <f t="shared" si="223"/>
        <v>42066.666666666664</v>
      </c>
      <c r="R509" s="294"/>
      <c r="S509" s="49"/>
      <c r="T509" s="49"/>
      <c r="U509" s="49"/>
      <c r="V509" s="49"/>
      <c r="W509" s="49" t="s">
        <v>504</v>
      </c>
      <c r="X509" s="49"/>
      <c r="Y509" s="49"/>
      <c r="Z509" s="66">
        <v>53400</v>
      </c>
      <c r="AA509" s="280"/>
      <c r="AB509" s="66">
        <v>50400</v>
      </c>
      <c r="AC509" s="66">
        <v>50400</v>
      </c>
      <c r="AD509" s="66">
        <v>50400</v>
      </c>
      <c r="AE509" s="66">
        <v>50400</v>
      </c>
      <c r="AF509" s="66">
        <v>50400</v>
      </c>
      <c r="AG509" s="66">
        <v>50400</v>
      </c>
      <c r="AH509" s="66">
        <v>50400</v>
      </c>
      <c r="AI509" s="66">
        <v>50400</v>
      </c>
      <c r="AJ509" s="66">
        <v>50400</v>
      </c>
      <c r="AK509" s="66">
        <v>50400</v>
      </c>
      <c r="AM509" s="66">
        <v>50400</v>
      </c>
      <c r="AN509" s="182"/>
      <c r="AO509"/>
      <c r="AQ509"/>
      <c r="AR509"/>
      <c r="AS509"/>
    </row>
    <row r="510" spans="1:45" x14ac:dyDescent="0.35">
      <c r="A510" s="66"/>
      <c r="B510" s="66"/>
      <c r="C510" s="49"/>
      <c r="D510" s="49"/>
      <c r="E510" s="49" t="s">
        <v>505</v>
      </c>
      <c r="F510" s="49"/>
      <c r="G510" s="49"/>
      <c r="H510" s="63">
        <v>29693.03</v>
      </c>
      <c r="I510" s="63">
        <v>25200</v>
      </c>
      <c r="J510" s="64">
        <v>29633.54</v>
      </c>
      <c r="K510" s="64">
        <v>26000</v>
      </c>
      <c r="L510" s="65">
        <v>30299.87</v>
      </c>
      <c r="M510" s="65">
        <v>30000</v>
      </c>
      <c r="N510" s="66">
        <f t="shared" si="250"/>
        <v>89626.44</v>
      </c>
      <c r="O510" s="66">
        <f t="shared" si="250"/>
        <v>81200</v>
      </c>
      <c r="P510" s="69">
        <f t="shared" ref="P510:Q571" si="253">N510/3</f>
        <v>29875.48</v>
      </c>
      <c r="Q510" s="69">
        <f t="shared" si="253"/>
        <v>27066.666666666668</v>
      </c>
      <c r="R510" s="294"/>
      <c r="S510" s="49"/>
      <c r="T510" s="49"/>
      <c r="U510" s="49"/>
      <c r="V510" s="49"/>
      <c r="W510" s="49" t="s">
        <v>505</v>
      </c>
      <c r="X510" s="49"/>
      <c r="Y510" s="49"/>
      <c r="Z510" s="66">
        <v>32964</v>
      </c>
      <c r="AA510" s="280"/>
      <c r="AB510" s="66">
        <v>29886</v>
      </c>
      <c r="AC510" s="66">
        <v>29886</v>
      </c>
      <c r="AD510" s="66">
        <v>29886</v>
      </c>
      <c r="AE510" s="66">
        <v>29886</v>
      </c>
      <c r="AF510" s="66">
        <v>29886</v>
      </c>
      <c r="AG510" s="66">
        <v>31436</v>
      </c>
      <c r="AH510" s="66">
        <v>31436</v>
      </c>
      <c r="AI510" s="66">
        <v>31436</v>
      </c>
      <c r="AJ510" s="66">
        <v>31436</v>
      </c>
      <c r="AK510" s="66">
        <v>31436</v>
      </c>
      <c r="AM510" s="66">
        <v>31436</v>
      </c>
      <c r="AN510" s="190"/>
      <c r="AO510"/>
      <c r="AQ510"/>
      <c r="AR510"/>
      <c r="AS510"/>
    </row>
    <row r="511" spans="1:45" x14ac:dyDescent="0.35">
      <c r="A511" s="66"/>
      <c r="B511" s="66"/>
      <c r="C511" s="49"/>
      <c r="D511" s="49"/>
      <c r="E511" s="49" t="s">
        <v>506</v>
      </c>
      <c r="F511" s="49"/>
      <c r="G511" s="49"/>
      <c r="H511" s="63">
        <v>0</v>
      </c>
      <c r="I511" s="63">
        <v>700</v>
      </c>
      <c r="J511" s="64">
        <v>0</v>
      </c>
      <c r="K511" s="64">
        <v>500</v>
      </c>
      <c r="L511" s="65">
        <v>0</v>
      </c>
      <c r="M511" s="65">
        <v>575</v>
      </c>
      <c r="N511" s="66">
        <f t="shared" si="250"/>
        <v>0</v>
      </c>
      <c r="O511" s="66">
        <f t="shared" si="250"/>
        <v>1775</v>
      </c>
      <c r="P511" s="69">
        <f t="shared" si="253"/>
        <v>0</v>
      </c>
      <c r="Q511" s="69">
        <f t="shared" si="253"/>
        <v>591.66666666666663</v>
      </c>
      <c r="R511" s="294"/>
      <c r="S511" s="49"/>
      <c r="T511" s="49"/>
      <c r="U511" s="49"/>
      <c r="V511" s="49"/>
      <c r="W511" s="49" t="s">
        <v>506</v>
      </c>
      <c r="X511" s="49"/>
      <c r="Y511" s="49"/>
      <c r="Z511" s="66">
        <v>700</v>
      </c>
      <c r="AA511" s="280"/>
      <c r="AB511" s="66">
        <v>700</v>
      </c>
      <c r="AC511" s="66">
        <v>700</v>
      </c>
      <c r="AD511" s="66">
        <v>700</v>
      </c>
      <c r="AE511" s="66">
        <v>700</v>
      </c>
      <c r="AF511" s="66">
        <v>700</v>
      </c>
      <c r="AG511" s="66">
        <v>700</v>
      </c>
      <c r="AH511" s="66">
        <v>700</v>
      </c>
      <c r="AI511" s="66">
        <v>700</v>
      </c>
      <c r="AJ511" s="66">
        <v>700</v>
      </c>
      <c r="AK511" s="66">
        <v>700</v>
      </c>
      <c r="AM511" s="66">
        <v>700</v>
      </c>
      <c r="AO511"/>
      <c r="AQ511"/>
      <c r="AR511"/>
      <c r="AS511"/>
    </row>
    <row r="512" spans="1:45" x14ac:dyDescent="0.35">
      <c r="A512" s="66"/>
      <c r="B512" s="66"/>
      <c r="C512" s="49"/>
      <c r="D512" s="49"/>
      <c r="E512" s="49" t="s">
        <v>507</v>
      </c>
      <c r="F512" s="49"/>
      <c r="G512" s="49"/>
      <c r="H512" s="63">
        <v>11143.42</v>
      </c>
      <c r="I512" s="63">
        <v>11688</v>
      </c>
      <c r="J512" s="64">
        <v>11624.25</v>
      </c>
      <c r="K512" s="64">
        <v>10368</v>
      </c>
      <c r="L512" s="65">
        <v>11804</v>
      </c>
      <c r="M512" s="65">
        <v>11238</v>
      </c>
      <c r="N512" s="66">
        <f t="shared" si="250"/>
        <v>34571.67</v>
      </c>
      <c r="O512" s="66">
        <f t="shared" si="250"/>
        <v>33294</v>
      </c>
      <c r="P512" s="69">
        <f t="shared" si="253"/>
        <v>11523.89</v>
      </c>
      <c r="Q512" s="69">
        <f t="shared" si="253"/>
        <v>11098</v>
      </c>
      <c r="R512" s="294"/>
      <c r="S512" s="49"/>
      <c r="T512" s="49"/>
      <c r="U512" s="49"/>
      <c r="V512" s="49"/>
      <c r="W512" s="49" t="s">
        <v>507</v>
      </c>
      <c r="X512" s="49"/>
      <c r="Y512" s="49"/>
      <c r="Z512" s="66">
        <v>10173</v>
      </c>
      <c r="AA512" s="280"/>
      <c r="AB512" s="66">
        <v>13488</v>
      </c>
      <c r="AC512" s="66">
        <v>13488</v>
      </c>
      <c r="AD512" s="66">
        <v>13488</v>
      </c>
      <c r="AE512" s="66">
        <v>13488</v>
      </c>
      <c r="AF512" s="66">
        <v>13488</v>
      </c>
      <c r="AG512" s="66">
        <v>13000</v>
      </c>
      <c r="AH512" s="66">
        <v>13000</v>
      </c>
      <c r="AI512" s="66">
        <v>13000</v>
      </c>
      <c r="AJ512" s="66">
        <v>13000</v>
      </c>
      <c r="AK512" s="66">
        <v>13000</v>
      </c>
      <c r="AM512" s="66">
        <v>13000</v>
      </c>
      <c r="AO512"/>
      <c r="AQ512"/>
      <c r="AR512"/>
      <c r="AS512"/>
    </row>
    <row r="513" spans="1:45" x14ac:dyDescent="0.35">
      <c r="A513" s="66"/>
      <c r="B513" s="66"/>
      <c r="C513" s="49"/>
      <c r="D513" s="49"/>
      <c r="E513" s="49" t="s">
        <v>508</v>
      </c>
      <c r="F513" s="49"/>
      <c r="G513" s="49"/>
      <c r="H513" s="63">
        <v>23426.28</v>
      </c>
      <c r="I513" s="63">
        <v>12424</v>
      </c>
      <c r="J513" s="64">
        <v>25016.84</v>
      </c>
      <c r="K513" s="64">
        <v>23200</v>
      </c>
      <c r="L513" s="65">
        <v>28552.11</v>
      </c>
      <c r="M513" s="65">
        <v>26073</v>
      </c>
      <c r="N513" s="66">
        <f t="shared" si="250"/>
        <v>76995.23</v>
      </c>
      <c r="O513" s="66">
        <f t="shared" si="250"/>
        <v>61697</v>
      </c>
      <c r="P513" s="69">
        <f t="shared" si="253"/>
        <v>25665.076666666664</v>
      </c>
      <c r="Q513" s="69">
        <f t="shared" si="253"/>
        <v>20565.666666666668</v>
      </c>
      <c r="R513" s="294"/>
      <c r="S513" s="49"/>
      <c r="T513" s="49"/>
      <c r="U513" s="49"/>
      <c r="V513" s="49"/>
      <c r="W513" s="49" t="s">
        <v>508</v>
      </c>
      <c r="X513" s="49"/>
      <c r="Y513" s="49"/>
      <c r="Z513" s="66">
        <v>29969</v>
      </c>
      <c r="AA513" s="280"/>
      <c r="AB513" s="66">
        <v>0</v>
      </c>
      <c r="AC513" s="66">
        <v>0</v>
      </c>
      <c r="AD513" s="66">
        <v>0</v>
      </c>
      <c r="AE513" s="66">
        <v>0</v>
      </c>
      <c r="AF513" s="66">
        <v>0</v>
      </c>
      <c r="AG513" s="66">
        <v>31650</v>
      </c>
      <c r="AH513" s="66">
        <v>31650</v>
      </c>
      <c r="AI513" s="66">
        <v>31650</v>
      </c>
      <c r="AJ513" s="66">
        <v>31650</v>
      </c>
      <c r="AK513" s="66">
        <v>31650</v>
      </c>
      <c r="AM513" s="66">
        <v>31650</v>
      </c>
      <c r="AO513"/>
      <c r="AQ513"/>
      <c r="AR513"/>
      <c r="AS513"/>
    </row>
    <row r="514" spans="1:45" x14ac:dyDescent="0.35">
      <c r="A514" s="66"/>
      <c r="B514" s="66"/>
      <c r="C514" s="49"/>
      <c r="D514" s="49"/>
      <c r="E514" s="49" t="s">
        <v>509</v>
      </c>
      <c r="F514" s="49"/>
      <c r="G514" s="49"/>
      <c r="H514" s="63">
        <v>32596.51</v>
      </c>
      <c r="I514" s="63">
        <v>32227.24</v>
      </c>
      <c r="J514" s="64">
        <v>35370.050000000003</v>
      </c>
      <c r="K514" s="64">
        <v>32800</v>
      </c>
      <c r="L514" s="65">
        <v>38961.4</v>
      </c>
      <c r="M514" s="65">
        <v>35599</v>
      </c>
      <c r="N514" s="66">
        <f t="shared" si="250"/>
        <v>106927.96</v>
      </c>
      <c r="O514" s="66">
        <f t="shared" si="250"/>
        <v>100626.24000000001</v>
      </c>
      <c r="P514" s="69">
        <f t="shared" si="253"/>
        <v>35642.653333333335</v>
      </c>
      <c r="Q514" s="69">
        <f t="shared" si="253"/>
        <v>33542.080000000002</v>
      </c>
      <c r="R514" s="294"/>
      <c r="S514" s="49"/>
      <c r="T514" s="49"/>
      <c r="U514" s="49"/>
      <c r="V514" s="49"/>
      <c r="W514" s="49" t="s">
        <v>509</v>
      </c>
      <c r="X514" s="49"/>
      <c r="Y514" s="49"/>
      <c r="Z514" s="66">
        <v>50578</v>
      </c>
      <c r="AA514" s="280"/>
      <c r="AB514" s="66">
        <v>49805</v>
      </c>
      <c r="AC514" s="66">
        <v>49805</v>
      </c>
      <c r="AD514" s="66">
        <v>49805</v>
      </c>
      <c r="AE514" s="66">
        <v>49805</v>
      </c>
      <c r="AF514" s="66">
        <v>49805</v>
      </c>
      <c r="AG514" s="66">
        <f>ROUND(55578.03, -2)</f>
        <v>55600</v>
      </c>
      <c r="AH514" s="66">
        <f>ROUND(55578.03, -2)</f>
        <v>55600</v>
      </c>
      <c r="AI514" s="66">
        <f>ROUND(55578.03, -2)</f>
        <v>55600</v>
      </c>
      <c r="AJ514" s="66">
        <f>ROUND(55578.03, -2)</f>
        <v>55600</v>
      </c>
      <c r="AK514" s="66">
        <f>ROUND(55578.03, -2)</f>
        <v>55600</v>
      </c>
      <c r="AM514" s="66">
        <f>ROUND(55578.03, -2)</f>
        <v>55600</v>
      </c>
      <c r="AN514" s="221" t="s">
        <v>980</v>
      </c>
      <c r="AO514"/>
      <c r="AQ514"/>
      <c r="AR514"/>
      <c r="AS514"/>
    </row>
    <row r="515" spans="1:45" x14ac:dyDescent="0.35">
      <c r="A515" s="66"/>
      <c r="B515" s="66"/>
      <c r="C515" s="49"/>
      <c r="D515" s="49"/>
      <c r="E515" s="49" t="s">
        <v>510</v>
      </c>
      <c r="F515" s="49"/>
      <c r="G515" s="49"/>
      <c r="H515" s="63"/>
      <c r="I515" s="63"/>
      <c r="J515" s="64"/>
      <c r="K515" s="64"/>
      <c r="L515" s="65"/>
      <c r="M515" s="65"/>
      <c r="N515" s="66"/>
      <c r="O515" s="66"/>
      <c r="P515" s="69"/>
      <c r="Q515" s="69"/>
      <c r="R515" s="294"/>
      <c r="S515" s="49"/>
      <c r="T515" s="49"/>
      <c r="U515" s="49"/>
      <c r="V515" s="49"/>
      <c r="W515" s="49" t="s">
        <v>510</v>
      </c>
      <c r="X515" s="49"/>
      <c r="Y515" s="49"/>
      <c r="Z515" s="66"/>
      <c r="AA515" s="280"/>
      <c r="AB515" s="66"/>
      <c r="AC515" s="66"/>
      <c r="AD515" s="66"/>
      <c r="AE515" s="66"/>
      <c r="AF515" s="66"/>
      <c r="AO515"/>
      <c r="AQ515"/>
      <c r="AR515"/>
      <c r="AS515"/>
    </row>
    <row r="516" spans="1:45" x14ac:dyDescent="0.35">
      <c r="A516" s="66"/>
      <c r="B516" s="66"/>
      <c r="C516" s="49"/>
      <c r="D516" s="49"/>
      <c r="E516" s="49"/>
      <c r="F516" s="49" t="s">
        <v>511</v>
      </c>
      <c r="G516" s="49"/>
      <c r="H516" s="63">
        <v>8700</v>
      </c>
      <c r="I516" s="63">
        <v>15000</v>
      </c>
      <c r="J516" s="64">
        <v>24061</v>
      </c>
      <c r="K516" s="64">
        <v>25000</v>
      </c>
      <c r="L516" s="65">
        <v>24976</v>
      </c>
      <c r="M516" s="65">
        <v>25000</v>
      </c>
      <c r="N516" s="66">
        <f t="shared" ref="N516:O532" si="254">ROUND(H516+J516+L516,5)</f>
        <v>57737</v>
      </c>
      <c r="O516" s="66">
        <f t="shared" si="254"/>
        <v>65000</v>
      </c>
      <c r="P516" s="69">
        <f t="shared" si="253"/>
        <v>19245.666666666668</v>
      </c>
      <c r="Q516" s="69">
        <f t="shared" si="253"/>
        <v>21666.666666666668</v>
      </c>
      <c r="R516" s="294"/>
      <c r="S516" s="49"/>
      <c r="T516" s="49"/>
      <c r="U516" s="49"/>
      <c r="V516" s="49"/>
      <c r="W516" s="49"/>
      <c r="X516" s="49" t="s">
        <v>511</v>
      </c>
      <c r="Y516" s="49"/>
      <c r="Z516" s="66">
        <v>25000</v>
      </c>
      <c r="AA516" s="280"/>
      <c r="AB516" s="66">
        <v>25000</v>
      </c>
      <c r="AC516" s="66">
        <v>20000</v>
      </c>
      <c r="AD516" s="66">
        <v>20000</v>
      </c>
      <c r="AE516" s="66">
        <v>20000</v>
      </c>
      <c r="AF516" s="66">
        <v>25000</v>
      </c>
      <c r="AG516" s="66">
        <v>25000</v>
      </c>
      <c r="AH516" s="66">
        <v>25000</v>
      </c>
      <c r="AI516" s="66">
        <v>25000</v>
      </c>
      <c r="AJ516" s="66">
        <v>25000</v>
      </c>
      <c r="AK516" s="66">
        <v>25000</v>
      </c>
      <c r="AM516" s="66">
        <v>25000</v>
      </c>
      <c r="AO516"/>
      <c r="AQ516"/>
      <c r="AR516"/>
      <c r="AS516"/>
    </row>
    <row r="517" spans="1:45" ht="44" thickBot="1" x14ac:dyDescent="0.4">
      <c r="A517" s="66"/>
      <c r="B517" s="66"/>
      <c r="C517" s="49"/>
      <c r="D517" s="49"/>
      <c r="E517" s="49"/>
      <c r="F517" s="49" t="s">
        <v>512</v>
      </c>
      <c r="G517" s="49"/>
      <c r="H517" s="63">
        <v>968.76</v>
      </c>
      <c r="I517" s="63">
        <v>40000</v>
      </c>
      <c r="J517" s="64">
        <v>11604.98</v>
      </c>
      <c r="K517" s="64">
        <v>18000</v>
      </c>
      <c r="L517" s="65">
        <v>9768.11</v>
      </c>
      <c r="M517" s="65">
        <v>30000</v>
      </c>
      <c r="N517" s="66">
        <f t="shared" si="254"/>
        <v>22341.85</v>
      </c>
      <c r="O517" s="66">
        <f t="shared" si="254"/>
        <v>88000</v>
      </c>
      <c r="P517" s="69">
        <f t="shared" si="253"/>
        <v>7447.2833333333328</v>
      </c>
      <c r="Q517" s="69">
        <f t="shared" si="253"/>
        <v>29333.333333333332</v>
      </c>
      <c r="R517" s="294"/>
      <c r="S517" s="49"/>
      <c r="T517" s="49"/>
      <c r="U517" s="49"/>
      <c r="V517" s="49"/>
      <c r="W517" s="49"/>
      <c r="X517" s="49" t="s">
        <v>512</v>
      </c>
      <c r="Y517" s="49"/>
      <c r="Z517" s="66">
        <v>35000</v>
      </c>
      <c r="AA517" s="280"/>
      <c r="AB517" s="66">
        <v>20000</v>
      </c>
      <c r="AC517" s="66">
        <v>15000</v>
      </c>
      <c r="AD517" s="66">
        <v>15000</v>
      </c>
      <c r="AE517" s="66">
        <v>15000</v>
      </c>
      <c r="AF517" s="66">
        <v>20000</v>
      </c>
      <c r="AG517" s="66">
        <f>20000+3500</f>
        <v>23500</v>
      </c>
      <c r="AH517" s="66">
        <f>20000+3500</f>
        <v>23500</v>
      </c>
      <c r="AI517" s="66">
        <f>20000+3500</f>
        <v>23500</v>
      </c>
      <c r="AJ517" s="66">
        <f>20000+3500</f>
        <v>23500</v>
      </c>
      <c r="AK517" s="66">
        <f>20000+3500</f>
        <v>23500</v>
      </c>
      <c r="AM517" s="66">
        <f>20000+3500</f>
        <v>23500</v>
      </c>
      <c r="AN517" s="309" t="s">
        <v>968</v>
      </c>
      <c r="AO517"/>
      <c r="AQ517"/>
      <c r="AR517"/>
      <c r="AS517"/>
    </row>
    <row r="518" spans="1:45" ht="16" thickBot="1" x14ac:dyDescent="0.4">
      <c r="A518" s="66"/>
      <c r="B518" s="66"/>
      <c r="C518" s="49"/>
      <c r="D518" s="49"/>
      <c r="E518" s="49"/>
      <c r="F518" s="49" t="s">
        <v>513</v>
      </c>
      <c r="G518" s="49"/>
      <c r="H518" s="70">
        <v>18640.98</v>
      </c>
      <c r="I518" s="70">
        <v>20000</v>
      </c>
      <c r="J518" s="71">
        <v>34056.79</v>
      </c>
      <c r="K518" s="71">
        <v>15000</v>
      </c>
      <c r="L518" s="72">
        <v>41936.720000000001</v>
      </c>
      <c r="M518" s="72">
        <v>20000</v>
      </c>
      <c r="N518" s="73">
        <f t="shared" si="254"/>
        <v>94634.49</v>
      </c>
      <c r="O518" s="73">
        <f t="shared" si="254"/>
        <v>55000</v>
      </c>
      <c r="P518" s="74">
        <f t="shared" si="253"/>
        <v>31544.83</v>
      </c>
      <c r="Q518" s="74">
        <f t="shared" si="253"/>
        <v>18333.333333333332</v>
      </c>
      <c r="R518" s="294"/>
      <c r="S518" s="49"/>
      <c r="T518" s="49"/>
      <c r="U518" s="49"/>
      <c r="V518" s="49"/>
      <c r="W518" s="49"/>
      <c r="X518" s="49" t="s">
        <v>513</v>
      </c>
      <c r="Y518" s="49"/>
      <c r="Z518" s="66">
        <v>30000</v>
      </c>
      <c r="AA518" s="280"/>
      <c r="AB518" s="66">
        <v>35000</v>
      </c>
      <c r="AC518" s="66">
        <v>30000</v>
      </c>
      <c r="AD518" s="66">
        <v>30000</v>
      </c>
      <c r="AE518" s="66">
        <v>30000</v>
      </c>
      <c r="AF518" s="66">
        <v>35000</v>
      </c>
      <c r="AG518" s="66">
        <f>35000+7000</f>
        <v>42000</v>
      </c>
      <c r="AH518" s="66">
        <f>35000+7000</f>
        <v>42000</v>
      </c>
      <c r="AI518" s="66">
        <f>35000+7000</f>
        <v>42000</v>
      </c>
      <c r="AJ518" s="66">
        <f>35000+7000</f>
        <v>42000</v>
      </c>
      <c r="AK518" s="66">
        <f>35000+7000</f>
        <v>42000</v>
      </c>
      <c r="AM518" s="66">
        <f>35000+7000</f>
        <v>42000</v>
      </c>
      <c r="AN518" s="310" t="s">
        <v>982</v>
      </c>
      <c r="AO518"/>
      <c r="AQ518"/>
      <c r="AR518"/>
      <c r="AS518"/>
    </row>
    <row r="519" spans="1:45" ht="16" thickBot="1" x14ac:dyDescent="0.4">
      <c r="A519" s="66"/>
      <c r="B519" s="66"/>
      <c r="C519" s="49"/>
      <c r="D519" s="49"/>
      <c r="E519" s="49"/>
      <c r="F519" s="49" t="s">
        <v>1038</v>
      </c>
      <c r="G519" s="49"/>
      <c r="H519" s="63"/>
      <c r="I519" s="63"/>
      <c r="J519" s="64"/>
      <c r="K519" s="64"/>
      <c r="L519" s="65"/>
      <c r="M519" s="65"/>
      <c r="N519" s="66"/>
      <c r="O519" s="66"/>
      <c r="P519" s="69"/>
      <c r="Q519" s="69"/>
      <c r="R519" s="294"/>
      <c r="S519" s="49"/>
      <c r="T519" s="49"/>
      <c r="U519" s="49"/>
      <c r="V519" s="49"/>
      <c r="W519" s="49"/>
      <c r="X519" s="49" t="s">
        <v>986</v>
      </c>
      <c r="Y519" s="49"/>
      <c r="Z519" s="73">
        <v>0</v>
      </c>
      <c r="AA519" s="280"/>
      <c r="AB519" s="73">
        <v>0</v>
      </c>
      <c r="AC519" s="73">
        <v>0</v>
      </c>
      <c r="AD519" s="73">
        <v>0</v>
      </c>
      <c r="AE519" s="73">
        <v>0</v>
      </c>
      <c r="AF519" s="73">
        <v>0</v>
      </c>
      <c r="AG519" s="73">
        <v>10000</v>
      </c>
      <c r="AH519" s="73">
        <v>10000</v>
      </c>
      <c r="AI519" s="73">
        <v>10000</v>
      </c>
      <c r="AJ519" s="73">
        <v>10000</v>
      </c>
      <c r="AK519" s="73">
        <v>10000</v>
      </c>
      <c r="AM519" s="73">
        <v>10000</v>
      </c>
      <c r="AN519" s="313" t="s">
        <v>981</v>
      </c>
      <c r="AO519"/>
      <c r="AQ519"/>
      <c r="AR519"/>
      <c r="AS519"/>
    </row>
    <row r="520" spans="1:45" x14ac:dyDescent="0.35">
      <c r="A520" s="66"/>
      <c r="B520" s="66"/>
      <c r="C520" s="49"/>
      <c r="D520" s="49"/>
      <c r="E520" s="49" t="s">
        <v>514</v>
      </c>
      <c r="F520" s="49"/>
      <c r="G520" s="49"/>
      <c r="H520" s="63">
        <f t="shared" ref="H520:M520" si="255">ROUND(SUM(H515:H518),5)</f>
        <v>28309.74</v>
      </c>
      <c r="I520" s="63">
        <f t="shared" si="255"/>
        <v>75000</v>
      </c>
      <c r="J520" s="64">
        <f t="shared" si="255"/>
        <v>69722.77</v>
      </c>
      <c r="K520" s="64">
        <f t="shared" si="255"/>
        <v>58000</v>
      </c>
      <c r="L520" s="65">
        <f t="shared" si="255"/>
        <v>76680.83</v>
      </c>
      <c r="M520" s="65">
        <f t="shared" si="255"/>
        <v>75000</v>
      </c>
      <c r="N520" s="66">
        <f t="shared" si="254"/>
        <v>174713.34</v>
      </c>
      <c r="O520" s="66">
        <f t="shared" si="254"/>
        <v>208000</v>
      </c>
      <c r="P520" s="69">
        <f t="shared" si="253"/>
        <v>58237.78</v>
      </c>
      <c r="Q520" s="69">
        <f t="shared" si="253"/>
        <v>69333.333333333328</v>
      </c>
      <c r="R520" s="294"/>
      <c r="S520" s="49"/>
      <c r="T520" s="49"/>
      <c r="U520" s="49"/>
      <c r="V520" s="49"/>
      <c r="W520" s="49" t="s">
        <v>514</v>
      </c>
      <c r="X520" s="49"/>
      <c r="Y520" s="49"/>
      <c r="Z520" s="66">
        <f>ROUND(SUM(Z515:Z518),5)</f>
        <v>90000</v>
      </c>
      <c r="AA520" s="280"/>
      <c r="AB520" s="66">
        <f t="shared" ref="AB520:AF520" si="256">ROUND(SUM(AB515:AB519),5)</f>
        <v>80000</v>
      </c>
      <c r="AC520" s="66">
        <f t="shared" si="256"/>
        <v>65000</v>
      </c>
      <c r="AD520" s="66">
        <f t="shared" si="256"/>
        <v>65000</v>
      </c>
      <c r="AE520" s="66">
        <f t="shared" si="256"/>
        <v>65000</v>
      </c>
      <c r="AF520" s="66">
        <f t="shared" si="256"/>
        <v>80000</v>
      </c>
      <c r="AG520" s="66">
        <f>ROUND(SUM(AG516:AG519),5)</f>
        <v>100500</v>
      </c>
      <c r="AH520" s="66">
        <f>ROUND(SUM(AH516:AH519),5)</f>
        <v>100500</v>
      </c>
      <c r="AI520" s="66">
        <f>ROUND(SUM(AI516:AI519),5)</f>
        <v>100500</v>
      </c>
      <c r="AJ520" s="66">
        <f>ROUND(SUM(AJ516:AJ519),5)</f>
        <v>100500</v>
      </c>
      <c r="AK520" s="66">
        <f>ROUND(SUM(AK516:AK519),5)</f>
        <v>100500</v>
      </c>
      <c r="AM520" s="66">
        <f>ROUND(SUM(AM516:AM519),5)</f>
        <v>100500</v>
      </c>
      <c r="AO520"/>
      <c r="AQ520"/>
      <c r="AR520"/>
      <c r="AS520"/>
    </row>
    <row r="521" spans="1:45" x14ac:dyDescent="0.35">
      <c r="A521" s="66"/>
      <c r="B521" s="66"/>
      <c r="C521" s="49"/>
      <c r="D521" s="49"/>
      <c r="E521" s="49" t="s">
        <v>515</v>
      </c>
      <c r="F521" s="49"/>
      <c r="G521" s="49"/>
      <c r="H521" s="63">
        <v>4964.49</v>
      </c>
      <c r="I521" s="63">
        <v>2000</v>
      </c>
      <c r="J521" s="64">
        <v>2885.14</v>
      </c>
      <c r="K521" s="64">
        <v>2880</v>
      </c>
      <c r="L521" s="65">
        <v>670.2</v>
      </c>
      <c r="M521" s="65">
        <v>3000</v>
      </c>
      <c r="N521" s="66">
        <f t="shared" si="254"/>
        <v>8519.83</v>
      </c>
      <c r="O521" s="66">
        <f t="shared" si="254"/>
        <v>7880</v>
      </c>
      <c r="P521" s="69">
        <f t="shared" si="253"/>
        <v>2839.9433333333332</v>
      </c>
      <c r="Q521" s="69">
        <f t="shared" si="253"/>
        <v>2626.6666666666665</v>
      </c>
      <c r="R521" s="294"/>
      <c r="S521" s="49"/>
      <c r="T521" s="49"/>
      <c r="U521" s="49"/>
      <c r="V521" s="49"/>
      <c r="W521" s="49" t="s">
        <v>515</v>
      </c>
      <c r="X521" s="49"/>
      <c r="Y521" s="49"/>
      <c r="Z521" s="66">
        <v>8000</v>
      </c>
      <c r="AA521" s="280"/>
      <c r="AB521" s="66">
        <v>2000</v>
      </c>
      <c r="AC521" s="66">
        <v>2000</v>
      </c>
      <c r="AD521" s="66">
        <v>2000</v>
      </c>
      <c r="AE521" s="66">
        <v>2000</v>
      </c>
      <c r="AF521" s="66">
        <v>2000</v>
      </c>
      <c r="AG521" s="66">
        <v>2000</v>
      </c>
      <c r="AH521" s="66">
        <v>2000</v>
      </c>
      <c r="AI521" s="66">
        <v>2000</v>
      </c>
      <c r="AJ521" s="66">
        <v>2000</v>
      </c>
      <c r="AK521" s="66">
        <v>2000</v>
      </c>
      <c r="AM521" s="66">
        <v>2000</v>
      </c>
      <c r="AO521"/>
      <c r="AQ521"/>
      <c r="AR521"/>
      <c r="AS521"/>
    </row>
    <row r="522" spans="1:45" ht="34.75" customHeight="1" x14ac:dyDescent="0.35">
      <c r="A522" s="66"/>
      <c r="B522" s="66"/>
      <c r="C522" s="49"/>
      <c r="D522" s="49"/>
      <c r="E522" s="49" t="s">
        <v>516</v>
      </c>
      <c r="F522" s="49"/>
      <c r="G522" s="49"/>
      <c r="H522" s="63">
        <v>47274.94</v>
      </c>
      <c r="I522" s="63">
        <v>28524</v>
      </c>
      <c r="J522" s="64">
        <v>40863.71</v>
      </c>
      <c r="K522" s="64">
        <v>43665</v>
      </c>
      <c r="L522" s="65">
        <v>42646.15</v>
      </c>
      <c r="M522" s="65">
        <v>44757</v>
      </c>
      <c r="N522" s="66">
        <f t="shared" si="254"/>
        <v>130784.8</v>
      </c>
      <c r="O522" s="66">
        <f t="shared" si="254"/>
        <v>116946</v>
      </c>
      <c r="P522" s="69">
        <f t="shared" si="253"/>
        <v>43594.933333333334</v>
      </c>
      <c r="Q522" s="69">
        <f t="shared" si="253"/>
        <v>38982</v>
      </c>
      <c r="R522" s="294"/>
      <c r="S522" s="49"/>
      <c r="T522" s="49"/>
      <c r="U522" s="49"/>
      <c r="V522" s="49"/>
      <c r="W522" s="49" t="s">
        <v>516</v>
      </c>
      <c r="X522" s="49"/>
      <c r="Y522" s="49"/>
      <c r="Z522" s="66">
        <v>49516</v>
      </c>
      <c r="AA522" s="280"/>
      <c r="AB522" s="66">
        <v>82667.42</v>
      </c>
      <c r="AC522" s="66">
        <v>82667.42</v>
      </c>
      <c r="AD522" s="66">
        <v>82667.42</v>
      </c>
      <c r="AE522" s="66">
        <v>82667.42</v>
      </c>
      <c r="AF522" s="66">
        <v>82667.42</v>
      </c>
      <c r="AG522" s="66">
        <f>ROUND(82667.42, 0)</f>
        <v>82667</v>
      </c>
      <c r="AH522" s="66">
        <f>ROUND(82667.42, 0)</f>
        <v>82667</v>
      </c>
      <c r="AI522" s="66">
        <f>ROUND(82667.42, 0)</f>
        <v>82667</v>
      </c>
      <c r="AJ522" s="66">
        <f>ROUND(82667.42, 0)</f>
        <v>82667</v>
      </c>
      <c r="AK522" s="66">
        <f>ROUND(82667.42, 0)</f>
        <v>82667</v>
      </c>
      <c r="AM522" s="66">
        <f>ROUND(82667.42, 0)</f>
        <v>82667</v>
      </c>
      <c r="AN522" s="221" t="s">
        <v>1001</v>
      </c>
      <c r="AO522"/>
      <c r="AQ522"/>
      <c r="AR522"/>
      <c r="AS522"/>
    </row>
    <row r="523" spans="1:45" x14ac:dyDescent="0.35">
      <c r="A523" s="66"/>
      <c r="B523" s="66"/>
      <c r="C523" s="49"/>
      <c r="D523" s="49"/>
      <c r="E523" s="49" t="s">
        <v>517</v>
      </c>
      <c r="F523" s="49"/>
      <c r="G523" s="49"/>
      <c r="H523" s="63">
        <v>4530.93</v>
      </c>
      <c r="I523" s="63">
        <v>3000</v>
      </c>
      <c r="J523" s="64">
        <v>2569.27</v>
      </c>
      <c r="K523" s="64">
        <v>5000</v>
      </c>
      <c r="L523" s="65">
        <v>3451.72</v>
      </c>
      <c r="M523" s="65">
        <v>0</v>
      </c>
      <c r="N523" s="66">
        <f t="shared" si="254"/>
        <v>10551.92</v>
      </c>
      <c r="O523" s="66">
        <f t="shared" si="254"/>
        <v>8000</v>
      </c>
      <c r="P523" s="69">
        <f t="shared" si="253"/>
        <v>3517.3066666666668</v>
      </c>
      <c r="Q523" s="69">
        <f t="shared" si="253"/>
        <v>2666.6666666666665</v>
      </c>
      <c r="R523" s="294"/>
      <c r="S523" s="49"/>
      <c r="T523" s="49"/>
      <c r="U523" s="49"/>
      <c r="V523" s="49"/>
      <c r="W523" s="49" t="s">
        <v>517</v>
      </c>
      <c r="X523" s="49"/>
      <c r="Y523" s="49"/>
      <c r="Z523" s="66">
        <v>3000</v>
      </c>
      <c r="AA523" s="280"/>
      <c r="AB523" s="66">
        <v>2000</v>
      </c>
      <c r="AC523" s="66">
        <v>2000</v>
      </c>
      <c r="AD523" s="66">
        <v>2000</v>
      </c>
      <c r="AE523" s="66">
        <v>0</v>
      </c>
      <c r="AF523" s="66">
        <v>0</v>
      </c>
      <c r="AG523" s="66">
        <v>3000</v>
      </c>
      <c r="AH523" s="66">
        <v>3000</v>
      </c>
      <c r="AI523" s="66">
        <v>3000</v>
      </c>
      <c r="AJ523" s="66">
        <v>3000</v>
      </c>
      <c r="AK523" s="66">
        <v>3000</v>
      </c>
      <c r="AM523" s="66">
        <v>3000</v>
      </c>
      <c r="AO523"/>
      <c r="AQ523"/>
      <c r="AR523"/>
      <c r="AS523"/>
    </row>
    <row r="524" spans="1:45" x14ac:dyDescent="0.35">
      <c r="A524" s="66"/>
      <c r="B524" s="66"/>
      <c r="C524" s="49"/>
      <c r="D524" s="49"/>
      <c r="E524" s="49" t="s">
        <v>518</v>
      </c>
      <c r="F524" s="49"/>
      <c r="G524" s="49"/>
      <c r="H524" s="63">
        <v>898.07</v>
      </c>
      <c r="I524" s="63">
        <v>2000</v>
      </c>
      <c r="J524" s="64">
        <v>386.15</v>
      </c>
      <c r="K524" s="64">
        <v>1000</v>
      </c>
      <c r="L524" s="65">
        <v>324.02999999999997</v>
      </c>
      <c r="M524" s="65">
        <v>1000</v>
      </c>
      <c r="N524" s="66">
        <f t="shared" si="254"/>
        <v>1608.25</v>
      </c>
      <c r="O524" s="66">
        <f t="shared" si="254"/>
        <v>4000</v>
      </c>
      <c r="P524" s="69">
        <f t="shared" si="253"/>
        <v>536.08333333333337</v>
      </c>
      <c r="Q524" s="69">
        <f t="shared" si="253"/>
        <v>1333.3333333333333</v>
      </c>
      <c r="R524" s="294"/>
      <c r="S524" s="49"/>
      <c r="T524" s="49"/>
      <c r="U524" s="49"/>
      <c r="V524" s="49"/>
      <c r="W524" s="49" t="s">
        <v>518</v>
      </c>
      <c r="X524" s="49"/>
      <c r="Y524" s="49"/>
      <c r="Z524" s="66">
        <v>1000</v>
      </c>
      <c r="AA524" s="280"/>
      <c r="AB524" s="66">
        <v>1000</v>
      </c>
      <c r="AC524" s="66">
        <v>1000</v>
      </c>
      <c r="AD524" s="66">
        <v>1000</v>
      </c>
      <c r="AE524" s="66">
        <v>1000</v>
      </c>
      <c r="AF524" s="66">
        <v>1000</v>
      </c>
      <c r="AG524" s="66">
        <v>1000</v>
      </c>
      <c r="AH524" s="66">
        <v>1000</v>
      </c>
      <c r="AI524" s="66">
        <v>1000</v>
      </c>
      <c r="AJ524" s="66">
        <v>1000</v>
      </c>
      <c r="AK524" s="66">
        <v>1000</v>
      </c>
      <c r="AM524" s="66">
        <v>1000</v>
      </c>
      <c r="AO524"/>
      <c r="AQ524"/>
      <c r="AR524"/>
      <c r="AS524"/>
    </row>
    <row r="525" spans="1:45" x14ac:dyDescent="0.35">
      <c r="A525" s="66"/>
      <c r="B525" s="66"/>
      <c r="C525" s="49"/>
      <c r="D525" s="49"/>
      <c r="E525" s="49" t="s">
        <v>519</v>
      </c>
      <c r="F525" s="49"/>
      <c r="G525" s="49"/>
      <c r="H525" s="63">
        <v>0</v>
      </c>
      <c r="I525" s="63"/>
      <c r="J525" s="64">
        <v>0</v>
      </c>
      <c r="K525" s="64"/>
      <c r="L525" s="65">
        <v>86.03</v>
      </c>
      <c r="M525" s="65"/>
      <c r="N525" s="66">
        <f t="shared" si="254"/>
        <v>86.03</v>
      </c>
      <c r="O525" s="66"/>
      <c r="P525" s="69">
        <f t="shared" si="253"/>
        <v>28.676666666666666</v>
      </c>
      <c r="Q525" s="69">
        <f t="shared" si="253"/>
        <v>0</v>
      </c>
      <c r="R525" s="294"/>
      <c r="S525" s="49"/>
      <c r="T525" s="49"/>
      <c r="U525" s="49"/>
      <c r="V525" s="49"/>
      <c r="W525" s="49" t="s">
        <v>519</v>
      </c>
      <c r="X525" s="49"/>
      <c r="Y525" s="49"/>
      <c r="Z525" s="66">
        <v>0</v>
      </c>
      <c r="AA525" s="280"/>
      <c r="AB525" s="66">
        <v>0</v>
      </c>
      <c r="AC525" s="66">
        <v>0</v>
      </c>
      <c r="AD525" s="66">
        <v>0</v>
      </c>
      <c r="AE525" s="66">
        <v>0</v>
      </c>
      <c r="AF525" s="66">
        <v>0</v>
      </c>
      <c r="AG525" s="66">
        <v>0</v>
      </c>
      <c r="AH525" s="66">
        <v>0</v>
      </c>
      <c r="AI525" s="66">
        <v>0</v>
      </c>
      <c r="AJ525" s="66">
        <v>0</v>
      </c>
      <c r="AK525" s="66">
        <v>0</v>
      </c>
      <c r="AM525" s="66">
        <v>0</v>
      </c>
      <c r="AO525"/>
      <c r="AQ525"/>
      <c r="AR525"/>
      <c r="AS525"/>
    </row>
    <row r="526" spans="1:45" x14ac:dyDescent="0.35">
      <c r="A526" s="66"/>
      <c r="B526" s="66"/>
      <c r="C526" s="49"/>
      <c r="D526" s="49"/>
      <c r="E526" s="49" t="s">
        <v>520</v>
      </c>
      <c r="F526" s="49"/>
      <c r="G526" s="49"/>
      <c r="H526" s="63">
        <v>22781.57</v>
      </c>
      <c r="I526" s="63">
        <v>20000</v>
      </c>
      <c r="J526" s="64">
        <v>23123.1</v>
      </c>
      <c r="K526" s="64">
        <v>15000</v>
      </c>
      <c r="L526" s="65">
        <v>27051.87</v>
      </c>
      <c r="M526" s="65">
        <v>15000</v>
      </c>
      <c r="N526" s="66">
        <f t="shared" si="254"/>
        <v>72956.539999999994</v>
      </c>
      <c r="O526" s="66">
        <f t="shared" si="254"/>
        <v>50000</v>
      </c>
      <c r="P526" s="69">
        <f t="shared" si="253"/>
        <v>24318.846666666665</v>
      </c>
      <c r="Q526" s="69">
        <f t="shared" si="253"/>
        <v>16666.666666666668</v>
      </c>
      <c r="R526" s="294"/>
      <c r="S526" s="49"/>
      <c r="T526" s="49"/>
      <c r="U526" s="49"/>
      <c r="V526" s="49"/>
      <c r="W526" s="49" t="s">
        <v>520</v>
      </c>
      <c r="X526" s="49"/>
      <c r="Y526" s="49"/>
      <c r="Z526" s="66">
        <v>17000</v>
      </c>
      <c r="AA526" s="280"/>
      <c r="AB526" s="66">
        <v>22000</v>
      </c>
      <c r="AC526" s="66">
        <v>22000</v>
      </c>
      <c r="AD526" s="66">
        <v>22000</v>
      </c>
      <c r="AE526" s="66">
        <v>22000</v>
      </c>
      <c r="AF526" s="66">
        <v>22000</v>
      </c>
      <c r="AG526" s="66">
        <v>22000</v>
      </c>
      <c r="AH526" s="66">
        <v>22000</v>
      </c>
      <c r="AI526" s="66">
        <v>22000</v>
      </c>
      <c r="AJ526" s="66">
        <v>22000</v>
      </c>
      <c r="AK526" s="66">
        <v>22000</v>
      </c>
      <c r="AM526" s="66">
        <v>22000</v>
      </c>
      <c r="AO526"/>
      <c r="AQ526"/>
      <c r="AR526"/>
      <c r="AS526"/>
    </row>
    <row r="527" spans="1:45" x14ac:dyDescent="0.35">
      <c r="A527" s="66"/>
      <c r="B527" s="66"/>
      <c r="C527" s="49"/>
      <c r="D527" s="49"/>
      <c r="E527" s="49" t="s">
        <v>521</v>
      </c>
      <c r="F527" s="49"/>
      <c r="G527" s="49"/>
      <c r="H527" s="63">
        <v>207.16</v>
      </c>
      <c r="I527" s="63">
        <v>1700</v>
      </c>
      <c r="J527" s="64">
        <v>485.58</v>
      </c>
      <c r="K527" s="64">
        <v>1100</v>
      </c>
      <c r="L527" s="65">
        <v>90.48</v>
      </c>
      <c r="M527" s="65">
        <v>1000</v>
      </c>
      <c r="N527" s="66">
        <f t="shared" si="254"/>
        <v>783.22</v>
      </c>
      <c r="O527" s="66">
        <f t="shared" si="254"/>
        <v>3800</v>
      </c>
      <c r="P527" s="69">
        <f t="shared" si="253"/>
        <v>261.07333333333332</v>
      </c>
      <c r="Q527" s="69">
        <f t="shared" si="253"/>
        <v>1266.6666666666667</v>
      </c>
      <c r="R527" s="294"/>
      <c r="S527" s="49"/>
      <c r="T527" s="49"/>
      <c r="U527" s="49"/>
      <c r="V527" s="49"/>
      <c r="W527" s="49" t="s">
        <v>521</v>
      </c>
      <c r="X527" s="49"/>
      <c r="Y527" s="49"/>
      <c r="Z527" s="66">
        <v>1000</v>
      </c>
      <c r="AA527" s="280"/>
      <c r="AB527" s="66">
        <v>1000</v>
      </c>
      <c r="AC527" s="66">
        <v>1000</v>
      </c>
      <c r="AD527" s="66">
        <v>1000</v>
      </c>
      <c r="AE527" s="66">
        <v>1000</v>
      </c>
      <c r="AF527" s="66">
        <v>1000</v>
      </c>
      <c r="AG527" s="66">
        <v>1000</v>
      </c>
      <c r="AH527" s="66">
        <v>1000</v>
      </c>
      <c r="AI527" s="66">
        <v>1000</v>
      </c>
      <c r="AJ527" s="66">
        <v>1000</v>
      </c>
      <c r="AK527" s="66">
        <v>1000</v>
      </c>
      <c r="AM527" s="66">
        <v>1000</v>
      </c>
      <c r="AO527"/>
      <c r="AQ527"/>
      <c r="AR527"/>
      <c r="AS527"/>
    </row>
    <row r="528" spans="1:45" x14ac:dyDescent="0.35">
      <c r="A528" s="66"/>
      <c r="B528" s="66"/>
      <c r="C528" s="49"/>
      <c r="D528" s="49"/>
      <c r="E528" s="49" t="s">
        <v>522</v>
      </c>
      <c r="F528" s="49"/>
      <c r="G528" s="49"/>
      <c r="H528" s="63">
        <v>39999.96</v>
      </c>
      <c r="I528" s="63">
        <v>40000</v>
      </c>
      <c r="J528" s="64">
        <v>39999.96</v>
      </c>
      <c r="K528" s="64">
        <v>37800</v>
      </c>
      <c r="L528" s="65">
        <v>39999.96</v>
      </c>
      <c r="M528" s="65">
        <v>41000</v>
      </c>
      <c r="N528" s="66">
        <f t="shared" si="254"/>
        <v>119999.88</v>
      </c>
      <c r="O528" s="66">
        <f t="shared" si="254"/>
        <v>118800</v>
      </c>
      <c r="P528" s="69">
        <f t="shared" si="253"/>
        <v>39999.96</v>
      </c>
      <c r="Q528" s="69">
        <f t="shared" si="253"/>
        <v>39600</v>
      </c>
      <c r="R528" s="294"/>
      <c r="S528" s="49"/>
      <c r="T528" s="49"/>
      <c r="U528" s="49"/>
      <c r="V528" s="49"/>
      <c r="W528" s="49" t="s">
        <v>522</v>
      </c>
      <c r="X528" s="49"/>
      <c r="Y528" s="49"/>
      <c r="Z528" s="66">
        <v>42000</v>
      </c>
      <c r="AA528" s="280"/>
      <c r="AB528" s="66">
        <v>42000</v>
      </c>
      <c r="AC528" s="66">
        <v>42000</v>
      </c>
      <c r="AD528" s="66">
        <v>42000</v>
      </c>
      <c r="AE528" s="66">
        <v>42000</v>
      </c>
      <c r="AF528" s="66">
        <v>42000</v>
      </c>
      <c r="AG528" s="66">
        <v>42000</v>
      </c>
      <c r="AH528" s="66">
        <v>42000</v>
      </c>
      <c r="AI528" s="66">
        <v>42000</v>
      </c>
      <c r="AJ528" s="66">
        <v>42000</v>
      </c>
      <c r="AK528" s="66">
        <v>42000</v>
      </c>
      <c r="AM528" s="66">
        <v>42000</v>
      </c>
      <c r="AO528"/>
      <c r="AQ528"/>
      <c r="AR528"/>
      <c r="AS528"/>
    </row>
    <row r="529" spans="1:45" x14ac:dyDescent="0.35">
      <c r="A529" s="66"/>
      <c r="B529" s="66"/>
      <c r="C529" s="49"/>
      <c r="D529" s="49"/>
      <c r="E529" s="49" t="s">
        <v>523</v>
      </c>
      <c r="F529" s="49"/>
      <c r="G529" s="49"/>
      <c r="H529" s="63">
        <v>2400</v>
      </c>
      <c r="I529" s="63">
        <v>2580</v>
      </c>
      <c r="J529" s="64">
        <v>3000</v>
      </c>
      <c r="K529" s="64">
        <v>2200</v>
      </c>
      <c r="L529" s="65">
        <v>2250</v>
      </c>
      <c r="M529" s="65">
        <v>3000</v>
      </c>
      <c r="N529" s="66">
        <f t="shared" si="254"/>
        <v>7650</v>
      </c>
      <c r="O529" s="66">
        <f t="shared" si="254"/>
        <v>7780</v>
      </c>
      <c r="P529" s="69">
        <f t="shared" si="253"/>
        <v>2550</v>
      </c>
      <c r="Q529" s="69">
        <f t="shared" si="253"/>
        <v>2593.3333333333335</v>
      </c>
      <c r="R529" s="294"/>
      <c r="S529" s="49"/>
      <c r="T529" s="49"/>
      <c r="U529" s="49"/>
      <c r="V529" s="49"/>
      <c r="W529" s="49" t="s">
        <v>523</v>
      </c>
      <c r="X529" s="49"/>
      <c r="Y529" s="49"/>
      <c r="Z529" s="66">
        <v>3000</v>
      </c>
      <c r="AA529" s="280"/>
      <c r="AB529" s="66">
        <v>2500</v>
      </c>
      <c r="AC529" s="66">
        <v>2500</v>
      </c>
      <c r="AD529" s="66">
        <v>2500</v>
      </c>
      <c r="AE529" s="66">
        <v>2500</v>
      </c>
      <c r="AF529" s="66">
        <v>2500</v>
      </c>
      <c r="AG529" s="66">
        <v>2500</v>
      </c>
      <c r="AH529" s="66">
        <v>2500</v>
      </c>
      <c r="AI529" s="66">
        <v>2500</v>
      </c>
      <c r="AJ529" s="66">
        <v>2500</v>
      </c>
      <c r="AK529" s="66">
        <v>2500</v>
      </c>
      <c r="AM529" s="66">
        <v>2500</v>
      </c>
      <c r="AO529"/>
      <c r="AQ529"/>
      <c r="AR529"/>
      <c r="AS529"/>
    </row>
    <row r="530" spans="1:45" x14ac:dyDescent="0.35">
      <c r="A530" s="66"/>
      <c r="B530" s="66"/>
      <c r="C530" s="49"/>
      <c r="D530" s="49"/>
      <c r="E530" s="49" t="s">
        <v>524</v>
      </c>
      <c r="F530" s="49"/>
      <c r="G530" s="49"/>
      <c r="H530" s="63">
        <v>1650</v>
      </c>
      <c r="I530" s="63">
        <v>10000</v>
      </c>
      <c r="J530" s="64">
        <v>3475.37</v>
      </c>
      <c r="K530" s="64">
        <v>5000</v>
      </c>
      <c r="L530" s="65">
        <v>2086.8000000000002</v>
      </c>
      <c r="M530" s="65">
        <v>3000</v>
      </c>
      <c r="N530" s="66">
        <f t="shared" si="254"/>
        <v>7212.17</v>
      </c>
      <c r="O530" s="66">
        <f t="shared" si="254"/>
        <v>18000</v>
      </c>
      <c r="P530" s="69">
        <f t="shared" si="253"/>
        <v>2404.0566666666668</v>
      </c>
      <c r="Q530" s="69">
        <f t="shared" si="253"/>
        <v>6000</v>
      </c>
      <c r="R530" s="294"/>
      <c r="S530" s="49"/>
      <c r="T530" s="49"/>
      <c r="U530" s="49"/>
      <c r="V530" s="49"/>
      <c r="W530" s="49" t="s">
        <v>524</v>
      </c>
      <c r="X530" s="49"/>
      <c r="Y530" s="49"/>
      <c r="Z530" s="66">
        <v>3000</v>
      </c>
      <c r="AA530" s="280"/>
      <c r="AB530" s="66">
        <v>3000</v>
      </c>
      <c r="AC530" s="66">
        <v>3000</v>
      </c>
      <c r="AD530" s="66">
        <v>3000</v>
      </c>
      <c r="AE530" s="66">
        <v>3000</v>
      </c>
      <c r="AF530" s="66">
        <v>3000</v>
      </c>
      <c r="AG530" s="66">
        <v>3000</v>
      </c>
      <c r="AH530" s="66">
        <v>3000</v>
      </c>
      <c r="AI530" s="66">
        <v>3000</v>
      </c>
      <c r="AJ530" s="66">
        <v>3000</v>
      </c>
      <c r="AK530" s="66">
        <v>3000</v>
      </c>
      <c r="AM530" s="66">
        <v>3000</v>
      </c>
      <c r="AN530" s="110" t="s">
        <v>851</v>
      </c>
      <c r="AO530"/>
      <c r="AQ530"/>
      <c r="AR530"/>
      <c r="AS530"/>
    </row>
    <row r="531" spans="1:45" x14ac:dyDescent="0.35">
      <c r="A531" s="66"/>
      <c r="B531" s="66"/>
      <c r="C531" s="49"/>
      <c r="D531" s="49"/>
      <c r="E531" s="49" t="s">
        <v>525</v>
      </c>
      <c r="F531" s="49"/>
      <c r="G531" s="49"/>
      <c r="H531" s="63">
        <v>5295.35</v>
      </c>
      <c r="I531" s="63">
        <v>17000</v>
      </c>
      <c r="J531" s="64">
        <v>0</v>
      </c>
      <c r="K531" s="64">
        <v>0</v>
      </c>
      <c r="L531" s="65">
        <v>0</v>
      </c>
      <c r="M531" s="65"/>
      <c r="N531" s="66">
        <f t="shared" si="254"/>
        <v>5295.35</v>
      </c>
      <c r="O531" s="66">
        <f t="shared" si="254"/>
        <v>17000</v>
      </c>
      <c r="P531" s="69">
        <f t="shared" si="253"/>
        <v>1765.1166666666668</v>
      </c>
      <c r="Q531" s="69">
        <f t="shared" si="253"/>
        <v>5666.666666666667</v>
      </c>
      <c r="R531" s="294"/>
      <c r="S531" s="49"/>
      <c r="T531" s="49"/>
      <c r="U531" s="49"/>
      <c r="V531" s="49"/>
      <c r="W531" s="49" t="s">
        <v>525</v>
      </c>
      <c r="X531" s="49"/>
      <c r="Y531" s="49"/>
      <c r="Z531" s="66">
        <v>0</v>
      </c>
      <c r="AA531" s="280"/>
      <c r="AB531" s="66">
        <v>0</v>
      </c>
      <c r="AC531" s="66">
        <v>0</v>
      </c>
      <c r="AD531" s="66">
        <v>0</v>
      </c>
      <c r="AE531" s="66">
        <v>0</v>
      </c>
      <c r="AF531" s="66">
        <v>0</v>
      </c>
      <c r="AG531" s="66">
        <v>0</v>
      </c>
      <c r="AH531" s="66">
        <v>0</v>
      </c>
      <c r="AI531" s="66">
        <v>0</v>
      </c>
      <c r="AJ531" s="66">
        <v>0</v>
      </c>
      <c r="AK531" s="66">
        <v>0</v>
      </c>
      <c r="AM531" s="66">
        <v>0</v>
      </c>
      <c r="AO531"/>
      <c r="AQ531"/>
      <c r="AR531"/>
      <c r="AS531"/>
    </row>
    <row r="532" spans="1:45" x14ac:dyDescent="0.35">
      <c r="A532" s="66"/>
      <c r="B532" s="66"/>
      <c r="C532" s="49"/>
      <c r="D532" s="49"/>
      <c r="E532" s="49" t="s">
        <v>526</v>
      </c>
      <c r="F532" s="49"/>
      <c r="G532" s="49"/>
      <c r="H532" s="63">
        <v>65498.5</v>
      </c>
      <c r="I532" s="63">
        <v>38325</v>
      </c>
      <c r="J532" s="64">
        <v>65504.98</v>
      </c>
      <c r="K532" s="64">
        <v>55000</v>
      </c>
      <c r="L532" s="65">
        <v>112725.58</v>
      </c>
      <c r="M532" s="65">
        <v>69540</v>
      </c>
      <c r="N532" s="66">
        <f t="shared" si="254"/>
        <v>243729.06</v>
      </c>
      <c r="O532" s="66">
        <f t="shared" si="254"/>
        <v>162865</v>
      </c>
      <c r="P532" s="69">
        <f t="shared" si="253"/>
        <v>81243.02</v>
      </c>
      <c r="Q532" s="69">
        <f t="shared" si="253"/>
        <v>54288.333333333336</v>
      </c>
      <c r="R532" s="294"/>
      <c r="S532" s="49"/>
      <c r="T532" s="49"/>
      <c r="U532" s="49"/>
      <c r="V532" s="49"/>
      <c r="W532" s="49" t="s">
        <v>906</v>
      </c>
      <c r="X532" s="49"/>
      <c r="Y532" s="49"/>
      <c r="Z532" s="66">
        <v>45000</v>
      </c>
      <c r="AA532" s="280"/>
      <c r="AB532" s="66">
        <f t="shared" ref="AB532:AM532" si="257">ROUND(42665.15, 0)</f>
        <v>42665</v>
      </c>
      <c r="AC532" s="66">
        <f t="shared" si="257"/>
        <v>42665</v>
      </c>
      <c r="AD532" s="66">
        <f t="shared" si="257"/>
        <v>42665</v>
      </c>
      <c r="AE532" s="66">
        <f t="shared" si="257"/>
        <v>42665</v>
      </c>
      <c r="AF532" s="66">
        <f t="shared" si="257"/>
        <v>42665</v>
      </c>
      <c r="AG532" s="66">
        <f t="shared" si="257"/>
        <v>42665</v>
      </c>
      <c r="AH532" s="66">
        <f t="shared" si="257"/>
        <v>42665</v>
      </c>
      <c r="AI532" s="66">
        <f t="shared" si="257"/>
        <v>42665</v>
      </c>
      <c r="AJ532" s="66">
        <f t="shared" si="257"/>
        <v>42665</v>
      </c>
      <c r="AK532" s="66">
        <f t="shared" si="257"/>
        <v>42665</v>
      </c>
      <c r="AM532" s="66">
        <f t="shared" si="257"/>
        <v>42665</v>
      </c>
      <c r="AO532"/>
      <c r="AQ532"/>
      <c r="AR532"/>
      <c r="AS532"/>
    </row>
    <row r="533" spans="1:45" x14ac:dyDescent="0.35">
      <c r="A533" s="66"/>
      <c r="B533" s="66"/>
      <c r="C533" s="49"/>
      <c r="D533" s="49"/>
      <c r="E533" s="49" t="s">
        <v>527</v>
      </c>
      <c r="F533" s="49"/>
      <c r="G533" s="49"/>
      <c r="H533" s="63">
        <v>4664.29</v>
      </c>
      <c r="I533" s="63">
        <v>2716.8</v>
      </c>
      <c r="J533" s="64">
        <v>3018.33</v>
      </c>
      <c r="K533" s="64">
        <v>4360</v>
      </c>
      <c r="L533" s="65">
        <v>4947.66</v>
      </c>
      <c r="M533" s="65">
        <v>5328</v>
      </c>
      <c r="N533" s="66">
        <f t="shared" ref="N533:O544" si="258">ROUND(H533+J533+L533,5)</f>
        <v>12630.28</v>
      </c>
      <c r="O533" s="66">
        <f t="shared" si="258"/>
        <v>12404.8</v>
      </c>
      <c r="P533" s="69">
        <f t="shared" si="253"/>
        <v>4210.0933333333332</v>
      </c>
      <c r="Q533" s="69">
        <f t="shared" si="253"/>
        <v>4134.9333333333334</v>
      </c>
      <c r="R533" s="294"/>
      <c r="S533" s="49"/>
      <c r="T533" s="49"/>
      <c r="U533" s="49"/>
      <c r="V533" s="49"/>
      <c r="W533" s="49" t="s">
        <v>527</v>
      </c>
      <c r="X533" s="49"/>
      <c r="Y533" s="49"/>
      <c r="Z533" s="66">
        <v>5027</v>
      </c>
      <c r="AA533" s="280"/>
      <c r="AB533" s="66">
        <v>6033.32</v>
      </c>
      <c r="AC533" s="66">
        <v>6033.32</v>
      </c>
      <c r="AD533" s="66">
        <v>6033.32</v>
      </c>
      <c r="AE533" s="66">
        <v>6033.32</v>
      </c>
      <c r="AF533" s="66">
        <v>6033.32</v>
      </c>
      <c r="AG533" s="66">
        <f>ROUND(6033.32, 0)</f>
        <v>6033</v>
      </c>
      <c r="AH533" s="66">
        <f>ROUND(6033.32, 0)</f>
        <v>6033</v>
      </c>
      <c r="AI533" s="66">
        <f>ROUND(6033.32, 0)</f>
        <v>6033</v>
      </c>
      <c r="AJ533" s="66">
        <f>ROUND(6033.32, 0)</f>
        <v>6033</v>
      </c>
      <c r="AK533" s="66">
        <f>ROUND(6033.32, 0)</f>
        <v>6033</v>
      </c>
      <c r="AM533" s="66">
        <f>ROUND(6033.32, 0)</f>
        <v>6033</v>
      </c>
      <c r="AO533"/>
      <c r="AQ533"/>
      <c r="AR533"/>
      <c r="AS533"/>
    </row>
    <row r="534" spans="1:45" ht="29" x14ac:dyDescent="0.35">
      <c r="A534" s="66"/>
      <c r="B534" s="66"/>
      <c r="C534" s="49"/>
      <c r="D534" s="49"/>
      <c r="E534" s="49" t="s">
        <v>528</v>
      </c>
      <c r="F534" s="49"/>
      <c r="G534" s="49"/>
      <c r="H534" s="63">
        <v>4727</v>
      </c>
      <c r="I534" s="63">
        <v>4572</v>
      </c>
      <c r="J534" s="64">
        <v>5187</v>
      </c>
      <c r="K534" s="64">
        <v>4900</v>
      </c>
      <c r="L534" s="65">
        <v>3671</v>
      </c>
      <c r="M534" s="65">
        <v>5431</v>
      </c>
      <c r="N534" s="66">
        <f t="shared" si="258"/>
        <v>13585</v>
      </c>
      <c r="O534" s="66">
        <f t="shared" si="258"/>
        <v>14903</v>
      </c>
      <c r="P534" s="69">
        <f t="shared" si="253"/>
        <v>4528.333333333333</v>
      </c>
      <c r="Q534" s="69">
        <f t="shared" si="253"/>
        <v>4967.666666666667</v>
      </c>
      <c r="R534" s="294"/>
      <c r="S534" s="49"/>
      <c r="T534" s="49"/>
      <c r="U534" s="49"/>
      <c r="V534" s="49"/>
      <c r="W534" s="49" t="s">
        <v>528</v>
      </c>
      <c r="X534" s="49"/>
      <c r="Y534" s="49"/>
      <c r="Z534" s="66">
        <v>3132</v>
      </c>
      <c r="AA534" s="280"/>
      <c r="AB534" s="66">
        <f t="shared" ref="AB534:AF534" si="259">ROUND(3414.6, 0)</f>
        <v>3415</v>
      </c>
      <c r="AC534" s="66">
        <f t="shared" si="259"/>
        <v>3415</v>
      </c>
      <c r="AD534" s="66">
        <f t="shared" si="259"/>
        <v>3415</v>
      </c>
      <c r="AE534" s="66">
        <f t="shared" si="259"/>
        <v>3415</v>
      </c>
      <c r="AF534" s="66">
        <f t="shared" si="259"/>
        <v>3415</v>
      </c>
      <c r="AG534" s="66">
        <v>3415</v>
      </c>
      <c r="AH534" s="66">
        <v>3415</v>
      </c>
      <c r="AI534" s="66">
        <v>3415</v>
      </c>
      <c r="AJ534" s="66">
        <v>3415</v>
      </c>
      <c r="AK534" s="66">
        <v>3415</v>
      </c>
      <c r="AM534" s="66">
        <v>3415</v>
      </c>
      <c r="AN534" s="220" t="s">
        <v>993</v>
      </c>
      <c r="AO534"/>
      <c r="AQ534"/>
      <c r="AR534"/>
      <c r="AS534"/>
    </row>
    <row r="535" spans="1:45" x14ac:dyDescent="0.35">
      <c r="A535" s="66"/>
      <c r="B535" s="66"/>
      <c r="C535" s="49"/>
      <c r="D535" s="49"/>
      <c r="E535" s="49" t="s">
        <v>529</v>
      </c>
      <c r="F535" s="49"/>
      <c r="G535" s="49"/>
      <c r="H535" s="63">
        <v>89.42</v>
      </c>
      <c r="I535" s="63">
        <v>5000</v>
      </c>
      <c r="J535" s="64">
        <v>12728.53</v>
      </c>
      <c r="K535" s="64">
        <v>0</v>
      </c>
      <c r="L535" s="65">
        <v>0</v>
      </c>
      <c r="M535" s="65">
        <v>0</v>
      </c>
      <c r="N535" s="66">
        <f t="shared" si="258"/>
        <v>12817.95</v>
      </c>
      <c r="O535" s="66">
        <f t="shared" si="258"/>
        <v>5000</v>
      </c>
      <c r="P535" s="69">
        <f t="shared" si="253"/>
        <v>4272.6500000000005</v>
      </c>
      <c r="Q535" s="69">
        <f t="shared" si="253"/>
        <v>1666.6666666666667</v>
      </c>
      <c r="R535" s="294"/>
      <c r="S535" s="49"/>
      <c r="T535" s="49"/>
      <c r="U535" s="49"/>
      <c r="V535" s="49"/>
      <c r="W535" s="49" t="s">
        <v>529</v>
      </c>
      <c r="X535" s="49"/>
      <c r="Y535" s="49"/>
      <c r="Z535" s="66">
        <v>5000</v>
      </c>
      <c r="AA535" s="280"/>
      <c r="AB535" s="66">
        <v>0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0</v>
      </c>
      <c r="AI535" s="66">
        <v>0</v>
      </c>
      <c r="AJ535" s="66">
        <v>0</v>
      </c>
      <c r="AK535" s="66">
        <v>0</v>
      </c>
      <c r="AM535" s="66">
        <v>0</v>
      </c>
      <c r="AN535" s="220" t="s">
        <v>983</v>
      </c>
      <c r="AO535"/>
      <c r="AQ535"/>
      <c r="AR535"/>
      <c r="AS535"/>
    </row>
    <row r="536" spans="1:45" x14ac:dyDescent="0.35">
      <c r="A536" s="66"/>
      <c r="B536" s="66"/>
      <c r="C536" s="49"/>
      <c r="D536" s="49"/>
      <c r="E536" s="49" t="s">
        <v>530</v>
      </c>
      <c r="F536" s="49"/>
      <c r="G536" s="49"/>
      <c r="H536" s="63">
        <v>3574.34</v>
      </c>
      <c r="I536" s="63">
        <v>4992</v>
      </c>
      <c r="J536" s="64">
        <v>3364.92</v>
      </c>
      <c r="K536" s="64">
        <v>5562</v>
      </c>
      <c r="L536" s="65">
        <v>2926.66</v>
      </c>
      <c r="M536" s="65">
        <v>5000</v>
      </c>
      <c r="N536" s="66">
        <f t="shared" si="258"/>
        <v>9865.92</v>
      </c>
      <c r="O536" s="66">
        <f t="shared" si="258"/>
        <v>15554</v>
      </c>
      <c r="P536" s="69">
        <f t="shared" si="253"/>
        <v>3288.64</v>
      </c>
      <c r="Q536" s="69">
        <f t="shared" si="253"/>
        <v>5184.666666666667</v>
      </c>
      <c r="R536" s="294"/>
      <c r="S536" s="49"/>
      <c r="T536" s="49"/>
      <c r="U536" s="49"/>
      <c r="V536" s="49"/>
      <c r="W536" s="49" t="s">
        <v>530</v>
      </c>
      <c r="X536" s="49"/>
      <c r="Y536" s="49"/>
      <c r="Z536" s="66">
        <v>5000</v>
      </c>
      <c r="AA536" s="280"/>
      <c r="AB536" s="66">
        <v>4000</v>
      </c>
      <c r="AC536" s="66">
        <v>4000</v>
      </c>
      <c r="AD536" s="66">
        <v>4000</v>
      </c>
      <c r="AE536" s="66">
        <v>4000</v>
      </c>
      <c r="AF536" s="66">
        <v>4000</v>
      </c>
      <c r="AG536" s="66">
        <v>4000</v>
      </c>
      <c r="AH536" s="66">
        <v>4000</v>
      </c>
      <c r="AI536" s="66">
        <v>4000</v>
      </c>
      <c r="AJ536" s="66">
        <v>4000</v>
      </c>
      <c r="AK536" s="66">
        <v>4000</v>
      </c>
      <c r="AM536" s="66">
        <v>4000</v>
      </c>
      <c r="AO536"/>
      <c r="AQ536"/>
      <c r="AR536"/>
      <c r="AS536"/>
    </row>
    <row r="537" spans="1:45" x14ac:dyDescent="0.35">
      <c r="A537" s="66"/>
      <c r="B537" s="66"/>
      <c r="C537" s="49"/>
      <c r="D537" s="49"/>
      <c r="E537" s="49" t="s">
        <v>531</v>
      </c>
      <c r="F537" s="49"/>
      <c r="G537" s="49"/>
      <c r="H537" s="63">
        <v>10575.38</v>
      </c>
      <c r="I537" s="63">
        <v>11000</v>
      </c>
      <c r="J537" s="64">
        <v>7582.88</v>
      </c>
      <c r="K537" s="64">
        <v>11700</v>
      </c>
      <c r="L537" s="65">
        <v>8602.8799999999992</v>
      </c>
      <c r="M537" s="65">
        <v>10000</v>
      </c>
      <c r="N537" s="66">
        <f t="shared" si="258"/>
        <v>26761.14</v>
      </c>
      <c r="O537" s="66">
        <f t="shared" si="258"/>
        <v>32700</v>
      </c>
      <c r="P537" s="69">
        <f t="shared" si="253"/>
        <v>8920.3799999999992</v>
      </c>
      <c r="Q537" s="69">
        <f t="shared" si="253"/>
        <v>10900</v>
      </c>
      <c r="R537" s="294"/>
      <c r="S537" s="49"/>
      <c r="T537" s="49"/>
      <c r="U537" s="49"/>
      <c r="V537" s="49"/>
      <c r="W537" s="49" t="s">
        <v>531</v>
      </c>
      <c r="X537" s="49"/>
      <c r="Y537" s="49"/>
      <c r="Z537" s="66">
        <v>10000</v>
      </c>
      <c r="AA537" s="280"/>
      <c r="AB537" s="66">
        <v>9000</v>
      </c>
      <c r="AC537" s="66">
        <v>9000</v>
      </c>
      <c r="AD537" s="66">
        <v>9000</v>
      </c>
      <c r="AE537" s="66">
        <v>9000</v>
      </c>
      <c r="AF537" s="66">
        <v>9000</v>
      </c>
      <c r="AG537" s="66">
        <v>9000</v>
      </c>
      <c r="AH537" s="66">
        <v>9000</v>
      </c>
      <c r="AI537" s="66">
        <v>9000</v>
      </c>
      <c r="AJ537" s="66">
        <v>9000</v>
      </c>
      <c r="AK537" s="66">
        <v>9000</v>
      </c>
      <c r="AM537" s="66">
        <v>9000</v>
      </c>
      <c r="AO537"/>
      <c r="AQ537"/>
      <c r="AR537"/>
      <c r="AS537"/>
    </row>
    <row r="538" spans="1:45" x14ac:dyDescent="0.35">
      <c r="A538" s="66"/>
      <c r="B538" s="66"/>
      <c r="C538" s="49"/>
      <c r="D538" s="49"/>
      <c r="E538" s="49" t="s">
        <v>532</v>
      </c>
      <c r="F538" s="49"/>
      <c r="G538" s="49"/>
      <c r="H538" s="63">
        <v>3539.31</v>
      </c>
      <c r="I538" s="63">
        <v>3645</v>
      </c>
      <c r="J538" s="64">
        <v>3316.13</v>
      </c>
      <c r="K538" s="64">
        <v>3200</v>
      </c>
      <c r="L538" s="65">
        <v>3381.09</v>
      </c>
      <c r="M538" s="65">
        <v>3250</v>
      </c>
      <c r="N538" s="66">
        <f t="shared" si="258"/>
        <v>10236.530000000001</v>
      </c>
      <c r="O538" s="66">
        <f t="shared" si="258"/>
        <v>10095</v>
      </c>
      <c r="P538" s="69">
        <f t="shared" si="253"/>
        <v>3412.1766666666667</v>
      </c>
      <c r="Q538" s="69">
        <f t="shared" si="253"/>
        <v>3365</v>
      </c>
      <c r="R538" s="294"/>
      <c r="S538" s="49"/>
      <c r="T538" s="49"/>
      <c r="U538" s="49"/>
      <c r="V538" s="49"/>
      <c r="W538" s="49" t="s">
        <v>532</v>
      </c>
      <c r="X538" s="49"/>
      <c r="Y538" s="49"/>
      <c r="Z538" s="66">
        <v>3405</v>
      </c>
      <c r="AA538" s="280"/>
      <c r="AB538" s="66">
        <v>3050</v>
      </c>
      <c r="AC538" s="66">
        <v>3050</v>
      </c>
      <c r="AD538" s="66">
        <v>3050</v>
      </c>
      <c r="AE538" s="66">
        <v>3050</v>
      </c>
      <c r="AF538" s="66">
        <v>3050</v>
      </c>
      <c r="AG538" s="66">
        <v>3050</v>
      </c>
      <c r="AH538" s="66">
        <v>3050</v>
      </c>
      <c r="AI538" s="66">
        <v>3050</v>
      </c>
      <c r="AJ538" s="66">
        <v>3050</v>
      </c>
      <c r="AK538" s="66">
        <v>3050</v>
      </c>
      <c r="AM538" s="66">
        <v>3050</v>
      </c>
      <c r="AO538"/>
      <c r="AQ538"/>
      <c r="AR538"/>
      <c r="AS538"/>
    </row>
    <row r="539" spans="1:45" x14ac:dyDescent="0.35">
      <c r="A539" s="66"/>
      <c r="B539" s="66"/>
      <c r="C539" s="49"/>
      <c r="D539" s="49"/>
      <c r="E539" s="49" t="s">
        <v>533</v>
      </c>
      <c r="F539" s="49"/>
      <c r="G539" s="49"/>
      <c r="H539" s="63">
        <v>8875.7999999999993</v>
      </c>
      <c r="I539" s="63">
        <v>9376</v>
      </c>
      <c r="J539" s="64">
        <v>6026.59</v>
      </c>
      <c r="K539" s="64">
        <v>8800</v>
      </c>
      <c r="L539" s="65">
        <v>0</v>
      </c>
      <c r="M539" s="65">
        <v>0</v>
      </c>
      <c r="N539" s="66">
        <f t="shared" si="258"/>
        <v>14902.39</v>
      </c>
      <c r="O539" s="66">
        <f t="shared" si="258"/>
        <v>18176</v>
      </c>
      <c r="P539" s="69">
        <f t="shared" si="253"/>
        <v>4967.4633333333331</v>
      </c>
      <c r="Q539" s="69">
        <f t="shared" si="253"/>
        <v>6058.666666666667</v>
      </c>
      <c r="R539" s="294"/>
      <c r="S539" s="49"/>
      <c r="T539" s="49"/>
      <c r="U539" s="49"/>
      <c r="V539" s="49"/>
      <c r="W539" s="49" t="s">
        <v>533</v>
      </c>
      <c r="X539" s="49"/>
      <c r="Y539" s="49"/>
      <c r="Z539" s="66">
        <v>0</v>
      </c>
      <c r="AA539" s="280"/>
      <c r="AB539" s="66">
        <v>0</v>
      </c>
      <c r="AC539" s="66">
        <v>0</v>
      </c>
      <c r="AD539" s="66">
        <v>0</v>
      </c>
      <c r="AE539" s="66">
        <v>0</v>
      </c>
      <c r="AF539" s="66">
        <v>0</v>
      </c>
      <c r="AG539" s="66">
        <v>0</v>
      </c>
      <c r="AH539" s="66">
        <v>0</v>
      </c>
      <c r="AI539" s="66">
        <v>0</v>
      </c>
      <c r="AJ539" s="66">
        <v>0</v>
      </c>
      <c r="AK539" s="66">
        <v>0</v>
      </c>
      <c r="AM539" s="66">
        <v>0</v>
      </c>
      <c r="AO539"/>
      <c r="AQ539"/>
      <c r="AR539"/>
      <c r="AS539"/>
    </row>
    <row r="540" spans="1:45" x14ac:dyDescent="0.35">
      <c r="A540" s="66"/>
      <c r="B540" s="66"/>
      <c r="C540" s="49"/>
      <c r="D540" s="49"/>
      <c r="E540" s="49" t="s">
        <v>534</v>
      </c>
      <c r="F540" s="49"/>
      <c r="G540" s="49"/>
      <c r="H540" s="63">
        <v>27953.49</v>
      </c>
      <c r="I540" s="63">
        <v>28074</v>
      </c>
      <c r="J540" s="64">
        <v>19873.310000000001</v>
      </c>
      <c r="K540" s="64">
        <v>17150</v>
      </c>
      <c r="L540" s="65">
        <v>19701.16</v>
      </c>
      <c r="M540" s="65">
        <v>19345</v>
      </c>
      <c r="N540" s="66">
        <f t="shared" si="258"/>
        <v>67527.960000000006</v>
      </c>
      <c r="O540" s="66">
        <f t="shared" si="258"/>
        <v>64569</v>
      </c>
      <c r="P540" s="69">
        <f t="shared" si="253"/>
        <v>22509.320000000003</v>
      </c>
      <c r="Q540" s="69">
        <f t="shared" si="253"/>
        <v>21523</v>
      </c>
      <c r="R540" s="294"/>
      <c r="S540" s="49"/>
      <c r="T540" s="49"/>
      <c r="U540" s="49"/>
      <c r="V540" s="49"/>
      <c r="W540" s="49" t="s">
        <v>534</v>
      </c>
      <c r="X540" s="49"/>
      <c r="Y540" s="49"/>
      <c r="Z540" s="66">
        <v>19503</v>
      </c>
      <c r="AA540" s="280"/>
      <c r="AB540" s="66">
        <v>20400</v>
      </c>
      <c r="AC540" s="66">
        <v>20400</v>
      </c>
      <c r="AD540" s="66">
        <v>20400</v>
      </c>
      <c r="AE540" s="66">
        <v>22860</v>
      </c>
      <c r="AF540" s="66">
        <v>22860</v>
      </c>
      <c r="AG540" s="66">
        <v>22860</v>
      </c>
      <c r="AH540" s="66">
        <v>22860</v>
      </c>
      <c r="AI540" s="66">
        <v>22860</v>
      </c>
      <c r="AJ540" s="66">
        <v>22860</v>
      </c>
      <c r="AK540" s="66">
        <v>22860</v>
      </c>
      <c r="AM540" s="66">
        <v>22860</v>
      </c>
      <c r="AO540"/>
      <c r="AQ540"/>
      <c r="AR540"/>
      <c r="AS540"/>
    </row>
    <row r="541" spans="1:45" x14ac:dyDescent="0.35">
      <c r="A541" s="66"/>
      <c r="B541" s="66"/>
      <c r="C541" s="49"/>
      <c r="D541" s="49"/>
      <c r="E541" s="49" t="s">
        <v>535</v>
      </c>
      <c r="F541" s="49"/>
      <c r="G541" s="49"/>
      <c r="H541" s="63">
        <v>0</v>
      </c>
      <c r="I541" s="63">
        <v>6000</v>
      </c>
      <c r="J541" s="64">
        <v>21228.95</v>
      </c>
      <c r="K541" s="64">
        <v>0</v>
      </c>
      <c r="L541" s="65">
        <v>47757.3</v>
      </c>
      <c r="M541" s="65">
        <v>3000</v>
      </c>
      <c r="N541" s="66">
        <f t="shared" si="258"/>
        <v>68986.25</v>
      </c>
      <c r="O541" s="66">
        <f t="shared" si="258"/>
        <v>9000</v>
      </c>
      <c r="P541" s="69">
        <f t="shared" si="253"/>
        <v>22995.416666666668</v>
      </c>
      <c r="Q541" s="69">
        <f t="shared" si="253"/>
        <v>3000</v>
      </c>
      <c r="R541" s="294"/>
      <c r="S541" s="49"/>
      <c r="T541" s="49"/>
      <c r="U541" s="49"/>
      <c r="V541" s="49"/>
      <c r="W541" s="49" t="s">
        <v>535</v>
      </c>
      <c r="X541" s="49"/>
      <c r="Y541" s="49"/>
      <c r="Z541" s="66">
        <v>3000</v>
      </c>
      <c r="AA541" s="280"/>
      <c r="AB541" s="66">
        <v>3000</v>
      </c>
      <c r="AC541" s="66">
        <v>3000</v>
      </c>
      <c r="AD541" s="66">
        <v>3000</v>
      </c>
      <c r="AE541" s="66">
        <v>3000</v>
      </c>
      <c r="AF541" s="66">
        <v>3000</v>
      </c>
      <c r="AG541" s="66">
        <v>3000</v>
      </c>
      <c r="AH541" s="66">
        <v>3000</v>
      </c>
      <c r="AI541" s="66">
        <v>3000</v>
      </c>
      <c r="AJ541" s="66">
        <v>3000</v>
      </c>
      <c r="AK541" s="66">
        <v>3000</v>
      </c>
      <c r="AM541" s="66">
        <v>3000</v>
      </c>
      <c r="AO541"/>
      <c r="AQ541"/>
      <c r="AR541"/>
      <c r="AS541"/>
    </row>
    <row r="542" spans="1:45" x14ac:dyDescent="0.35">
      <c r="A542" s="66"/>
      <c r="B542" s="66"/>
      <c r="C542" s="49"/>
      <c r="D542" s="49"/>
      <c r="E542" s="49" t="s">
        <v>536</v>
      </c>
      <c r="F542" s="49"/>
      <c r="G542" s="49"/>
      <c r="H542" s="63">
        <v>19982.650000000001</v>
      </c>
      <c r="I542" s="63">
        <v>32500</v>
      </c>
      <c r="J542" s="64">
        <v>16665.71</v>
      </c>
      <c r="K542" s="64">
        <v>34050</v>
      </c>
      <c r="L542" s="65">
        <v>22645.33</v>
      </c>
      <c r="M542" s="65">
        <v>35000</v>
      </c>
      <c r="N542" s="66">
        <f t="shared" si="258"/>
        <v>59293.69</v>
      </c>
      <c r="O542" s="66">
        <f t="shared" si="258"/>
        <v>101550</v>
      </c>
      <c r="P542" s="69">
        <f t="shared" si="253"/>
        <v>19764.563333333335</v>
      </c>
      <c r="Q542" s="69">
        <f t="shared" si="253"/>
        <v>33850</v>
      </c>
      <c r="R542" s="294"/>
      <c r="S542" s="49"/>
      <c r="T542" s="49"/>
      <c r="U542" s="49"/>
      <c r="V542" s="49"/>
      <c r="W542" s="49" t="s">
        <v>536</v>
      </c>
      <c r="X542" s="49"/>
      <c r="Y542" s="49"/>
      <c r="Z542" s="66">
        <v>35000</v>
      </c>
      <c r="AA542" s="280"/>
      <c r="AB542" s="66">
        <v>35000</v>
      </c>
      <c r="AC542" s="66">
        <v>30000</v>
      </c>
      <c r="AD542" s="66">
        <v>30000</v>
      </c>
      <c r="AE542" s="66">
        <v>30000</v>
      </c>
      <c r="AF542" s="66">
        <v>35000</v>
      </c>
      <c r="AG542" s="66">
        <v>35000</v>
      </c>
      <c r="AH542" s="66">
        <v>35000</v>
      </c>
      <c r="AI542" s="66">
        <v>35000</v>
      </c>
      <c r="AJ542" s="66">
        <v>35000</v>
      </c>
      <c r="AK542" s="66">
        <v>35000</v>
      </c>
      <c r="AM542" s="66">
        <v>35000</v>
      </c>
      <c r="AO542"/>
      <c r="AQ542"/>
      <c r="AR542"/>
      <c r="AS542"/>
    </row>
    <row r="543" spans="1:45" x14ac:dyDescent="0.35">
      <c r="A543" s="66"/>
      <c r="B543" s="66"/>
      <c r="C543" s="49"/>
      <c r="D543" s="49"/>
      <c r="E543" s="49" t="s">
        <v>537</v>
      </c>
      <c r="F543" s="49"/>
      <c r="G543" s="49"/>
      <c r="H543" s="63">
        <v>0</v>
      </c>
      <c r="I543" s="63"/>
      <c r="J543" s="64">
        <v>0</v>
      </c>
      <c r="K543" s="64"/>
      <c r="L543" s="65">
        <v>0</v>
      </c>
      <c r="M543" s="65"/>
      <c r="N543" s="66">
        <f t="shared" si="258"/>
        <v>0</v>
      </c>
      <c r="O543" s="66"/>
      <c r="P543" s="69">
        <f t="shared" si="253"/>
        <v>0</v>
      </c>
      <c r="Q543" s="69">
        <f t="shared" si="253"/>
        <v>0</v>
      </c>
      <c r="R543" s="294"/>
      <c r="S543" s="49"/>
      <c r="T543" s="49"/>
      <c r="U543" s="49"/>
      <c r="V543" s="49"/>
      <c r="W543" s="49" t="s">
        <v>537</v>
      </c>
      <c r="X543" s="49"/>
      <c r="Y543" s="49"/>
      <c r="Z543" s="66">
        <v>0</v>
      </c>
      <c r="AA543" s="280"/>
      <c r="AB543" s="66">
        <v>0</v>
      </c>
      <c r="AC543" s="66">
        <v>0</v>
      </c>
      <c r="AD543" s="66">
        <v>0</v>
      </c>
      <c r="AE543" s="66">
        <v>0</v>
      </c>
      <c r="AF543" s="66">
        <v>0</v>
      </c>
      <c r="AG543" s="66">
        <v>0</v>
      </c>
      <c r="AH543" s="66">
        <v>0</v>
      </c>
      <c r="AI543" s="66">
        <v>0</v>
      </c>
      <c r="AJ543" s="66">
        <v>0</v>
      </c>
      <c r="AK543" s="66">
        <v>0</v>
      </c>
      <c r="AM543" s="66">
        <v>0</v>
      </c>
      <c r="AO543"/>
      <c r="AQ543"/>
      <c r="AR543"/>
      <c r="AS543"/>
    </row>
    <row r="544" spans="1:45" x14ac:dyDescent="0.35">
      <c r="A544" s="66"/>
      <c r="B544" s="66"/>
      <c r="C544" s="49"/>
      <c r="D544" s="49"/>
      <c r="E544" s="49" t="s">
        <v>538</v>
      </c>
      <c r="F544" s="49"/>
      <c r="G544" s="49"/>
      <c r="H544" s="63">
        <v>14880.27</v>
      </c>
      <c r="I544" s="63">
        <v>15000</v>
      </c>
      <c r="J544" s="64">
        <v>16092.2</v>
      </c>
      <c r="K544" s="64">
        <v>10000</v>
      </c>
      <c r="L544" s="65">
        <v>-1635.48</v>
      </c>
      <c r="M544" s="65">
        <v>10000</v>
      </c>
      <c r="N544" s="66">
        <f t="shared" si="258"/>
        <v>29336.99</v>
      </c>
      <c r="O544" s="66">
        <f>ROUND(I544+K544+M544,5)</f>
        <v>35000</v>
      </c>
      <c r="P544" s="69">
        <f t="shared" si="253"/>
        <v>9778.9966666666678</v>
      </c>
      <c r="Q544" s="69">
        <f t="shared" si="253"/>
        <v>11666.666666666666</v>
      </c>
      <c r="R544" s="294"/>
      <c r="S544" s="49"/>
      <c r="T544" s="49"/>
      <c r="U544" s="49"/>
      <c r="V544" s="49"/>
      <c r="W544" s="49" t="s">
        <v>538</v>
      </c>
      <c r="X544" s="49"/>
      <c r="Y544" s="49"/>
      <c r="Z544" s="66">
        <v>10000</v>
      </c>
      <c r="AA544" s="280"/>
      <c r="AB544" s="66">
        <v>10000</v>
      </c>
      <c r="AC544" s="66">
        <v>10000</v>
      </c>
      <c r="AD544" s="66">
        <v>10000</v>
      </c>
      <c r="AE544" s="66">
        <v>10000</v>
      </c>
      <c r="AF544" s="66">
        <v>10000</v>
      </c>
      <c r="AG544" s="66">
        <v>10000</v>
      </c>
      <c r="AH544" s="66">
        <v>10000</v>
      </c>
      <c r="AI544" s="66">
        <v>10000</v>
      </c>
      <c r="AJ544" s="66">
        <v>10000</v>
      </c>
      <c r="AK544" s="66">
        <v>10000</v>
      </c>
      <c r="AM544" s="66">
        <v>10000</v>
      </c>
      <c r="AO544"/>
      <c r="AQ544"/>
      <c r="AR544"/>
      <c r="AS544"/>
    </row>
    <row r="545" spans="1:45" x14ac:dyDescent="0.35">
      <c r="A545" s="66"/>
      <c r="B545" s="66"/>
      <c r="C545" s="49"/>
      <c r="D545" s="49"/>
      <c r="E545" s="49" t="s">
        <v>539</v>
      </c>
      <c r="F545" s="49"/>
      <c r="G545" s="49"/>
      <c r="H545" s="63"/>
      <c r="I545" s="63"/>
      <c r="J545" s="64"/>
      <c r="K545" s="64"/>
      <c r="L545" s="65"/>
      <c r="M545" s="65"/>
      <c r="N545" s="66"/>
      <c r="O545" s="66"/>
      <c r="P545" s="69"/>
      <c r="Q545" s="69"/>
      <c r="R545" s="294"/>
      <c r="S545" s="49"/>
      <c r="T545" s="49"/>
      <c r="U545" s="49"/>
      <c r="V545" s="49"/>
      <c r="W545" s="49" t="s">
        <v>539</v>
      </c>
      <c r="X545" s="49"/>
      <c r="Y545" s="49"/>
      <c r="Z545" s="66"/>
      <c r="AA545" s="280"/>
      <c r="AB545" s="66"/>
      <c r="AC545" s="66"/>
      <c r="AD545" s="66"/>
      <c r="AE545" s="66"/>
      <c r="AF545" s="66"/>
      <c r="AG545" s="66"/>
      <c r="AH545" s="66"/>
      <c r="AI545" s="66"/>
      <c r="AJ545" s="66"/>
      <c r="AK545" s="66"/>
      <c r="AM545" s="66"/>
      <c r="AO545"/>
      <c r="AQ545"/>
      <c r="AR545"/>
      <c r="AS545"/>
    </row>
    <row r="546" spans="1:45" x14ac:dyDescent="0.35">
      <c r="A546" s="66"/>
      <c r="B546" s="66"/>
      <c r="C546" s="49"/>
      <c r="D546" s="49"/>
      <c r="E546" s="49"/>
      <c r="F546" s="49" t="s">
        <v>540</v>
      </c>
      <c r="G546" s="49"/>
      <c r="H546" s="63">
        <v>11400</v>
      </c>
      <c r="I546" s="63">
        <v>11970</v>
      </c>
      <c r="J546" s="64">
        <v>11400</v>
      </c>
      <c r="K546" s="64">
        <v>11400</v>
      </c>
      <c r="L546" s="65">
        <v>11400</v>
      </c>
      <c r="M546" s="65">
        <v>11970</v>
      </c>
      <c r="N546" s="66">
        <f t="shared" ref="N546:O550" si="260">ROUND(H546+J546+L546,5)</f>
        <v>34200</v>
      </c>
      <c r="O546" s="66">
        <f t="shared" si="260"/>
        <v>35340</v>
      </c>
      <c r="P546" s="69">
        <f t="shared" si="253"/>
        <v>11400</v>
      </c>
      <c r="Q546" s="69">
        <f t="shared" si="253"/>
        <v>11780</v>
      </c>
      <c r="R546" s="294"/>
      <c r="S546" s="49"/>
      <c r="T546" s="49"/>
      <c r="U546" s="49"/>
      <c r="V546" s="49"/>
      <c r="W546" s="49"/>
      <c r="X546" s="49" t="s">
        <v>540</v>
      </c>
      <c r="Y546" s="49"/>
      <c r="Z546" s="66">
        <v>11970</v>
      </c>
      <c r="AA546" s="280"/>
      <c r="AB546" s="66">
        <v>11970</v>
      </c>
      <c r="AC546" s="66">
        <v>11970</v>
      </c>
      <c r="AD546" s="66">
        <v>11970</v>
      </c>
      <c r="AE546" s="66">
        <v>11970</v>
      </c>
      <c r="AF546" s="66">
        <v>11970</v>
      </c>
      <c r="AG546" s="66">
        <v>11970</v>
      </c>
      <c r="AH546" s="66">
        <v>11970</v>
      </c>
      <c r="AI546" s="66">
        <v>11970</v>
      </c>
      <c r="AJ546" s="66">
        <v>11970</v>
      </c>
      <c r="AK546" s="66">
        <v>11970</v>
      </c>
      <c r="AM546" s="66">
        <v>11970</v>
      </c>
      <c r="AO546"/>
      <c r="AQ546"/>
      <c r="AR546"/>
      <c r="AS546"/>
    </row>
    <row r="547" spans="1:45" ht="29" x14ac:dyDescent="0.35">
      <c r="A547" s="66"/>
      <c r="B547" s="66"/>
      <c r="C547" s="49"/>
      <c r="D547" s="49"/>
      <c r="E547" s="49"/>
      <c r="F547" s="49" t="s">
        <v>541</v>
      </c>
      <c r="G547" s="49"/>
      <c r="H547" s="63">
        <v>20000</v>
      </c>
      <c r="I547" s="63">
        <v>20000</v>
      </c>
      <c r="J547" s="64">
        <v>20000.04</v>
      </c>
      <c r="K547" s="64">
        <v>20000</v>
      </c>
      <c r="L547" s="65">
        <v>20000.04</v>
      </c>
      <c r="M547" s="65">
        <v>20000</v>
      </c>
      <c r="N547" s="66">
        <f t="shared" si="260"/>
        <v>60000.08</v>
      </c>
      <c r="O547" s="66">
        <f t="shared" si="260"/>
        <v>60000</v>
      </c>
      <c r="P547" s="69">
        <f t="shared" si="253"/>
        <v>20000.026666666668</v>
      </c>
      <c r="Q547" s="69">
        <f t="shared" si="253"/>
        <v>20000</v>
      </c>
      <c r="R547" s="294"/>
      <c r="S547" s="49"/>
      <c r="T547" s="49"/>
      <c r="U547" s="49"/>
      <c r="V547" s="49"/>
      <c r="W547" s="49"/>
      <c r="X547" s="49" t="s">
        <v>541</v>
      </c>
      <c r="Y547" s="49"/>
      <c r="Z547" s="66">
        <v>21000</v>
      </c>
      <c r="AA547" s="280"/>
      <c r="AB547" s="66">
        <v>0</v>
      </c>
      <c r="AC547" s="66">
        <v>0</v>
      </c>
      <c r="AD547" s="66">
        <v>0</v>
      </c>
      <c r="AE547" s="66">
        <v>0</v>
      </c>
      <c r="AF547" s="66">
        <v>0</v>
      </c>
      <c r="AG547" s="66">
        <v>0</v>
      </c>
      <c r="AH547" s="66">
        <v>0</v>
      </c>
      <c r="AI547" s="66">
        <v>0</v>
      </c>
      <c r="AJ547" s="66">
        <v>0</v>
      </c>
      <c r="AK547" s="66">
        <v>0</v>
      </c>
      <c r="AM547" s="66">
        <v>0</v>
      </c>
      <c r="AN547" s="220" t="s">
        <v>946</v>
      </c>
      <c r="AO547"/>
      <c r="AQ547"/>
      <c r="AR547"/>
      <c r="AS547"/>
    </row>
    <row r="548" spans="1:45" ht="16" thickBot="1" x14ac:dyDescent="0.4">
      <c r="A548" s="66"/>
      <c r="B548" s="66"/>
      <c r="C548" s="49"/>
      <c r="D548" s="49"/>
      <c r="E548" s="49"/>
      <c r="F548" s="49" t="s">
        <v>542</v>
      </c>
      <c r="G548" s="49"/>
      <c r="H548" s="70">
        <v>34792.800000000003</v>
      </c>
      <c r="I548" s="70">
        <v>34464</v>
      </c>
      <c r="J548" s="71">
        <v>36880.32</v>
      </c>
      <c r="K548" s="71">
        <v>32823.360000000001</v>
      </c>
      <c r="L548" s="72">
        <v>39093.120000000003</v>
      </c>
      <c r="M548" s="72">
        <v>38724.339999999997</v>
      </c>
      <c r="N548" s="73">
        <f t="shared" si="260"/>
        <v>110766.24</v>
      </c>
      <c r="O548" s="73">
        <f t="shared" si="260"/>
        <v>106011.7</v>
      </c>
      <c r="P548" s="74">
        <f t="shared" si="253"/>
        <v>36922.080000000002</v>
      </c>
      <c r="Q548" s="74">
        <f t="shared" si="253"/>
        <v>35337.23333333333</v>
      </c>
      <c r="R548" s="294"/>
      <c r="S548" s="49"/>
      <c r="T548" s="49"/>
      <c r="U548" s="49"/>
      <c r="V548" s="49"/>
      <c r="W548" s="49"/>
      <c r="X548" s="49" t="s">
        <v>542</v>
      </c>
      <c r="Y548" s="49"/>
      <c r="Z548" s="73">
        <v>41048</v>
      </c>
      <c r="AA548" s="280"/>
      <c r="AB548" s="73">
        <v>75353.289999999994</v>
      </c>
      <c r="AC548" s="73">
        <v>75353.289999999994</v>
      </c>
      <c r="AD548" s="73">
        <v>75353.289999999994</v>
      </c>
      <c r="AE548" s="73">
        <v>75353.289999999994</v>
      </c>
      <c r="AF548" s="73">
        <v>75353.289999999994</v>
      </c>
      <c r="AG548" s="73">
        <v>43000</v>
      </c>
      <c r="AH548" s="73">
        <v>43000</v>
      </c>
      <c r="AI548" s="73">
        <v>43000</v>
      </c>
      <c r="AJ548" s="73">
        <v>43000</v>
      </c>
      <c r="AK548" s="73">
        <v>43000</v>
      </c>
      <c r="AM548" s="73">
        <v>43000</v>
      </c>
      <c r="AO548"/>
      <c r="AQ548"/>
      <c r="AR548"/>
      <c r="AS548"/>
    </row>
    <row r="549" spans="1:45" ht="16" thickBot="1" x14ac:dyDescent="0.4">
      <c r="A549" s="66"/>
      <c r="B549" s="66"/>
      <c r="C549" s="49"/>
      <c r="D549" s="49"/>
      <c r="E549" s="49" t="s">
        <v>543</v>
      </c>
      <c r="F549" s="49"/>
      <c r="G549" s="49"/>
      <c r="H549" s="63">
        <f t="shared" ref="H549:M549" si="261">ROUND(SUM(H545:H548),5)</f>
        <v>66192.800000000003</v>
      </c>
      <c r="I549" s="63">
        <f t="shared" si="261"/>
        <v>66434</v>
      </c>
      <c r="J549" s="64">
        <f t="shared" si="261"/>
        <v>68280.36</v>
      </c>
      <c r="K549" s="64">
        <f t="shared" si="261"/>
        <v>64223.360000000001</v>
      </c>
      <c r="L549" s="65">
        <f t="shared" si="261"/>
        <v>70493.16</v>
      </c>
      <c r="M549" s="65">
        <f t="shared" si="261"/>
        <v>70694.34</v>
      </c>
      <c r="N549" s="66">
        <f t="shared" si="260"/>
        <v>204966.32</v>
      </c>
      <c r="O549" s="66">
        <f t="shared" si="260"/>
        <v>201351.7</v>
      </c>
      <c r="P549" s="69">
        <f t="shared" si="253"/>
        <v>68322.106666666674</v>
      </c>
      <c r="Q549" s="69">
        <f t="shared" si="253"/>
        <v>67117.233333333337</v>
      </c>
      <c r="R549" s="294"/>
      <c r="S549" s="49"/>
      <c r="T549" s="49"/>
      <c r="U549" s="49"/>
      <c r="V549" s="49"/>
      <c r="W549" s="49" t="s">
        <v>543</v>
      </c>
      <c r="X549" s="49"/>
      <c r="Y549" s="49"/>
      <c r="Z549" s="66">
        <f>ROUND(SUM(Z545:Z548),5)</f>
        <v>74018</v>
      </c>
      <c r="AA549" s="280"/>
      <c r="AB549" s="66">
        <f t="shared" ref="AB549:AK549" si="262">ROUND(SUM(AB545:AB548),5)</f>
        <v>87323.29</v>
      </c>
      <c r="AC549" s="66">
        <f t="shared" si="262"/>
        <v>87323.29</v>
      </c>
      <c r="AD549" s="66">
        <f t="shared" si="262"/>
        <v>87323.29</v>
      </c>
      <c r="AE549" s="66">
        <f t="shared" si="262"/>
        <v>87323.29</v>
      </c>
      <c r="AF549" s="66">
        <f t="shared" si="262"/>
        <v>87323.29</v>
      </c>
      <c r="AG549" s="66">
        <f t="shared" si="262"/>
        <v>54970</v>
      </c>
      <c r="AH549" s="66">
        <f t="shared" si="262"/>
        <v>54970</v>
      </c>
      <c r="AI549" s="66">
        <f t="shared" si="262"/>
        <v>54970</v>
      </c>
      <c r="AJ549" s="66">
        <f t="shared" si="262"/>
        <v>54970</v>
      </c>
      <c r="AK549" s="66">
        <f t="shared" si="262"/>
        <v>54970</v>
      </c>
      <c r="AM549" s="66">
        <f t="shared" ref="AM549" si="263">ROUND(SUM(AM545:AM548),5)</f>
        <v>54970</v>
      </c>
      <c r="AO549"/>
      <c r="AQ549"/>
      <c r="AR549"/>
      <c r="AS549"/>
    </row>
    <row r="550" spans="1:45" x14ac:dyDescent="0.35">
      <c r="A550" s="66"/>
      <c r="B550" s="66"/>
      <c r="C550" s="49"/>
      <c r="D550" s="49" t="s">
        <v>544</v>
      </c>
      <c r="E550" s="49"/>
      <c r="F550" s="49"/>
      <c r="G550" s="49"/>
      <c r="H550" s="63">
        <f t="shared" ref="H550:M550" si="264">ROUND(SUM(H490:H514)+SUM(H520:H544)+SUM(H549:H549),5)</f>
        <v>820827.03</v>
      </c>
      <c r="I550" s="63">
        <f t="shared" si="264"/>
        <v>933251.5</v>
      </c>
      <c r="J550" s="64">
        <f t="shared" si="264"/>
        <v>885822.56</v>
      </c>
      <c r="K550" s="64">
        <f t="shared" si="264"/>
        <v>789393.59</v>
      </c>
      <c r="L550" s="65">
        <f t="shared" si="264"/>
        <v>1006470.26</v>
      </c>
      <c r="M550" s="65">
        <f t="shared" si="264"/>
        <v>900551.6</v>
      </c>
      <c r="N550" s="66">
        <f t="shared" si="260"/>
        <v>2713119.85</v>
      </c>
      <c r="O550" s="66">
        <f t="shared" si="260"/>
        <v>2623196.69</v>
      </c>
      <c r="P550" s="69">
        <f t="shared" si="253"/>
        <v>904373.28333333333</v>
      </c>
      <c r="Q550" s="69">
        <f t="shared" si="253"/>
        <v>874398.89666666661</v>
      </c>
      <c r="R550" s="294"/>
      <c r="S550" s="49"/>
      <c r="T550" s="49"/>
      <c r="U550" s="49"/>
      <c r="V550" s="49" t="s">
        <v>544</v>
      </c>
      <c r="W550" s="49"/>
      <c r="X550" s="49"/>
      <c r="Y550" s="49"/>
      <c r="Z550" s="78">
        <f>ROUND(SUM(Z490:Z514)+SUM(Z520:Z544)+SUM(Z549:Z549),5)</f>
        <v>979664.82</v>
      </c>
      <c r="AA550" s="280"/>
      <c r="AB550" s="91">
        <f t="shared" ref="AB550:AG550" si="265">ROUND(SUM(AB490:AB514)+SUM(AB520:AB544)+SUM(AB549:AB549),5)</f>
        <v>1013580.17</v>
      </c>
      <c r="AC550" s="91">
        <f t="shared" si="265"/>
        <v>983580.17</v>
      </c>
      <c r="AD550" s="91">
        <f t="shared" si="265"/>
        <v>986099.17</v>
      </c>
      <c r="AE550" s="91">
        <f t="shared" si="265"/>
        <v>985787.17</v>
      </c>
      <c r="AF550" s="91">
        <f t="shared" si="265"/>
        <v>1047700.03</v>
      </c>
      <c r="AG550" s="91">
        <f t="shared" si="265"/>
        <v>1086582</v>
      </c>
      <c r="AH550" s="91">
        <f t="shared" ref="AH550:AK550" si="266">ROUND(SUM(AH490:AH514)+SUM(AH520:AH544)+SUM(AH549:AH549),5)</f>
        <v>1068876.6299999999</v>
      </c>
      <c r="AI550" s="91">
        <f t="shared" si="266"/>
        <v>1066329.6299999999</v>
      </c>
      <c r="AJ550" s="91">
        <f t="shared" si="266"/>
        <v>1066465</v>
      </c>
      <c r="AK550" s="266">
        <f t="shared" si="266"/>
        <v>1074475</v>
      </c>
      <c r="AM550" s="270">
        <f t="shared" ref="AM550" si="267">ROUND(SUM(AM490:AM514)+SUM(AM520:AM544)+SUM(AM549:AM549),5)</f>
        <v>1064698</v>
      </c>
      <c r="AO550"/>
      <c r="AQ550"/>
      <c r="AR550"/>
      <c r="AS550"/>
    </row>
    <row r="551" spans="1:45" x14ac:dyDescent="0.35">
      <c r="A551" s="66"/>
      <c r="B551" s="66"/>
      <c r="C551" s="49"/>
      <c r="D551" s="49" t="s">
        <v>545</v>
      </c>
      <c r="E551" s="49"/>
      <c r="F551" s="49"/>
      <c r="G551" s="49"/>
      <c r="H551" s="63"/>
      <c r="I551" s="63"/>
      <c r="J551" s="64"/>
      <c r="K551" s="64"/>
      <c r="L551" s="65"/>
      <c r="M551" s="65"/>
      <c r="N551" s="66"/>
      <c r="O551" s="66"/>
      <c r="P551" s="69"/>
      <c r="Q551" s="69"/>
      <c r="R551" s="294"/>
      <c r="S551" s="49"/>
      <c r="T551" s="49"/>
      <c r="U551" s="49"/>
      <c r="V551" s="49" t="s">
        <v>545</v>
      </c>
      <c r="W551" s="49"/>
      <c r="X551" s="49"/>
      <c r="Y551" s="49"/>
      <c r="Z551" s="66"/>
      <c r="AA551" s="280"/>
      <c r="AB551" s="66"/>
      <c r="AC551" s="66"/>
      <c r="AD551" s="66"/>
      <c r="AE551" s="66"/>
      <c r="AF551" s="66"/>
      <c r="AG551" s="66"/>
      <c r="AH551" s="66"/>
      <c r="AI551" s="66"/>
      <c r="AJ551" s="66"/>
      <c r="AK551" s="66"/>
      <c r="AM551" s="66"/>
    </row>
    <row r="552" spans="1:45" ht="16" thickBot="1" x14ac:dyDescent="0.4">
      <c r="A552" s="66"/>
      <c r="B552" s="66"/>
      <c r="C552" s="49"/>
      <c r="D552" s="49"/>
      <c r="E552" s="49" t="s">
        <v>546</v>
      </c>
      <c r="F552" s="49"/>
      <c r="G552" s="49"/>
      <c r="H552" s="63">
        <v>4568.2</v>
      </c>
      <c r="I552" s="63">
        <v>20000</v>
      </c>
      <c r="J552" s="64">
        <v>4000.49</v>
      </c>
      <c r="K552" s="64">
        <v>30000</v>
      </c>
      <c r="L552" s="65">
        <v>22812.77</v>
      </c>
      <c r="M552" s="65">
        <v>10000</v>
      </c>
      <c r="N552" s="66">
        <f t="shared" ref="N552:O555" si="268">ROUND(H552+J552+L552,5)</f>
        <v>31381.46</v>
      </c>
      <c r="O552" s="66">
        <f t="shared" si="268"/>
        <v>60000</v>
      </c>
      <c r="P552" s="69">
        <f t="shared" si="253"/>
        <v>10460.486666666666</v>
      </c>
      <c r="Q552" s="69">
        <f t="shared" si="253"/>
        <v>20000</v>
      </c>
      <c r="R552" s="294"/>
      <c r="S552" s="49"/>
      <c r="T552" s="49"/>
      <c r="U552" s="49"/>
      <c r="V552" s="49"/>
      <c r="W552" s="49" t="s">
        <v>546</v>
      </c>
      <c r="X552" s="49"/>
      <c r="Y552" s="49"/>
      <c r="Z552" s="66">
        <v>15000</v>
      </c>
      <c r="AA552" s="280"/>
      <c r="AB552" s="66">
        <v>10000</v>
      </c>
      <c r="AC552" s="66">
        <v>10000</v>
      </c>
      <c r="AD552" s="66">
        <v>10000</v>
      </c>
      <c r="AE552" s="66">
        <v>10000</v>
      </c>
      <c r="AF552" s="66">
        <v>10000</v>
      </c>
      <c r="AG552" s="66">
        <v>10000</v>
      </c>
      <c r="AH552" s="66">
        <v>10000</v>
      </c>
      <c r="AI552" s="66">
        <v>10000</v>
      </c>
      <c r="AJ552" s="66">
        <v>10000</v>
      </c>
      <c r="AK552" s="66">
        <v>10000</v>
      </c>
      <c r="AM552" s="66">
        <v>10000</v>
      </c>
    </row>
    <row r="553" spans="1:45" ht="16" thickBot="1" x14ac:dyDescent="0.4">
      <c r="A553" s="66"/>
      <c r="B553" s="66"/>
      <c r="C553" s="49"/>
      <c r="D553" s="49" t="s">
        <v>547</v>
      </c>
      <c r="E553" s="49"/>
      <c r="F553" s="49"/>
      <c r="G553" s="49"/>
      <c r="H553" s="75">
        <f t="shared" ref="H553:M553" si="269">ROUND(SUM(H551:H552),5)</f>
        <v>4568.2</v>
      </c>
      <c r="I553" s="75">
        <f t="shared" si="269"/>
        <v>20000</v>
      </c>
      <c r="J553" s="76">
        <f t="shared" si="269"/>
        <v>4000.49</v>
      </c>
      <c r="K553" s="76">
        <f t="shared" si="269"/>
        <v>30000</v>
      </c>
      <c r="L553" s="77">
        <f t="shared" si="269"/>
        <v>22812.77</v>
      </c>
      <c r="M553" s="77">
        <f t="shared" si="269"/>
        <v>10000</v>
      </c>
      <c r="N553" s="78">
        <f t="shared" si="268"/>
        <v>31381.46</v>
      </c>
      <c r="O553" s="78">
        <f t="shared" si="268"/>
        <v>60000</v>
      </c>
      <c r="P553" s="79">
        <f t="shared" si="253"/>
        <v>10460.486666666666</v>
      </c>
      <c r="Q553" s="79">
        <f t="shared" si="253"/>
        <v>20000</v>
      </c>
      <c r="R553" s="294"/>
      <c r="S553" s="49"/>
      <c r="T553" s="49"/>
      <c r="U553" s="49"/>
      <c r="V553" s="49" t="s">
        <v>547</v>
      </c>
      <c r="W553" s="49"/>
      <c r="X553" s="49"/>
      <c r="Y553" s="49"/>
      <c r="Z553" s="78">
        <f>ROUND(SUM(Z551:Z552),5)</f>
        <v>15000</v>
      </c>
      <c r="AA553" s="280"/>
      <c r="AB553" s="91">
        <f t="shared" ref="AB553:AK553" si="270">ROUND(SUM(AB551:AB552),5)</f>
        <v>10000</v>
      </c>
      <c r="AC553" s="91">
        <f t="shared" si="270"/>
        <v>10000</v>
      </c>
      <c r="AD553" s="91">
        <f t="shared" si="270"/>
        <v>10000</v>
      </c>
      <c r="AE553" s="91">
        <f t="shared" si="270"/>
        <v>10000</v>
      </c>
      <c r="AF553" s="91">
        <f t="shared" si="270"/>
        <v>10000</v>
      </c>
      <c r="AG553" s="91">
        <f t="shared" si="270"/>
        <v>10000</v>
      </c>
      <c r="AH553" s="91">
        <f t="shared" si="270"/>
        <v>10000</v>
      </c>
      <c r="AI553" s="91">
        <f t="shared" si="270"/>
        <v>10000</v>
      </c>
      <c r="AJ553" s="91">
        <f t="shared" si="270"/>
        <v>10000</v>
      </c>
      <c r="AK553" s="266">
        <f t="shared" si="270"/>
        <v>10000</v>
      </c>
      <c r="AM553" s="270">
        <f t="shared" ref="AM553" si="271">ROUND(SUM(AM551:AM552),5)</f>
        <v>10000</v>
      </c>
    </row>
    <row r="554" spans="1:45" ht="16" thickBot="1" x14ac:dyDescent="0.4">
      <c r="A554" s="66"/>
      <c r="B554" s="66"/>
      <c r="C554" s="49" t="s">
        <v>548</v>
      </c>
      <c r="D554" s="49"/>
      <c r="E554" s="49"/>
      <c r="F554" s="49"/>
      <c r="G554" s="49"/>
      <c r="H554" s="83">
        <f t="shared" ref="H554:M554" si="272">ROUND(H221+H225+H364+H371+H376+H428+H489+H550+H553,5)</f>
        <v>4602596.84</v>
      </c>
      <c r="I554" s="83">
        <f t="shared" si="272"/>
        <v>4826439.17</v>
      </c>
      <c r="J554" s="84">
        <f t="shared" si="272"/>
        <v>5124859.8899999997</v>
      </c>
      <c r="K554" s="84">
        <f t="shared" si="272"/>
        <v>4876753.51</v>
      </c>
      <c r="L554" s="85">
        <f t="shared" si="272"/>
        <v>5236566.88</v>
      </c>
      <c r="M554" s="85">
        <f t="shared" si="272"/>
        <v>5167354.4800000004</v>
      </c>
      <c r="N554" s="86">
        <f t="shared" si="268"/>
        <v>14964023.609999999</v>
      </c>
      <c r="O554" s="86">
        <f t="shared" si="268"/>
        <v>14870547.16</v>
      </c>
      <c r="P554" s="87">
        <f t="shared" si="253"/>
        <v>4988007.87</v>
      </c>
      <c r="Q554" s="87">
        <f t="shared" si="253"/>
        <v>4956849.0533333337</v>
      </c>
      <c r="R554" s="294"/>
      <c r="S554" s="49"/>
      <c r="T554" s="49"/>
      <c r="U554" s="49" t="s">
        <v>548</v>
      </c>
      <c r="V554" s="49"/>
      <c r="W554" s="49"/>
      <c r="X554" s="49"/>
      <c r="Y554" s="49"/>
      <c r="Z554" s="86">
        <f>ROUND(Z221+Z225+Z364+Z371+Z376+Z428+Z489+Z550+Z553,5)</f>
        <v>5275555.82</v>
      </c>
      <c r="AA554" s="280"/>
      <c r="AB554" s="86">
        <f t="shared" ref="AB554:AI554" si="273">ROUND(AB221+AB225+AB364+AB371+AB376+AB428+AB489+AB550+AB553,5)</f>
        <v>5504831.5764199998</v>
      </c>
      <c r="AC554" s="86">
        <f t="shared" si="273"/>
        <v>5320349.5814199997</v>
      </c>
      <c r="AD554" s="86">
        <f t="shared" si="273"/>
        <v>5361614.52202</v>
      </c>
      <c r="AE554" s="86">
        <f t="shared" si="273"/>
        <v>5353153.41</v>
      </c>
      <c r="AF554" s="86">
        <f t="shared" si="273"/>
        <v>5504490.165</v>
      </c>
      <c r="AG554" s="86">
        <f t="shared" si="273"/>
        <v>5616355.9950000001</v>
      </c>
      <c r="AH554" s="86">
        <f t="shared" si="273"/>
        <v>5723650.625</v>
      </c>
      <c r="AI554" s="86">
        <f t="shared" si="273"/>
        <v>5695203.625</v>
      </c>
      <c r="AJ554" s="86">
        <f>ROUND(AJ221+AJ225+AJ364+AJ371+AJ376+AJ428+AJ489+AJ550+AJ553,0)</f>
        <v>5626839</v>
      </c>
      <c r="AK554" s="86">
        <f>ROUND(AK221+AK225+AK364+AK371+AK376+AK428+AK489+AK550+AK553,0)</f>
        <v>5603969</v>
      </c>
      <c r="AM554" s="86">
        <f>ROUND(AM221+AM225+AM364+AM371+AM376+AM428+AM489+AM550+AM553,0)</f>
        <v>5596467</v>
      </c>
    </row>
    <row r="555" spans="1:45" x14ac:dyDescent="0.35">
      <c r="A555" s="66"/>
      <c r="B555" s="66" t="s">
        <v>549</v>
      </c>
      <c r="C555" s="49"/>
      <c r="D555" s="49"/>
      <c r="E555" s="49"/>
      <c r="F555" s="49"/>
      <c r="G555" s="49"/>
      <c r="H555" s="63">
        <f t="shared" ref="H555:M555" si="274">ROUND(H5+H220-H554,5)</f>
        <v>-92592.2</v>
      </c>
      <c r="I555" s="63">
        <f t="shared" si="274"/>
        <v>8714.58</v>
      </c>
      <c r="J555" s="64">
        <f t="shared" si="274"/>
        <v>-187378.98</v>
      </c>
      <c r="K555" s="64">
        <f t="shared" si="274"/>
        <v>826.41</v>
      </c>
      <c r="L555" s="65">
        <f t="shared" si="274"/>
        <v>-21575.47</v>
      </c>
      <c r="M555" s="65">
        <f t="shared" si="274"/>
        <v>354.02</v>
      </c>
      <c r="N555" s="66">
        <f t="shared" si="268"/>
        <v>-301546.65000000002</v>
      </c>
      <c r="O555" s="66">
        <f t="shared" si="268"/>
        <v>9895.01</v>
      </c>
      <c r="P555" s="69">
        <f t="shared" si="253"/>
        <v>-100515.55</v>
      </c>
      <c r="Q555" s="69">
        <f t="shared" si="253"/>
        <v>3298.3366666666666</v>
      </c>
      <c r="R555" s="294"/>
      <c r="S555" s="49"/>
      <c r="T555" s="49" t="s">
        <v>549</v>
      </c>
      <c r="U555" s="49"/>
      <c r="V555" s="49"/>
      <c r="W555" s="49"/>
      <c r="X555" s="49"/>
      <c r="Y555" s="49"/>
      <c r="Z555" s="66">
        <f>ROUND(Z5+Z220-Z554,5)</f>
        <v>811.37</v>
      </c>
      <c r="AA555" s="280"/>
      <c r="AB555" s="66">
        <f t="shared" ref="AB555:AF555" si="275">ROUND(AB5+AB220-AB554,5)</f>
        <v>-193160.46642000001</v>
      </c>
      <c r="AC555" s="66">
        <f t="shared" si="275"/>
        <v>-8678.4714199999999</v>
      </c>
      <c r="AD555" s="66">
        <f t="shared" si="275"/>
        <v>15325.98798</v>
      </c>
      <c r="AE555" s="66">
        <f t="shared" si="275"/>
        <v>3787.1</v>
      </c>
      <c r="AF555" s="66">
        <f t="shared" si="275"/>
        <v>5642.0349999999999</v>
      </c>
      <c r="AG555" s="66">
        <f>ROUND(AG5+AG220-AG554,0)</f>
        <v>-17387</v>
      </c>
      <c r="AH555" s="66">
        <f>ROUND(AH5+AH220-AH554,0)</f>
        <v>20318</v>
      </c>
      <c r="AI555" s="66">
        <f>ROUND(AI5+AI220-AI554,0)</f>
        <v>-17235</v>
      </c>
      <c r="AJ555" s="66">
        <f>ROUND(AJ5+AJ220-AJ554,0)</f>
        <v>54630</v>
      </c>
      <c r="AK555" s="66">
        <f>ROUND(AK5+AK220-AK554,0)</f>
        <v>119600</v>
      </c>
      <c r="AM555" s="66">
        <f>ROUND(AM5+AM220-AM554,0)</f>
        <v>49977</v>
      </c>
    </row>
    <row r="556" spans="1:45" x14ac:dyDescent="0.35">
      <c r="A556" s="66"/>
      <c r="B556" s="66" t="s">
        <v>550</v>
      </c>
      <c r="C556" s="49"/>
      <c r="D556" s="49"/>
      <c r="E556" s="49"/>
      <c r="F556" s="49"/>
      <c r="G556" s="49"/>
      <c r="H556" s="63"/>
      <c r="I556" s="63"/>
      <c r="J556" s="64"/>
      <c r="K556" s="64"/>
      <c r="L556" s="65"/>
      <c r="M556" s="65"/>
      <c r="N556" s="66"/>
      <c r="O556" s="66"/>
      <c r="P556" s="69"/>
      <c r="Q556" s="69"/>
      <c r="R556" s="294"/>
      <c r="S556" s="49"/>
      <c r="T556" s="49" t="s">
        <v>550</v>
      </c>
      <c r="U556" s="49"/>
      <c r="V556" s="49"/>
      <c r="W556" s="49"/>
      <c r="X556" s="49"/>
      <c r="Y556" s="49"/>
      <c r="Z556" s="66"/>
      <c r="AA556" s="280"/>
      <c r="AB556" s="66"/>
      <c r="AC556" s="66"/>
      <c r="AD556" s="66"/>
      <c r="AE556" s="66"/>
      <c r="AF556" s="66"/>
      <c r="AG556" s="66"/>
      <c r="AH556" s="66"/>
      <c r="AI556" s="66"/>
      <c r="AJ556" s="66"/>
      <c r="AK556" s="66"/>
      <c r="AM556" s="66"/>
    </row>
    <row r="557" spans="1:45" x14ac:dyDescent="0.35">
      <c r="A557" s="66"/>
      <c r="B557" s="66"/>
      <c r="C557" s="49" t="s">
        <v>551</v>
      </c>
      <c r="D557" s="49"/>
      <c r="E557" s="49"/>
      <c r="F557" s="49"/>
      <c r="G557" s="49"/>
      <c r="H557" s="63"/>
      <c r="I557" s="63"/>
      <c r="J557" s="64"/>
      <c r="K557" s="64"/>
      <c r="L557" s="65"/>
      <c r="M557" s="65"/>
      <c r="N557" s="66"/>
      <c r="O557" s="66"/>
      <c r="P557" s="69"/>
      <c r="Q557" s="69"/>
      <c r="R557" s="294"/>
      <c r="S557" s="49"/>
      <c r="T557" s="49"/>
      <c r="U557" s="49" t="s">
        <v>551</v>
      </c>
      <c r="V557" s="49"/>
      <c r="W557" s="49"/>
      <c r="X557" s="49"/>
      <c r="Y557" s="49"/>
      <c r="Z557" s="66"/>
      <c r="AA557" s="280"/>
      <c r="AB557" s="66"/>
      <c r="AC557" s="66"/>
      <c r="AD557" s="66"/>
      <c r="AE557" s="66"/>
      <c r="AF557" s="66"/>
      <c r="AG557" s="66"/>
      <c r="AH557" s="66"/>
      <c r="AI557" s="66"/>
      <c r="AJ557" s="66"/>
      <c r="AK557" s="66"/>
      <c r="AM557" s="66"/>
    </row>
    <row r="558" spans="1:45" x14ac:dyDescent="0.35">
      <c r="A558" s="66"/>
      <c r="B558" s="66"/>
      <c r="C558" s="49"/>
      <c r="D558" s="49" t="s">
        <v>552</v>
      </c>
      <c r="E558" s="49"/>
      <c r="F558" s="49"/>
      <c r="G558" s="49"/>
      <c r="H558" s="63">
        <v>288386.05</v>
      </c>
      <c r="I558" s="63">
        <v>0</v>
      </c>
      <c r="J558" s="64">
        <v>313714.26</v>
      </c>
      <c r="K558" s="64">
        <v>0</v>
      </c>
      <c r="L558" s="65">
        <v>363433.03</v>
      </c>
      <c r="M558" s="65">
        <v>0</v>
      </c>
      <c r="N558" s="66">
        <f>ROUND(H558+J558+L558,5)</f>
        <v>965533.34</v>
      </c>
      <c r="O558" s="66">
        <f>ROUND(I558+K558+M558,5)</f>
        <v>0</v>
      </c>
      <c r="P558" s="69">
        <f t="shared" si="253"/>
        <v>321844.44666666666</v>
      </c>
      <c r="Q558" s="69">
        <f t="shared" si="253"/>
        <v>0</v>
      </c>
      <c r="R558" s="294"/>
      <c r="S558" s="49"/>
      <c r="T558" s="49"/>
      <c r="U558" s="49"/>
      <c r="V558" s="49" t="s">
        <v>552</v>
      </c>
      <c r="W558" s="49"/>
      <c r="X558" s="49"/>
      <c r="Y558" s="49"/>
      <c r="Z558" s="66"/>
      <c r="AA558" s="280"/>
      <c r="AB558" s="66"/>
      <c r="AC558" s="66"/>
      <c r="AD558" s="66"/>
      <c r="AE558" s="66"/>
      <c r="AF558" s="66"/>
      <c r="AG558" s="66"/>
      <c r="AH558" s="66"/>
      <c r="AI558" s="66"/>
      <c r="AJ558" s="66"/>
      <c r="AK558" s="66"/>
      <c r="AM558" s="66"/>
    </row>
    <row r="559" spans="1:45" x14ac:dyDescent="0.35">
      <c r="A559" s="66"/>
      <c r="B559" s="66"/>
      <c r="C559" s="49"/>
      <c r="D559" s="49" t="s">
        <v>553</v>
      </c>
      <c r="E559" s="49"/>
      <c r="F559" s="49"/>
      <c r="G559" s="49"/>
      <c r="H559" s="63"/>
      <c r="I559" s="63"/>
      <c r="J559" s="64"/>
      <c r="K559" s="64"/>
      <c r="L559" s="65"/>
      <c r="M559" s="65"/>
      <c r="N559" s="66"/>
      <c r="O559" s="66"/>
      <c r="P559" s="69"/>
      <c r="Q559" s="69"/>
      <c r="R559" s="294"/>
      <c r="S559" s="49"/>
      <c r="T559" s="49"/>
      <c r="U559" s="49"/>
      <c r="V559" s="49" t="s">
        <v>553</v>
      </c>
      <c r="W559" s="49"/>
      <c r="X559" s="49"/>
      <c r="Y559" s="49"/>
      <c r="Z559" s="66"/>
      <c r="AA559" s="280"/>
      <c r="AB559" s="66"/>
      <c r="AC559" s="66"/>
      <c r="AD559" s="66"/>
      <c r="AE559" s="66"/>
      <c r="AF559" s="66"/>
      <c r="AG559" s="66"/>
      <c r="AH559" s="66"/>
      <c r="AI559" s="66"/>
      <c r="AJ559" s="66"/>
      <c r="AK559" s="66"/>
      <c r="AM559" s="66"/>
    </row>
    <row r="560" spans="1:45" x14ac:dyDescent="0.35">
      <c r="A560" s="66"/>
      <c r="B560" s="66"/>
      <c r="C560" s="49"/>
      <c r="D560" s="49"/>
      <c r="E560" s="49" t="s">
        <v>554</v>
      </c>
      <c r="F560" s="49"/>
      <c r="G560" s="49"/>
      <c r="H560" s="63">
        <v>0</v>
      </c>
      <c r="I560" s="63">
        <v>0</v>
      </c>
      <c r="J560" s="64">
        <v>0</v>
      </c>
      <c r="K560" s="64">
        <v>0</v>
      </c>
      <c r="L560" s="65">
        <v>0</v>
      </c>
      <c r="M560" s="65">
        <v>0</v>
      </c>
      <c r="N560" s="66">
        <f t="shared" ref="N560:O565" si="276">ROUND(H560+J560+L560,5)</f>
        <v>0</v>
      </c>
      <c r="O560" s="66">
        <f t="shared" si="276"/>
        <v>0</v>
      </c>
      <c r="P560" s="69">
        <f t="shared" si="253"/>
        <v>0</v>
      </c>
      <c r="Q560" s="69">
        <f t="shared" si="253"/>
        <v>0</v>
      </c>
      <c r="R560" s="294"/>
      <c r="S560" s="49"/>
      <c r="T560" s="49"/>
      <c r="U560" s="49"/>
      <c r="V560" s="49"/>
      <c r="W560" s="49" t="s">
        <v>554</v>
      </c>
      <c r="X560" s="49"/>
      <c r="Y560" s="49"/>
      <c r="Z560" s="66"/>
      <c r="AA560" s="280"/>
      <c r="AB560" s="66"/>
      <c r="AC560" s="66"/>
      <c r="AD560" s="66"/>
      <c r="AE560" s="66"/>
      <c r="AF560" s="66"/>
      <c r="AG560" s="66"/>
      <c r="AH560" s="66"/>
      <c r="AI560" s="66"/>
      <c r="AJ560" s="66"/>
      <c r="AK560" s="66"/>
      <c r="AM560" s="66"/>
    </row>
    <row r="561" spans="1:39" x14ac:dyDescent="0.35">
      <c r="A561" s="66"/>
      <c r="B561" s="66"/>
      <c r="C561" s="49"/>
      <c r="D561" s="49"/>
      <c r="E561" s="49" t="s">
        <v>555</v>
      </c>
      <c r="F561" s="49"/>
      <c r="G561" s="49"/>
      <c r="H561" s="63">
        <v>0</v>
      </c>
      <c r="I561" s="63">
        <v>0</v>
      </c>
      <c r="J561" s="64">
        <v>0</v>
      </c>
      <c r="K561" s="64">
        <v>0</v>
      </c>
      <c r="L561" s="65">
        <v>0</v>
      </c>
      <c r="M561" s="65">
        <v>0</v>
      </c>
      <c r="N561" s="66">
        <f t="shared" si="276"/>
        <v>0</v>
      </c>
      <c r="O561" s="66">
        <f t="shared" si="276"/>
        <v>0</v>
      </c>
      <c r="P561" s="69">
        <f t="shared" si="253"/>
        <v>0</v>
      </c>
      <c r="Q561" s="69">
        <f t="shared" si="253"/>
        <v>0</v>
      </c>
      <c r="R561" s="294"/>
      <c r="S561" s="49"/>
      <c r="T561" s="49"/>
      <c r="U561" s="49"/>
      <c r="V561" s="49"/>
      <c r="W561" s="49" t="s">
        <v>555</v>
      </c>
      <c r="X561" s="49"/>
      <c r="Y561" s="49"/>
      <c r="Z561" s="66"/>
      <c r="AA561" s="280"/>
      <c r="AB561" s="66"/>
      <c r="AC561" s="66"/>
      <c r="AD561" s="66"/>
      <c r="AE561" s="66"/>
      <c r="AF561" s="66"/>
      <c r="AG561" s="66"/>
      <c r="AH561" s="66"/>
      <c r="AI561" s="66"/>
      <c r="AJ561" s="66"/>
      <c r="AK561" s="66"/>
      <c r="AM561" s="66"/>
    </row>
    <row r="562" spans="1:39" x14ac:dyDescent="0.35">
      <c r="A562" s="66"/>
      <c r="B562" s="66"/>
      <c r="C562" s="49"/>
      <c r="D562" s="49"/>
      <c r="E562" s="49" t="s">
        <v>556</v>
      </c>
      <c r="F562" s="49"/>
      <c r="G562" s="49"/>
      <c r="H562" s="63">
        <v>10930.61</v>
      </c>
      <c r="I562" s="63">
        <v>0</v>
      </c>
      <c r="J562" s="64">
        <v>16392.32</v>
      </c>
      <c r="K562" s="64">
        <v>0</v>
      </c>
      <c r="L562" s="65">
        <v>17337.490000000002</v>
      </c>
      <c r="M562" s="65">
        <v>0</v>
      </c>
      <c r="N562" s="66">
        <f t="shared" si="276"/>
        <v>44660.42</v>
      </c>
      <c r="O562" s="66">
        <f t="shared" si="276"/>
        <v>0</v>
      </c>
      <c r="P562" s="69">
        <f t="shared" si="253"/>
        <v>14886.806666666665</v>
      </c>
      <c r="Q562" s="69">
        <f t="shared" si="253"/>
        <v>0</v>
      </c>
      <c r="R562" s="294"/>
      <c r="S562" s="49"/>
      <c r="T562" s="49"/>
      <c r="U562" s="49"/>
      <c r="V562" s="49"/>
      <c r="W562" s="49" t="s">
        <v>556</v>
      </c>
      <c r="X562" s="49"/>
      <c r="Y562" s="49"/>
      <c r="Z562" s="66"/>
      <c r="AA562" s="280"/>
      <c r="AB562" s="66"/>
      <c r="AC562" s="66"/>
      <c r="AD562" s="66"/>
      <c r="AE562" s="66"/>
      <c r="AF562" s="66"/>
      <c r="AG562" s="66"/>
      <c r="AH562" s="66"/>
      <c r="AI562" s="66"/>
      <c r="AJ562" s="66"/>
      <c r="AK562" s="66"/>
      <c r="AM562" s="66"/>
    </row>
    <row r="563" spans="1:39" x14ac:dyDescent="0.35">
      <c r="A563" s="66"/>
      <c r="B563" s="66"/>
      <c r="C563" s="49"/>
      <c r="D563" s="49"/>
      <c r="E563" s="49" t="s">
        <v>557</v>
      </c>
      <c r="F563" s="49"/>
      <c r="G563" s="49"/>
      <c r="H563" s="63">
        <v>12442.84</v>
      </c>
      <c r="I563" s="63">
        <v>0</v>
      </c>
      <c r="J563" s="64">
        <v>10602.84</v>
      </c>
      <c r="K563" s="64">
        <v>0</v>
      </c>
      <c r="L563" s="65">
        <v>10395.5</v>
      </c>
      <c r="M563" s="65">
        <v>0</v>
      </c>
      <c r="N563" s="66">
        <f t="shared" si="276"/>
        <v>33441.18</v>
      </c>
      <c r="O563" s="66">
        <f t="shared" si="276"/>
        <v>0</v>
      </c>
      <c r="P563" s="69">
        <f t="shared" si="253"/>
        <v>11147.06</v>
      </c>
      <c r="Q563" s="69">
        <f t="shared" si="253"/>
        <v>0</v>
      </c>
      <c r="R563" s="294"/>
      <c r="S563" s="49"/>
      <c r="T563" s="49"/>
      <c r="U563" s="49"/>
      <c r="V563" s="49"/>
      <c r="W563" s="49" t="s">
        <v>557</v>
      </c>
      <c r="X563" s="49"/>
      <c r="Y563" s="49"/>
      <c r="Z563" s="66"/>
      <c r="AA563" s="280"/>
      <c r="AB563" s="66"/>
      <c r="AC563" s="66"/>
      <c r="AD563" s="66"/>
      <c r="AE563" s="66"/>
      <c r="AF563" s="66"/>
      <c r="AG563" s="66"/>
      <c r="AH563" s="66"/>
      <c r="AI563" s="66"/>
      <c r="AJ563" s="66"/>
      <c r="AK563" s="66"/>
      <c r="AM563" s="66"/>
    </row>
    <row r="564" spans="1:39" ht="16" thickBot="1" x14ac:dyDescent="0.4">
      <c r="A564" s="66"/>
      <c r="B564" s="66"/>
      <c r="C564" s="49"/>
      <c r="D564" s="49"/>
      <c r="E564" s="49" t="s">
        <v>558</v>
      </c>
      <c r="F564" s="49"/>
      <c r="G564" s="49"/>
      <c r="H564" s="70">
        <v>1000</v>
      </c>
      <c r="I564" s="70">
        <v>0</v>
      </c>
      <c r="J564" s="71">
        <v>1000</v>
      </c>
      <c r="K564" s="64">
        <v>0</v>
      </c>
      <c r="L564" s="72">
        <v>1000</v>
      </c>
      <c r="M564" s="65">
        <v>0</v>
      </c>
      <c r="N564" s="73">
        <f t="shared" si="276"/>
        <v>3000</v>
      </c>
      <c r="O564" s="73">
        <f t="shared" si="276"/>
        <v>0</v>
      </c>
      <c r="P564" s="74">
        <f t="shared" si="253"/>
        <v>1000</v>
      </c>
      <c r="Q564" s="74">
        <f t="shared" si="253"/>
        <v>0</v>
      </c>
      <c r="R564" s="294"/>
      <c r="S564" s="49"/>
      <c r="T564" s="49"/>
      <c r="U564" s="49"/>
      <c r="V564" s="49"/>
      <c r="W564" s="49" t="s">
        <v>558</v>
      </c>
      <c r="X564" s="49"/>
      <c r="Y564" s="49"/>
      <c r="Z564" s="66"/>
      <c r="AA564" s="280"/>
      <c r="AB564" s="66"/>
      <c r="AC564" s="66"/>
      <c r="AD564" s="66"/>
      <c r="AE564" s="66"/>
      <c r="AF564" s="66"/>
      <c r="AG564" s="66"/>
      <c r="AH564" s="66"/>
      <c r="AI564" s="66"/>
      <c r="AJ564" s="66"/>
      <c r="AK564" s="66"/>
      <c r="AM564" s="66"/>
    </row>
    <row r="565" spans="1:39" x14ac:dyDescent="0.35">
      <c r="A565" s="66"/>
      <c r="B565" s="66"/>
      <c r="C565" s="49"/>
      <c r="D565" s="49" t="s">
        <v>559</v>
      </c>
      <c r="E565" s="49"/>
      <c r="F565" s="49"/>
      <c r="G565" s="49"/>
      <c r="H565" s="63">
        <f t="shared" ref="H565:M565" si="277">ROUND(SUM(H559:H564),5)</f>
        <v>24373.45</v>
      </c>
      <c r="I565" s="63">
        <f t="shared" si="277"/>
        <v>0</v>
      </c>
      <c r="J565" s="64">
        <f t="shared" si="277"/>
        <v>27995.16</v>
      </c>
      <c r="K565" s="76">
        <f t="shared" si="277"/>
        <v>0</v>
      </c>
      <c r="L565" s="65">
        <f t="shared" si="277"/>
        <v>28732.99</v>
      </c>
      <c r="M565" s="77">
        <f t="shared" si="277"/>
        <v>0</v>
      </c>
      <c r="N565" s="66">
        <f t="shared" si="276"/>
        <v>81101.600000000006</v>
      </c>
      <c r="O565" s="66">
        <f t="shared" si="276"/>
        <v>0</v>
      </c>
      <c r="P565" s="69">
        <f t="shared" si="253"/>
        <v>27033.866666666669</v>
      </c>
      <c r="Q565" s="69">
        <f t="shared" si="253"/>
        <v>0</v>
      </c>
      <c r="R565" s="294"/>
      <c r="S565" s="49"/>
      <c r="T565" s="49"/>
      <c r="U565" s="49"/>
      <c r="V565" s="49" t="s">
        <v>559</v>
      </c>
      <c r="W565" s="49"/>
      <c r="X565" s="49"/>
      <c r="Y565" s="49"/>
      <c r="Z565" s="66"/>
      <c r="AA565" s="280"/>
      <c r="AB565" s="66"/>
      <c r="AC565" s="66"/>
      <c r="AD565" s="66"/>
      <c r="AE565" s="66"/>
      <c r="AF565" s="66"/>
      <c r="AG565" s="66"/>
      <c r="AH565" s="66"/>
      <c r="AI565" s="66"/>
      <c r="AJ565" s="66"/>
      <c r="AK565" s="66"/>
      <c r="AM565" s="66"/>
    </row>
    <row r="566" spans="1:39" x14ac:dyDescent="0.35">
      <c r="A566" s="66"/>
      <c r="B566" s="66"/>
      <c r="C566" s="49"/>
      <c r="D566" s="49" t="s">
        <v>560</v>
      </c>
      <c r="E566" s="49"/>
      <c r="F566" s="49"/>
      <c r="G566" s="49"/>
      <c r="H566" s="63"/>
      <c r="I566" s="63"/>
      <c r="J566" s="64"/>
      <c r="K566" s="64"/>
      <c r="L566" s="65"/>
      <c r="M566" s="65"/>
      <c r="N566" s="66"/>
      <c r="O566" s="66"/>
      <c r="P566" s="69"/>
      <c r="Q566" s="69"/>
      <c r="R566" s="294"/>
      <c r="S566" s="49"/>
      <c r="T566" s="49"/>
      <c r="U566" s="49"/>
      <c r="V566" s="49" t="s">
        <v>560</v>
      </c>
      <c r="W566" s="49"/>
      <c r="X566" s="49"/>
      <c r="Y566" s="49"/>
      <c r="Z566" s="66"/>
      <c r="AA566" s="280"/>
      <c r="AB566" s="66"/>
      <c r="AC566" s="66"/>
      <c r="AD566" s="66"/>
      <c r="AE566" s="66"/>
      <c r="AF566" s="66"/>
      <c r="AG566" s="66"/>
      <c r="AH566" s="66"/>
      <c r="AI566" s="66"/>
      <c r="AJ566" s="66"/>
      <c r="AK566" s="66"/>
      <c r="AM566" s="66"/>
    </row>
    <row r="567" spans="1:39" x14ac:dyDescent="0.35">
      <c r="A567" s="66"/>
      <c r="B567" s="66"/>
      <c r="C567" s="49"/>
      <c r="D567" s="49"/>
      <c r="E567" s="49" t="s">
        <v>561</v>
      </c>
      <c r="F567" s="49"/>
      <c r="G567" s="49"/>
      <c r="H567" s="63">
        <v>558.27</v>
      </c>
      <c r="I567" s="63">
        <v>0</v>
      </c>
      <c r="J567" s="64">
        <v>-985.85</v>
      </c>
      <c r="K567" s="64">
        <v>0</v>
      </c>
      <c r="L567" s="65">
        <v>6774.89</v>
      </c>
      <c r="M567" s="65">
        <v>0</v>
      </c>
      <c r="N567" s="66">
        <f t="shared" ref="N567:O571" si="278">ROUND(H567+J567+L567,5)</f>
        <v>6347.31</v>
      </c>
      <c r="O567" s="66">
        <f t="shared" si="278"/>
        <v>0</v>
      </c>
      <c r="P567" s="69">
        <f t="shared" si="253"/>
        <v>2115.77</v>
      </c>
      <c r="Q567" s="69">
        <f t="shared" si="253"/>
        <v>0</v>
      </c>
      <c r="R567" s="294"/>
      <c r="S567" s="49"/>
      <c r="T567" s="49"/>
      <c r="U567" s="49"/>
      <c r="V567" s="49"/>
      <c r="W567" s="49" t="s">
        <v>561</v>
      </c>
      <c r="X567" s="49"/>
      <c r="Y567" s="49"/>
      <c r="Z567" s="66"/>
      <c r="AA567" s="280"/>
      <c r="AB567" s="66"/>
      <c r="AC567" s="66"/>
      <c r="AD567" s="66"/>
      <c r="AE567" s="66"/>
      <c r="AF567" s="66"/>
      <c r="AG567" s="66"/>
      <c r="AH567" s="66"/>
      <c r="AI567" s="66"/>
      <c r="AJ567" s="66"/>
      <c r="AK567" s="66"/>
      <c r="AM567" s="66"/>
    </row>
    <row r="568" spans="1:39" x14ac:dyDescent="0.35">
      <c r="A568" s="66"/>
      <c r="B568" s="66"/>
      <c r="C568" s="49"/>
      <c r="D568" s="49"/>
      <c r="E568" s="49" t="s">
        <v>562</v>
      </c>
      <c r="F568" s="49"/>
      <c r="G568" s="49"/>
      <c r="H568" s="63">
        <v>0</v>
      </c>
      <c r="I568" s="63">
        <v>0</v>
      </c>
      <c r="J568" s="64">
        <v>0</v>
      </c>
      <c r="K568" s="64">
        <v>0</v>
      </c>
      <c r="L568" s="65">
        <v>-58.71</v>
      </c>
      <c r="M568" s="65">
        <v>0</v>
      </c>
      <c r="N568" s="66">
        <f t="shared" si="278"/>
        <v>-58.71</v>
      </c>
      <c r="O568" s="66">
        <f t="shared" si="278"/>
        <v>0</v>
      </c>
      <c r="P568" s="69">
        <f t="shared" si="253"/>
        <v>-19.57</v>
      </c>
      <c r="Q568" s="69">
        <f t="shared" si="253"/>
        <v>0</v>
      </c>
      <c r="R568" s="294"/>
      <c r="S568" s="49"/>
      <c r="T568" s="49"/>
      <c r="U568" s="49"/>
      <c r="V568" s="49"/>
      <c r="W568" s="49" t="s">
        <v>562</v>
      </c>
      <c r="X568" s="49"/>
      <c r="Y568" s="49"/>
      <c r="Z568" s="66"/>
      <c r="AA568" s="280"/>
      <c r="AB568" s="66"/>
      <c r="AC568" s="66"/>
      <c r="AD568" s="66"/>
      <c r="AE568" s="66"/>
      <c r="AF568" s="66"/>
      <c r="AG568" s="66"/>
      <c r="AH568" s="66"/>
      <c r="AI568" s="66"/>
      <c r="AJ568" s="66"/>
      <c r="AK568" s="66"/>
      <c r="AM568" s="66"/>
    </row>
    <row r="569" spans="1:39" ht="16" thickBot="1" x14ac:dyDescent="0.4">
      <c r="A569" s="66"/>
      <c r="B569" s="66"/>
      <c r="C569" s="49"/>
      <c r="D569" s="49"/>
      <c r="E569" s="49" t="s">
        <v>563</v>
      </c>
      <c r="F569" s="49"/>
      <c r="G569" s="49"/>
      <c r="H569" s="63">
        <v>136732.6</v>
      </c>
      <c r="I569" s="63">
        <v>0</v>
      </c>
      <c r="J569" s="64">
        <v>235676.86</v>
      </c>
      <c r="K569" s="64">
        <v>0</v>
      </c>
      <c r="L569" s="65">
        <v>195303.78</v>
      </c>
      <c r="M569" s="65">
        <v>0</v>
      </c>
      <c r="N569" s="66">
        <f t="shared" si="278"/>
        <v>567713.24</v>
      </c>
      <c r="O569" s="66">
        <f t="shared" si="278"/>
        <v>0</v>
      </c>
      <c r="P569" s="69">
        <f t="shared" si="253"/>
        <v>189237.74666666667</v>
      </c>
      <c r="Q569" s="69">
        <f t="shared" si="253"/>
        <v>0</v>
      </c>
      <c r="R569" s="294"/>
      <c r="S569" s="49"/>
      <c r="T569" s="49"/>
      <c r="U569" s="49"/>
      <c r="V569" s="49"/>
      <c r="W569" s="49" t="s">
        <v>563</v>
      </c>
      <c r="X569" s="49"/>
      <c r="Y569" s="49"/>
      <c r="Z569" s="66"/>
      <c r="AA569" s="280"/>
      <c r="AB569" s="66"/>
      <c r="AC569" s="66"/>
      <c r="AD569" s="66"/>
      <c r="AE569" s="66"/>
      <c r="AF569" s="66"/>
      <c r="AG569" s="66"/>
      <c r="AH569" s="66"/>
      <c r="AI569" s="66"/>
      <c r="AJ569" s="66"/>
      <c r="AK569" s="66"/>
      <c r="AM569" s="66"/>
    </row>
    <row r="570" spans="1:39" ht="16" thickBot="1" x14ac:dyDescent="0.4">
      <c r="A570" s="66"/>
      <c r="B570" s="66"/>
      <c r="C570" s="49"/>
      <c r="D570" s="49" t="s">
        <v>564</v>
      </c>
      <c r="E570" s="49"/>
      <c r="F570" s="49"/>
      <c r="G570" s="49"/>
      <c r="H570" s="83">
        <f t="shared" ref="H570:M570" si="279">ROUND(SUM(H566:H569),5)</f>
        <v>137290.87</v>
      </c>
      <c r="I570" s="83">
        <f t="shared" si="279"/>
        <v>0</v>
      </c>
      <c r="J570" s="84">
        <f t="shared" si="279"/>
        <v>234691.01</v>
      </c>
      <c r="K570" s="84">
        <f t="shared" si="279"/>
        <v>0</v>
      </c>
      <c r="L570" s="85">
        <f t="shared" si="279"/>
        <v>202019.96</v>
      </c>
      <c r="M570" s="85">
        <f t="shared" si="279"/>
        <v>0</v>
      </c>
      <c r="N570" s="86">
        <f t="shared" si="278"/>
        <v>574001.84</v>
      </c>
      <c r="O570" s="86">
        <f t="shared" si="278"/>
        <v>0</v>
      </c>
      <c r="P570" s="87">
        <f t="shared" si="253"/>
        <v>191333.94666666666</v>
      </c>
      <c r="Q570" s="87">
        <f t="shared" si="253"/>
        <v>0</v>
      </c>
      <c r="R570" s="294"/>
      <c r="S570" s="49"/>
      <c r="T570" s="49"/>
      <c r="U570" s="49"/>
      <c r="V570" s="49" t="s">
        <v>564</v>
      </c>
      <c r="W570" s="49"/>
      <c r="X570" s="49"/>
      <c r="Y570" s="49"/>
      <c r="Z570" s="66"/>
      <c r="AA570" s="280"/>
      <c r="AB570" s="66"/>
      <c r="AC570" s="66"/>
      <c r="AD570" s="66"/>
      <c r="AE570" s="66"/>
      <c r="AF570" s="66"/>
      <c r="AG570" s="66"/>
      <c r="AH570" s="66"/>
      <c r="AI570" s="66"/>
      <c r="AJ570" s="66"/>
      <c r="AK570" s="66"/>
      <c r="AM570" s="66"/>
    </row>
    <row r="571" spans="1:39" x14ac:dyDescent="0.35">
      <c r="A571" s="66"/>
      <c r="B571" s="66"/>
      <c r="C571" s="49" t="s">
        <v>565</v>
      </c>
      <c r="D571" s="49"/>
      <c r="E571" s="49"/>
      <c r="F571" s="49"/>
      <c r="G571" s="49"/>
      <c r="H571" s="63">
        <f t="shared" ref="H571:M571" si="280">ROUND(SUM(H557:H558)+H565+H570,5)</f>
        <v>450050.37</v>
      </c>
      <c r="I571" s="63">
        <f t="shared" si="280"/>
        <v>0</v>
      </c>
      <c r="J571" s="64">
        <f t="shared" si="280"/>
        <v>576400.43000000005</v>
      </c>
      <c r="K571" s="64">
        <f t="shared" si="280"/>
        <v>0</v>
      </c>
      <c r="L571" s="65">
        <f t="shared" si="280"/>
        <v>594185.98</v>
      </c>
      <c r="M571" s="65">
        <f t="shared" si="280"/>
        <v>0</v>
      </c>
      <c r="N571" s="66">
        <f t="shared" si="278"/>
        <v>1620636.78</v>
      </c>
      <c r="O571" s="66">
        <f t="shared" si="278"/>
        <v>0</v>
      </c>
      <c r="P571" s="69">
        <f t="shared" si="253"/>
        <v>540212.26</v>
      </c>
      <c r="Q571" s="69">
        <f t="shared" si="253"/>
        <v>0</v>
      </c>
      <c r="R571" s="294"/>
      <c r="S571" s="49"/>
      <c r="T571" s="49"/>
      <c r="U571" s="49" t="s">
        <v>565</v>
      </c>
      <c r="V571" s="49"/>
      <c r="W571" s="49"/>
      <c r="X571" s="49"/>
      <c r="Y571" s="49"/>
      <c r="Z571" s="66"/>
      <c r="AA571" s="280"/>
      <c r="AB571" s="66"/>
      <c r="AC571" s="66"/>
      <c r="AD571" s="66"/>
      <c r="AE571" s="66"/>
      <c r="AF571" s="66"/>
      <c r="AG571" s="66"/>
      <c r="AH571" s="66"/>
      <c r="AI571" s="66"/>
      <c r="AJ571" s="66"/>
      <c r="AK571" s="66"/>
      <c r="AM571" s="66"/>
    </row>
    <row r="572" spans="1:39" x14ac:dyDescent="0.35">
      <c r="A572" s="66"/>
      <c r="B572" s="66"/>
      <c r="C572" s="49" t="s">
        <v>566</v>
      </c>
      <c r="D572" s="49"/>
      <c r="E572" s="49"/>
      <c r="F572" s="49"/>
      <c r="G572" s="49"/>
      <c r="H572" s="63"/>
      <c r="I572" s="63"/>
      <c r="J572" s="64"/>
      <c r="K572" s="64"/>
      <c r="L572" s="65"/>
      <c r="M572" s="65"/>
      <c r="N572" s="66"/>
      <c r="O572" s="66"/>
      <c r="P572" s="69"/>
      <c r="Q572" s="69"/>
      <c r="R572" s="294"/>
      <c r="S572" s="49"/>
      <c r="T572" s="49"/>
      <c r="U572" s="49" t="s">
        <v>566</v>
      </c>
      <c r="V572" s="49"/>
      <c r="W572" s="49"/>
      <c r="X572" s="49"/>
      <c r="Y572" s="49"/>
      <c r="Z572" s="66"/>
      <c r="AA572" s="280"/>
      <c r="AB572" s="66"/>
      <c r="AC572" s="66"/>
      <c r="AD572" s="66"/>
      <c r="AE572" s="66"/>
      <c r="AF572" s="66"/>
      <c r="AG572" s="66"/>
      <c r="AH572" s="66"/>
      <c r="AI572" s="66"/>
      <c r="AJ572" s="66"/>
      <c r="AK572" s="66"/>
      <c r="AM572" s="66"/>
    </row>
    <row r="573" spans="1:39" x14ac:dyDescent="0.35">
      <c r="A573" s="66"/>
      <c r="B573" s="66"/>
      <c r="C573" s="49"/>
      <c r="D573" s="49" t="s">
        <v>567</v>
      </c>
      <c r="E573" s="49"/>
      <c r="F573" s="49"/>
      <c r="G573" s="49"/>
      <c r="H573" s="63"/>
      <c r="I573" s="63"/>
      <c r="J573" s="64"/>
      <c r="K573" s="64"/>
      <c r="L573" s="65"/>
      <c r="M573" s="65"/>
      <c r="N573" s="66"/>
      <c r="O573" s="66"/>
      <c r="P573" s="69"/>
      <c r="Q573" s="69"/>
      <c r="R573" s="294"/>
      <c r="S573" s="49"/>
      <c r="T573" s="49"/>
      <c r="U573" s="49"/>
      <c r="V573" s="49" t="s">
        <v>567</v>
      </c>
      <c r="W573" s="49"/>
      <c r="X573" s="49"/>
      <c r="Y573" s="49"/>
      <c r="Z573" s="66"/>
      <c r="AA573" s="280"/>
      <c r="AB573" s="66"/>
      <c r="AC573" s="66"/>
      <c r="AD573" s="66"/>
      <c r="AE573" s="66"/>
      <c r="AF573" s="66"/>
      <c r="AG573" s="66"/>
      <c r="AH573" s="66"/>
      <c r="AI573" s="66"/>
      <c r="AJ573" s="66"/>
      <c r="AK573" s="66"/>
      <c r="AM573" s="66"/>
    </row>
    <row r="574" spans="1:39" x14ac:dyDescent="0.35">
      <c r="A574" s="66"/>
      <c r="B574" s="66"/>
      <c r="C574" s="49"/>
      <c r="D574" s="49"/>
      <c r="E574" s="49" t="s">
        <v>568</v>
      </c>
      <c r="F574" s="49"/>
      <c r="G574" s="49"/>
      <c r="H574" s="63">
        <v>541.88</v>
      </c>
      <c r="I574" s="63">
        <v>0</v>
      </c>
      <c r="J574" s="64">
        <v>554.29999999999995</v>
      </c>
      <c r="K574" s="64">
        <v>0</v>
      </c>
      <c r="L574" s="65">
        <v>645.24</v>
      </c>
      <c r="M574" s="65">
        <v>0</v>
      </c>
      <c r="N574" s="66">
        <f t="shared" ref="N574:O582" si="281">ROUND(H574+J574+L574,5)</f>
        <v>1741.42</v>
      </c>
      <c r="O574" s="66">
        <f t="shared" si="281"/>
        <v>0</v>
      </c>
      <c r="P574" s="69">
        <f t="shared" ref="P574:Q582" si="282">N574/3</f>
        <v>580.47333333333336</v>
      </c>
      <c r="Q574" s="69">
        <f t="shared" si="282"/>
        <v>0</v>
      </c>
      <c r="R574" s="294"/>
      <c r="S574" s="49"/>
      <c r="T574" s="49"/>
      <c r="U574" s="49"/>
      <c r="V574" s="49"/>
      <c r="W574" s="49" t="s">
        <v>568</v>
      </c>
      <c r="X574" s="49"/>
      <c r="Y574" s="49"/>
      <c r="Z574" s="66"/>
      <c r="AA574" s="280"/>
      <c r="AB574" s="66"/>
      <c r="AC574" s="66"/>
      <c r="AD574" s="66"/>
      <c r="AE574" s="66"/>
      <c r="AF574" s="66"/>
      <c r="AG574" s="66"/>
      <c r="AH574" s="66"/>
      <c r="AI574" s="66"/>
      <c r="AJ574" s="66"/>
      <c r="AK574" s="66"/>
      <c r="AM574" s="66"/>
    </row>
    <row r="575" spans="1:39" x14ac:dyDescent="0.35">
      <c r="A575" s="66"/>
      <c r="B575" s="66"/>
      <c r="C575" s="49"/>
      <c r="D575" s="49"/>
      <c r="E575" s="49" t="s">
        <v>569</v>
      </c>
      <c r="F575" s="49"/>
      <c r="G575" s="49"/>
      <c r="H575" s="63">
        <v>0</v>
      </c>
      <c r="I575" s="63">
        <v>0</v>
      </c>
      <c r="J575" s="64">
        <v>0</v>
      </c>
      <c r="K575" s="64">
        <v>0</v>
      </c>
      <c r="L575" s="65">
        <v>0</v>
      </c>
      <c r="M575" s="65">
        <v>0</v>
      </c>
      <c r="N575" s="66">
        <f t="shared" si="281"/>
        <v>0</v>
      </c>
      <c r="O575" s="66">
        <f t="shared" si="281"/>
        <v>0</v>
      </c>
      <c r="P575" s="69">
        <f t="shared" si="282"/>
        <v>0</v>
      </c>
      <c r="Q575" s="69">
        <f t="shared" si="282"/>
        <v>0</v>
      </c>
      <c r="R575" s="294"/>
      <c r="S575" s="49"/>
      <c r="T575" s="49"/>
      <c r="U575" s="49"/>
      <c r="V575" s="49"/>
      <c r="W575" s="49" t="s">
        <v>569</v>
      </c>
      <c r="X575" s="49"/>
      <c r="Y575" s="49"/>
      <c r="Z575" s="66"/>
      <c r="AA575" s="143"/>
      <c r="AB575" s="66"/>
      <c r="AC575" s="66"/>
      <c r="AD575" s="66"/>
      <c r="AE575" s="66"/>
      <c r="AF575" s="66"/>
      <c r="AG575" s="66"/>
      <c r="AH575" s="66"/>
      <c r="AI575" s="66"/>
      <c r="AJ575" s="66"/>
      <c r="AK575" s="66"/>
      <c r="AM575" s="66"/>
    </row>
    <row r="576" spans="1:39" x14ac:dyDescent="0.35">
      <c r="A576" s="66"/>
      <c r="B576" s="66"/>
      <c r="C576" s="49"/>
      <c r="D576" s="49"/>
      <c r="E576" s="49" t="s">
        <v>570</v>
      </c>
      <c r="F576" s="49"/>
      <c r="G576" s="49"/>
      <c r="H576" s="63">
        <v>2500</v>
      </c>
      <c r="I576" s="63">
        <v>0</v>
      </c>
      <c r="J576" s="64">
        <v>4000</v>
      </c>
      <c r="K576" s="64">
        <v>0</v>
      </c>
      <c r="L576" s="65">
        <v>4500</v>
      </c>
      <c r="M576" s="65">
        <v>0</v>
      </c>
      <c r="N576" s="66">
        <f t="shared" si="281"/>
        <v>11000</v>
      </c>
      <c r="O576" s="66">
        <f t="shared" si="281"/>
        <v>0</v>
      </c>
      <c r="P576" s="69">
        <f t="shared" si="282"/>
        <v>3666.6666666666665</v>
      </c>
      <c r="Q576" s="69">
        <f t="shared" si="282"/>
        <v>0</v>
      </c>
      <c r="R576" s="294"/>
      <c r="S576" s="49"/>
      <c r="T576" s="49"/>
      <c r="U576" s="49"/>
      <c r="V576" s="49"/>
      <c r="W576" s="49" t="s">
        <v>570</v>
      </c>
      <c r="X576" s="49"/>
      <c r="Y576" s="49"/>
      <c r="Z576" s="66"/>
      <c r="AA576" s="280"/>
      <c r="AB576" s="66"/>
      <c r="AC576" s="66"/>
      <c r="AD576" s="66"/>
      <c r="AE576" s="66"/>
      <c r="AF576" s="66"/>
      <c r="AG576" s="66"/>
      <c r="AH576" s="66"/>
      <c r="AI576" s="66"/>
      <c r="AJ576" s="66"/>
      <c r="AK576" s="66"/>
      <c r="AM576" s="66"/>
    </row>
    <row r="577" spans="1:47" ht="16" thickBot="1" x14ac:dyDescent="0.4">
      <c r="A577" s="66"/>
      <c r="B577" s="66"/>
      <c r="C577" s="49"/>
      <c r="D577" s="49"/>
      <c r="E577" s="49" t="s">
        <v>571</v>
      </c>
      <c r="F577" s="49"/>
      <c r="G577" s="49"/>
      <c r="H577" s="70">
        <v>21487.599999999999</v>
      </c>
      <c r="I577" s="70">
        <v>0</v>
      </c>
      <c r="J577" s="71">
        <v>19409.990000000002</v>
      </c>
      <c r="K577" s="64">
        <v>0</v>
      </c>
      <c r="L577" s="72">
        <v>19578.830000000002</v>
      </c>
      <c r="M577" s="65">
        <v>0</v>
      </c>
      <c r="N577" s="73">
        <f t="shared" si="281"/>
        <v>60476.42</v>
      </c>
      <c r="O577" s="73">
        <f t="shared" si="281"/>
        <v>0</v>
      </c>
      <c r="P577" s="74">
        <f t="shared" si="282"/>
        <v>20158.806666666667</v>
      </c>
      <c r="Q577" s="74">
        <f t="shared" si="282"/>
        <v>0</v>
      </c>
      <c r="R577" s="294"/>
      <c r="S577" s="49"/>
      <c r="T577" s="49"/>
      <c r="U577" s="49"/>
      <c r="V577" s="49"/>
      <c r="W577" s="49" t="s">
        <v>571</v>
      </c>
      <c r="X577" s="49"/>
      <c r="Y577" s="49"/>
      <c r="Z577" s="66"/>
      <c r="AA577" s="280"/>
      <c r="AB577" s="66"/>
      <c r="AC577" s="66"/>
      <c r="AD577" s="66"/>
      <c r="AE577" s="66"/>
      <c r="AF577" s="66"/>
      <c r="AG577" s="66"/>
      <c r="AH577" s="66"/>
      <c r="AI577" s="66"/>
      <c r="AJ577" s="66"/>
      <c r="AK577" s="66"/>
      <c r="AM577" s="66"/>
    </row>
    <row r="578" spans="1:47" x14ac:dyDescent="0.35">
      <c r="A578" s="66"/>
      <c r="B578" s="66"/>
      <c r="C578" s="49"/>
      <c r="D578" s="49" t="s">
        <v>572</v>
      </c>
      <c r="E578" s="49"/>
      <c r="F578" s="49"/>
      <c r="G578" s="49"/>
      <c r="H578" s="63">
        <f t="shared" ref="H578:M578" si="283">ROUND(SUM(H573:H577),5)</f>
        <v>24529.48</v>
      </c>
      <c r="I578" s="63">
        <f t="shared" si="283"/>
        <v>0</v>
      </c>
      <c r="J578" s="64">
        <f t="shared" si="283"/>
        <v>23964.29</v>
      </c>
      <c r="K578" s="76">
        <f t="shared" si="283"/>
        <v>0</v>
      </c>
      <c r="L578" s="65">
        <f t="shared" si="283"/>
        <v>24724.07</v>
      </c>
      <c r="M578" s="77">
        <f t="shared" si="283"/>
        <v>0</v>
      </c>
      <c r="N578" s="66">
        <f t="shared" si="281"/>
        <v>73217.84</v>
      </c>
      <c r="O578" s="66">
        <f t="shared" si="281"/>
        <v>0</v>
      </c>
      <c r="P578" s="69">
        <f t="shared" si="282"/>
        <v>24405.946666666667</v>
      </c>
      <c r="Q578" s="69">
        <f t="shared" si="282"/>
        <v>0</v>
      </c>
      <c r="R578" s="294"/>
      <c r="S578" s="49"/>
      <c r="T578" s="49"/>
      <c r="U578" s="49"/>
      <c r="V578" s="49" t="s">
        <v>572</v>
      </c>
      <c r="W578" s="49"/>
      <c r="X578" s="49"/>
      <c r="Y578" s="49"/>
      <c r="Z578" s="66"/>
      <c r="AA578" s="280"/>
      <c r="AB578" s="66"/>
      <c r="AC578" s="66"/>
      <c r="AD578" s="66"/>
      <c r="AE578" s="66"/>
      <c r="AF578" s="66"/>
      <c r="AG578" s="66"/>
      <c r="AH578" s="66"/>
      <c r="AI578" s="66"/>
      <c r="AJ578" s="66"/>
      <c r="AK578" s="66"/>
      <c r="AM578" s="66"/>
    </row>
    <row r="579" spans="1:47" ht="16" thickBot="1" x14ac:dyDescent="0.4">
      <c r="A579" s="66"/>
      <c r="B579" s="66"/>
      <c r="C579" s="49"/>
      <c r="D579" s="49" t="s">
        <v>573</v>
      </c>
      <c r="E579" s="49"/>
      <c r="F579" s="49"/>
      <c r="G579" s="49"/>
      <c r="H579" s="63">
        <v>288386.05</v>
      </c>
      <c r="I579" s="63">
        <v>0</v>
      </c>
      <c r="J579" s="64">
        <v>313714.26</v>
      </c>
      <c r="K579" s="64">
        <v>0</v>
      </c>
      <c r="L579" s="65">
        <v>363433.03</v>
      </c>
      <c r="M579" s="65">
        <v>0</v>
      </c>
      <c r="N579" s="66">
        <f t="shared" si="281"/>
        <v>965533.34</v>
      </c>
      <c r="O579" s="66">
        <f t="shared" si="281"/>
        <v>0</v>
      </c>
      <c r="P579" s="69">
        <f t="shared" si="282"/>
        <v>321844.44666666666</v>
      </c>
      <c r="Q579" s="69">
        <f t="shared" si="282"/>
        <v>0</v>
      </c>
      <c r="R579" s="294"/>
      <c r="S579" s="49"/>
      <c r="T579" s="49"/>
      <c r="U579" s="49"/>
      <c r="V579" s="49" t="s">
        <v>573</v>
      </c>
      <c r="W579" s="49"/>
      <c r="X579" s="49"/>
      <c r="Y579" s="49"/>
      <c r="Z579" s="66"/>
      <c r="AA579" s="280"/>
      <c r="AB579" s="66"/>
      <c r="AC579" s="66"/>
      <c r="AD579" s="66"/>
      <c r="AE579" s="66"/>
      <c r="AF579" s="66"/>
      <c r="AG579" s="66"/>
      <c r="AH579" s="66"/>
      <c r="AI579" s="66"/>
      <c r="AJ579" s="66"/>
      <c r="AK579" s="66"/>
      <c r="AM579" s="66"/>
    </row>
    <row r="580" spans="1:47" ht="16" thickBot="1" x14ac:dyDescent="0.4">
      <c r="A580" s="66"/>
      <c r="B580" s="66"/>
      <c r="C580" s="49" t="s">
        <v>574</v>
      </c>
      <c r="D580" s="49"/>
      <c r="E580" s="49"/>
      <c r="F580" s="49"/>
      <c r="G580" s="49"/>
      <c r="H580" s="75">
        <f t="shared" ref="H580:M580" si="284">ROUND(H572+SUM(H578:H579),5)</f>
        <v>312915.53000000003</v>
      </c>
      <c r="I580" s="75">
        <f t="shared" si="284"/>
        <v>0</v>
      </c>
      <c r="J580" s="76">
        <f t="shared" si="284"/>
        <v>337678.55</v>
      </c>
      <c r="K580" s="76">
        <f t="shared" si="284"/>
        <v>0</v>
      </c>
      <c r="L580" s="77">
        <f t="shared" si="284"/>
        <v>388157.1</v>
      </c>
      <c r="M580" s="77">
        <f t="shared" si="284"/>
        <v>0</v>
      </c>
      <c r="N580" s="78">
        <f t="shared" si="281"/>
        <v>1038751.18</v>
      </c>
      <c r="O580" s="78">
        <f t="shared" si="281"/>
        <v>0</v>
      </c>
      <c r="P580" s="79">
        <f t="shared" si="282"/>
        <v>346250.39333333337</v>
      </c>
      <c r="Q580" s="79">
        <f t="shared" si="282"/>
        <v>0</v>
      </c>
      <c r="R580" s="294"/>
      <c r="S580" s="49"/>
      <c r="T580" s="49"/>
      <c r="U580" s="49" t="s">
        <v>574</v>
      </c>
      <c r="V580" s="49"/>
      <c r="W580" s="49"/>
      <c r="X580" s="49"/>
      <c r="Y580" s="49"/>
      <c r="Z580" s="66"/>
      <c r="AA580" s="280"/>
      <c r="AB580" s="66"/>
      <c r="AC580" s="66"/>
      <c r="AD580" s="66"/>
      <c r="AE580" s="66"/>
      <c r="AF580" s="66"/>
      <c r="AG580" s="66"/>
      <c r="AH580" s="66"/>
      <c r="AI580" s="66"/>
      <c r="AJ580" s="66"/>
      <c r="AK580" s="66"/>
      <c r="AM580" s="66"/>
      <c r="AN580" s="194"/>
    </row>
    <row r="581" spans="1:47" ht="16" thickBot="1" x14ac:dyDescent="0.4">
      <c r="A581" s="66"/>
      <c r="B581" s="66" t="s">
        <v>575</v>
      </c>
      <c r="C581" s="49"/>
      <c r="D581" s="49"/>
      <c r="E581" s="49"/>
      <c r="F581" s="49"/>
      <c r="G581" s="49"/>
      <c r="H581" s="75">
        <f t="shared" ref="H581:M581" si="285">ROUND(H556+H571-H580,5)</f>
        <v>137134.84</v>
      </c>
      <c r="I581" s="75">
        <f t="shared" si="285"/>
        <v>0</v>
      </c>
      <c r="J581" s="76">
        <f t="shared" si="285"/>
        <v>238721.88</v>
      </c>
      <c r="K581" s="76">
        <f t="shared" si="285"/>
        <v>0</v>
      </c>
      <c r="L581" s="77">
        <f t="shared" si="285"/>
        <v>206028.88</v>
      </c>
      <c r="M581" s="77">
        <f t="shared" si="285"/>
        <v>0</v>
      </c>
      <c r="N581" s="78">
        <f t="shared" si="281"/>
        <v>581885.6</v>
      </c>
      <c r="O581" s="78">
        <f t="shared" si="281"/>
        <v>0</v>
      </c>
      <c r="P581" s="79">
        <f t="shared" si="282"/>
        <v>193961.86666666667</v>
      </c>
      <c r="Q581" s="79">
        <f t="shared" si="282"/>
        <v>0</v>
      </c>
      <c r="R581" s="294"/>
      <c r="S581" s="49"/>
      <c r="T581" s="49" t="s">
        <v>575</v>
      </c>
      <c r="U581" s="49"/>
      <c r="V581" s="49"/>
      <c r="W581" s="49"/>
      <c r="X581" s="49"/>
      <c r="Y581" s="49"/>
      <c r="Z581" s="66"/>
      <c r="AA581" s="280"/>
      <c r="AB581" s="66"/>
      <c r="AC581" s="66"/>
      <c r="AD581" s="66"/>
      <c r="AE581" s="66"/>
      <c r="AF581" s="66"/>
      <c r="AG581" s="66"/>
      <c r="AH581" s="66"/>
      <c r="AI581" s="66"/>
      <c r="AJ581" s="66"/>
      <c r="AK581" s="66"/>
      <c r="AM581" s="66"/>
    </row>
    <row r="582" spans="1:47" s="45" customFormat="1" ht="16" thickBot="1" x14ac:dyDescent="0.4">
      <c r="A582" s="95" t="s">
        <v>576</v>
      </c>
      <c r="B582" s="95"/>
      <c r="C582" s="49"/>
      <c r="D582" s="49"/>
      <c r="E582" s="49"/>
      <c r="F582" s="49"/>
      <c r="G582" s="49"/>
      <c r="H582" s="96">
        <f t="shared" ref="H582:M582" si="286">ROUND(H555+H581,5)</f>
        <v>44542.64</v>
      </c>
      <c r="I582" s="96">
        <f t="shared" si="286"/>
        <v>8714.58</v>
      </c>
      <c r="J582" s="97">
        <f t="shared" si="286"/>
        <v>51342.9</v>
      </c>
      <c r="K582" s="97">
        <f t="shared" si="286"/>
        <v>826.41</v>
      </c>
      <c r="L582" s="98">
        <f t="shared" si="286"/>
        <v>184453.41</v>
      </c>
      <c r="M582" s="98">
        <f t="shared" si="286"/>
        <v>354.02</v>
      </c>
      <c r="N582" s="99">
        <f t="shared" si="281"/>
        <v>280338.95</v>
      </c>
      <c r="O582" s="99">
        <f t="shared" si="281"/>
        <v>9895.01</v>
      </c>
      <c r="P582" s="100">
        <f t="shared" si="282"/>
        <v>93446.316666666666</v>
      </c>
      <c r="Q582" s="100">
        <f t="shared" si="282"/>
        <v>3298.3366666666666</v>
      </c>
      <c r="R582" s="101"/>
      <c r="S582" s="49" t="s">
        <v>576</v>
      </c>
      <c r="T582" s="49"/>
      <c r="U582" s="49"/>
      <c r="V582" s="49"/>
      <c r="W582" s="49"/>
      <c r="X582" s="49"/>
      <c r="Y582" s="49"/>
      <c r="Z582" s="99">
        <f>ROUND(Z555+Z581,5)</f>
        <v>811.37</v>
      </c>
      <c r="AA582" s="280"/>
      <c r="AB582" s="99">
        <f t="shared" ref="AB582:AK582" si="287">ROUND(AB555+AB581,5)</f>
        <v>-193160.46642000001</v>
      </c>
      <c r="AC582" s="99">
        <f t="shared" si="287"/>
        <v>-8678.4714199999999</v>
      </c>
      <c r="AD582" s="99">
        <f t="shared" si="287"/>
        <v>15325.98798</v>
      </c>
      <c r="AE582" s="99">
        <f t="shared" si="287"/>
        <v>3787.1</v>
      </c>
      <c r="AF582" s="99">
        <f t="shared" si="287"/>
        <v>5642.0349999999999</v>
      </c>
      <c r="AG582" s="99">
        <f t="shared" si="287"/>
        <v>-17387</v>
      </c>
      <c r="AH582" s="99">
        <f t="shared" si="287"/>
        <v>20318</v>
      </c>
      <c r="AI582" s="99">
        <f t="shared" si="287"/>
        <v>-17235</v>
      </c>
      <c r="AJ582" s="99">
        <f t="shared" si="287"/>
        <v>54630</v>
      </c>
      <c r="AK582" s="266">
        <f t="shared" si="287"/>
        <v>119600</v>
      </c>
      <c r="AL582" s="279"/>
      <c r="AM582" s="270">
        <f t="shared" ref="AM582" si="288">ROUND(AM555+AM581,5)</f>
        <v>49977</v>
      </c>
      <c r="AN582" s="110"/>
      <c r="AP582" s="215"/>
      <c r="AU582" s="246"/>
    </row>
    <row r="583" spans="1:47" ht="16" thickTop="1" x14ac:dyDescent="0.35"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  <c r="AM583" s="47"/>
    </row>
  </sheetData>
  <mergeCells count="1">
    <mergeCell ref="P3:Q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39A8E-D74D-4F08-A8CD-638AEFBA7FCC}">
  <dimension ref="A1:D73"/>
  <sheetViews>
    <sheetView workbookViewId="0">
      <selection activeCell="B3" sqref="B3"/>
    </sheetView>
  </sheetViews>
  <sheetFormatPr defaultRowHeight="14.5" x14ac:dyDescent="0.35"/>
  <sheetData>
    <row r="1" spans="1:4" x14ac:dyDescent="0.35">
      <c r="A1" s="110"/>
      <c r="B1" s="46"/>
      <c r="C1" s="131"/>
      <c r="D1" s="111"/>
    </row>
    <row r="2" spans="1:4" x14ac:dyDescent="0.35">
      <c r="A2" s="110"/>
      <c r="B2" s="46"/>
      <c r="C2" s="131"/>
      <c r="D2" s="111"/>
    </row>
    <row r="3" spans="1:4" ht="15" thickBot="1" x14ac:dyDescent="0.4">
      <c r="A3" s="110"/>
      <c r="B3" s="46"/>
      <c r="C3" s="131"/>
      <c r="D3" s="111"/>
    </row>
    <row r="4" spans="1:4" ht="73" thickBot="1" x14ac:dyDescent="0.4">
      <c r="A4" s="226" t="s">
        <v>971</v>
      </c>
      <c r="B4" s="259" t="s">
        <v>1027</v>
      </c>
      <c r="C4" s="261" t="s">
        <v>1028</v>
      </c>
      <c r="D4" s="260" t="s">
        <v>1029</v>
      </c>
    </row>
    <row r="5" spans="1:4" x14ac:dyDescent="0.35">
      <c r="A5" s="221"/>
      <c r="B5" s="46"/>
      <c r="C5" s="111"/>
      <c r="D5" s="46"/>
    </row>
    <row r="6" spans="1:4" x14ac:dyDescent="0.35">
      <c r="A6" s="221"/>
      <c r="B6" s="46"/>
      <c r="C6" s="111"/>
      <c r="D6" s="46"/>
    </row>
    <row r="7" spans="1:4" x14ac:dyDescent="0.35">
      <c r="A7" s="221"/>
      <c r="B7" s="46"/>
      <c r="C7" s="111"/>
      <c r="D7" s="46"/>
    </row>
    <row r="8" spans="1:4" x14ac:dyDescent="0.35">
      <c r="A8" s="221"/>
      <c r="B8" s="46"/>
      <c r="C8" s="111"/>
      <c r="D8" s="46"/>
    </row>
    <row r="9" spans="1:4" x14ac:dyDescent="0.35">
      <c r="A9" s="221"/>
      <c r="B9" s="46"/>
      <c r="C9" s="111"/>
      <c r="D9" s="46"/>
    </row>
    <row r="10" spans="1:4" x14ac:dyDescent="0.35">
      <c r="A10" s="221"/>
      <c r="B10" s="46"/>
      <c r="C10" s="111"/>
      <c r="D10" s="46"/>
    </row>
    <row r="11" spans="1:4" x14ac:dyDescent="0.35">
      <c r="A11" s="221"/>
      <c r="B11" s="46"/>
      <c r="C11" s="111"/>
      <c r="D11" s="46"/>
    </row>
    <row r="12" spans="1:4" x14ac:dyDescent="0.35">
      <c r="A12" s="221"/>
      <c r="B12" s="46"/>
      <c r="C12" s="111"/>
      <c r="D12" s="46"/>
    </row>
    <row r="13" spans="1:4" x14ac:dyDescent="0.35">
      <c r="A13" s="221"/>
      <c r="B13" s="46"/>
      <c r="C13" s="111"/>
      <c r="D13" s="46"/>
    </row>
    <row r="14" spans="1:4" x14ac:dyDescent="0.35">
      <c r="A14" s="221"/>
      <c r="B14" s="46"/>
      <c r="C14" s="111"/>
      <c r="D14" s="46"/>
    </row>
    <row r="15" spans="1:4" x14ac:dyDescent="0.35">
      <c r="A15" s="221"/>
      <c r="B15" s="46"/>
      <c r="C15" s="111"/>
      <c r="D15" s="46"/>
    </row>
    <row r="16" spans="1:4" x14ac:dyDescent="0.35">
      <c r="A16" s="221"/>
      <c r="B16" s="46"/>
      <c r="C16" s="111"/>
      <c r="D16" s="46"/>
    </row>
    <row r="17" spans="1:4" x14ac:dyDescent="0.35">
      <c r="A17" s="221"/>
      <c r="B17" s="46"/>
      <c r="C17" s="111"/>
      <c r="D17" s="46"/>
    </row>
    <row r="18" spans="1:4" x14ac:dyDescent="0.35">
      <c r="A18" s="221"/>
      <c r="B18" s="46"/>
      <c r="C18" s="111"/>
      <c r="D18" s="46"/>
    </row>
    <row r="19" spans="1:4" x14ac:dyDescent="0.35">
      <c r="A19" s="221"/>
      <c r="B19" s="46"/>
      <c r="C19" s="111"/>
      <c r="D19" s="46"/>
    </row>
    <row r="20" spans="1:4" x14ac:dyDescent="0.35">
      <c r="A20" s="221"/>
      <c r="B20" s="46"/>
      <c r="C20" s="111"/>
      <c r="D20" s="46"/>
    </row>
    <row r="21" spans="1:4" x14ac:dyDescent="0.35">
      <c r="A21" s="221"/>
      <c r="B21" s="46"/>
      <c r="C21" s="111"/>
      <c r="D21" s="46"/>
    </row>
    <row r="22" spans="1:4" x14ac:dyDescent="0.35">
      <c r="A22" s="221"/>
      <c r="B22" s="46"/>
      <c r="C22" s="111"/>
      <c r="D22" s="46"/>
    </row>
    <row r="23" spans="1:4" x14ac:dyDescent="0.35">
      <c r="A23" s="221"/>
      <c r="B23" s="46"/>
      <c r="C23" s="111"/>
      <c r="D23" s="46"/>
    </row>
    <row r="24" spans="1:4" x14ac:dyDescent="0.35">
      <c r="A24" s="221"/>
      <c r="B24" s="46"/>
      <c r="C24" s="111"/>
      <c r="D24" s="46"/>
    </row>
    <row r="25" spans="1:4" x14ac:dyDescent="0.35">
      <c r="A25" s="221"/>
      <c r="B25" s="46"/>
      <c r="C25" s="111"/>
      <c r="D25" s="46"/>
    </row>
    <row r="26" spans="1:4" x14ac:dyDescent="0.35">
      <c r="A26" s="221"/>
      <c r="B26" s="46"/>
      <c r="C26" s="111"/>
      <c r="D26" s="46"/>
    </row>
    <row r="27" spans="1:4" x14ac:dyDescent="0.35">
      <c r="A27" s="221"/>
      <c r="B27" s="46"/>
      <c r="C27" s="111"/>
      <c r="D27" s="46"/>
    </row>
    <row r="28" spans="1:4" x14ac:dyDescent="0.35">
      <c r="A28" s="221"/>
      <c r="B28" s="46"/>
      <c r="C28" s="111"/>
      <c r="D28" s="46"/>
    </row>
    <row r="29" spans="1:4" x14ac:dyDescent="0.35">
      <c r="A29" s="221"/>
      <c r="B29" s="46"/>
      <c r="C29" s="111"/>
      <c r="D29" s="46"/>
    </row>
    <row r="30" spans="1:4" x14ac:dyDescent="0.35">
      <c r="A30" s="221"/>
      <c r="B30" s="46"/>
      <c r="C30" s="111"/>
      <c r="D30" s="46"/>
    </row>
    <row r="31" spans="1:4" x14ac:dyDescent="0.35">
      <c r="A31" s="221"/>
      <c r="B31" s="46"/>
      <c r="C31" s="111"/>
      <c r="D31" s="46"/>
    </row>
    <row r="32" spans="1:4" x14ac:dyDescent="0.35">
      <c r="A32" s="221"/>
      <c r="B32" s="46"/>
      <c r="C32" s="111"/>
      <c r="D32" s="46"/>
    </row>
    <row r="33" spans="1:4" x14ac:dyDescent="0.35">
      <c r="A33" s="227"/>
      <c r="B33" s="46"/>
      <c r="C33" s="111"/>
      <c r="D33" s="46"/>
    </row>
    <row r="34" spans="1:4" x14ac:dyDescent="0.35">
      <c r="A34" s="221"/>
      <c r="B34" s="46"/>
      <c r="C34" s="111"/>
      <c r="D34" s="46"/>
    </row>
    <row r="35" spans="1:4" x14ac:dyDescent="0.35">
      <c r="A35" s="221"/>
      <c r="B35" s="46"/>
      <c r="C35" s="111"/>
      <c r="D35" s="46"/>
    </row>
    <row r="36" spans="1:4" x14ac:dyDescent="0.35">
      <c r="A36" s="221"/>
      <c r="B36" s="46"/>
      <c r="C36" s="111"/>
      <c r="D36" s="46"/>
    </row>
    <row r="37" spans="1:4" x14ac:dyDescent="0.35">
      <c r="A37" s="221"/>
      <c r="B37" s="46"/>
      <c r="C37" s="111"/>
      <c r="D37" s="46"/>
    </row>
    <row r="38" spans="1:4" x14ac:dyDescent="0.35">
      <c r="A38" s="221"/>
      <c r="B38" s="46"/>
      <c r="C38" s="111"/>
      <c r="D38" s="46"/>
    </row>
    <row r="39" spans="1:4" x14ac:dyDescent="0.35">
      <c r="A39" s="221"/>
      <c r="B39" s="46"/>
      <c r="C39" s="111"/>
      <c r="D39" s="46"/>
    </row>
    <row r="40" spans="1:4" x14ac:dyDescent="0.35">
      <c r="A40" s="221"/>
      <c r="B40" s="46"/>
      <c r="C40" s="111"/>
      <c r="D40" s="46"/>
    </row>
    <row r="41" spans="1:4" x14ac:dyDescent="0.35">
      <c r="A41" s="221"/>
      <c r="B41" s="46"/>
      <c r="C41" s="111"/>
      <c r="D41" s="46"/>
    </row>
    <row r="42" spans="1:4" x14ac:dyDescent="0.35">
      <c r="A42" s="221"/>
      <c r="B42" s="46"/>
      <c r="C42" s="111"/>
      <c r="D42" s="46"/>
    </row>
    <row r="43" spans="1:4" x14ac:dyDescent="0.35">
      <c r="A43" s="221"/>
      <c r="B43" s="46"/>
      <c r="C43" s="111"/>
      <c r="D43" s="46"/>
    </row>
    <row r="44" spans="1:4" x14ac:dyDescent="0.35">
      <c r="A44" s="221"/>
      <c r="B44" s="46"/>
      <c r="C44" s="111"/>
      <c r="D44" s="46"/>
    </row>
    <row r="45" spans="1:4" x14ac:dyDescent="0.35">
      <c r="A45" s="221"/>
      <c r="B45" s="46"/>
      <c r="C45" s="111"/>
      <c r="D45" s="46"/>
    </row>
    <row r="46" spans="1:4" x14ac:dyDescent="0.35">
      <c r="A46" s="221"/>
      <c r="B46" s="46"/>
      <c r="C46" s="111"/>
      <c r="D46" s="46"/>
    </row>
    <row r="47" spans="1:4" x14ac:dyDescent="0.35">
      <c r="A47" s="221"/>
      <c r="B47" s="46"/>
      <c r="C47" s="111"/>
      <c r="D47" s="46"/>
    </row>
    <row r="48" spans="1:4" x14ac:dyDescent="0.35">
      <c r="A48" s="221"/>
      <c r="B48" s="46"/>
      <c r="C48" s="111"/>
      <c r="D48" s="46"/>
    </row>
    <row r="49" spans="1:4" x14ac:dyDescent="0.35">
      <c r="A49" s="221"/>
      <c r="B49" s="46"/>
      <c r="C49" s="111"/>
      <c r="D49" s="46"/>
    </row>
    <row r="50" spans="1:4" x14ac:dyDescent="0.35">
      <c r="A50" s="221"/>
      <c r="B50" s="46"/>
      <c r="C50" s="111"/>
      <c r="D50" s="46"/>
    </row>
    <row r="51" spans="1:4" x14ac:dyDescent="0.35">
      <c r="A51" s="221"/>
      <c r="B51" s="46"/>
      <c r="C51" s="111"/>
      <c r="D51" s="46"/>
    </row>
    <row r="52" spans="1:4" x14ac:dyDescent="0.35">
      <c r="A52" s="221"/>
      <c r="B52" s="46"/>
      <c r="C52" s="111"/>
      <c r="D52" s="46"/>
    </row>
    <row r="53" spans="1:4" x14ac:dyDescent="0.35">
      <c r="A53" s="221"/>
      <c r="B53" s="46"/>
      <c r="C53" s="111"/>
      <c r="D53" s="46"/>
    </row>
    <row r="54" spans="1:4" x14ac:dyDescent="0.35">
      <c r="A54" s="221"/>
      <c r="B54" s="46"/>
      <c r="C54" s="111"/>
      <c r="D54" s="46"/>
    </row>
    <row r="55" spans="1:4" x14ac:dyDescent="0.35">
      <c r="A55" s="221"/>
      <c r="B55" s="46"/>
      <c r="C55" s="111"/>
      <c r="D55" s="46"/>
    </row>
    <row r="56" spans="1:4" x14ac:dyDescent="0.35">
      <c r="A56" s="221"/>
      <c r="B56" s="46"/>
      <c r="C56" s="111"/>
      <c r="D56" s="46"/>
    </row>
    <row r="57" spans="1:4" x14ac:dyDescent="0.35">
      <c r="A57" s="221"/>
      <c r="B57" s="46"/>
      <c r="C57" s="111"/>
      <c r="D57" s="46"/>
    </row>
    <row r="58" spans="1:4" ht="58" x14ac:dyDescent="0.35">
      <c r="A58" s="226" t="s">
        <v>988</v>
      </c>
      <c r="B58" s="46"/>
      <c r="C58" s="111"/>
      <c r="D58" s="46"/>
    </row>
    <row r="59" spans="1:4" ht="72.5" x14ac:dyDescent="0.35">
      <c r="A59" s="228" t="s">
        <v>1032</v>
      </c>
      <c r="B59" s="62">
        <v>2</v>
      </c>
      <c r="C59" s="257" t="s">
        <v>1030</v>
      </c>
      <c r="D59" s="258">
        <v>30000</v>
      </c>
    </row>
    <row r="60" spans="1:4" x14ac:dyDescent="0.35">
      <c r="A60" s="229"/>
      <c r="B60" s="62">
        <v>1</v>
      </c>
      <c r="C60" s="257" t="s">
        <v>1024</v>
      </c>
      <c r="D60" s="258">
        <v>20000</v>
      </c>
    </row>
    <row r="61" spans="1:4" x14ac:dyDescent="0.35">
      <c r="A61" s="228"/>
      <c r="B61" s="62">
        <v>2</v>
      </c>
      <c r="C61" s="249">
        <v>229</v>
      </c>
      <c r="D61" s="248">
        <v>30000</v>
      </c>
    </row>
    <row r="62" spans="1:4" x14ac:dyDescent="0.35">
      <c r="A62" s="228"/>
      <c r="B62" s="62">
        <v>2</v>
      </c>
      <c r="C62" s="249">
        <v>307</v>
      </c>
      <c r="D62" s="248">
        <v>30000</v>
      </c>
    </row>
    <row r="63" spans="1:4" x14ac:dyDescent="0.35">
      <c r="A63" s="228"/>
      <c r="B63" s="62">
        <v>2</v>
      </c>
      <c r="C63" s="249">
        <v>308</v>
      </c>
      <c r="D63" s="248">
        <v>64250</v>
      </c>
    </row>
    <row r="64" spans="1:4" ht="87" x14ac:dyDescent="0.35">
      <c r="A64" s="221" t="s">
        <v>989</v>
      </c>
      <c r="B64" s="62">
        <v>1</v>
      </c>
      <c r="C64" s="249">
        <v>251</v>
      </c>
      <c r="D64" s="248">
        <v>20000</v>
      </c>
    </row>
    <row r="65" spans="1:4" x14ac:dyDescent="0.35">
      <c r="A65" s="230"/>
      <c r="B65" s="62">
        <v>2</v>
      </c>
      <c r="C65" s="247" t="s">
        <v>949</v>
      </c>
      <c r="D65" s="248">
        <f>ROUND(54653.85, 0)</f>
        <v>54654</v>
      </c>
    </row>
    <row r="66" spans="1:4" x14ac:dyDescent="0.35">
      <c r="A66" s="110"/>
      <c r="B66" s="62">
        <v>2</v>
      </c>
      <c r="C66" s="247" t="s">
        <v>950</v>
      </c>
      <c r="D66" s="248">
        <f>ROUND(54653.85, 0)</f>
        <v>54654</v>
      </c>
    </row>
    <row r="67" spans="1:4" x14ac:dyDescent="0.35">
      <c r="A67" s="110"/>
      <c r="B67" s="62">
        <v>1</v>
      </c>
      <c r="C67" s="247" t="s">
        <v>951</v>
      </c>
      <c r="D67" s="248">
        <f>ROUND(32792.31, 0)</f>
        <v>32792</v>
      </c>
    </row>
    <row r="68" spans="1:4" x14ac:dyDescent="0.35">
      <c r="A68" s="110"/>
      <c r="B68" s="171"/>
      <c r="C68" s="216" t="s">
        <v>999</v>
      </c>
      <c r="D68" s="170">
        <f>SUM(D59:D67)</f>
        <v>336350</v>
      </c>
    </row>
    <row r="69" spans="1:4" x14ac:dyDescent="0.35">
      <c r="A69" s="110"/>
      <c r="B69" s="62"/>
      <c r="C69" s="205" t="s">
        <v>948</v>
      </c>
      <c r="D69" s="201" t="e">
        <f>#REF!</f>
        <v>#REF!</v>
      </c>
    </row>
    <row r="70" spans="1:4" ht="29" x14ac:dyDescent="0.35">
      <c r="A70" s="250" t="s">
        <v>1025</v>
      </c>
      <c r="B70" s="251" t="e">
        <f>D69</f>
        <v>#REF!</v>
      </c>
      <c r="C70" s="111"/>
      <c r="D70" s="46"/>
    </row>
    <row r="71" spans="1:4" ht="43.5" x14ac:dyDescent="0.35">
      <c r="A71" s="250" t="s">
        <v>999</v>
      </c>
      <c r="B71" s="252">
        <f>D68</f>
        <v>336350</v>
      </c>
      <c r="C71" s="111" t="s">
        <v>959</v>
      </c>
      <c r="D71" s="111">
        <f>2800*5</f>
        <v>14000</v>
      </c>
    </row>
    <row r="72" spans="1:4" ht="44" thickBot="1" x14ac:dyDescent="0.4">
      <c r="A72" s="253" t="s">
        <v>1026</v>
      </c>
      <c r="B72" s="254">
        <f>SUM(D71:D73)</f>
        <v>44000</v>
      </c>
      <c r="C72" s="111" t="s">
        <v>960</v>
      </c>
      <c r="D72" s="111">
        <v>10000</v>
      </c>
    </row>
    <row r="73" spans="1:4" ht="15" thickBot="1" x14ac:dyDescent="0.4">
      <c r="A73" s="255" t="s">
        <v>840</v>
      </c>
      <c r="B73" s="256" t="e">
        <f>SUM(B70:B72)</f>
        <v>#REF!</v>
      </c>
      <c r="C73" s="111" t="s">
        <v>961</v>
      </c>
      <c r="D73" s="111">
        <v>20000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1EA6-A66E-4B64-A6DF-750076D4EFC9}">
  <sheetPr>
    <tabColor theme="1"/>
  </sheetPr>
  <dimension ref="A1:AM367"/>
  <sheetViews>
    <sheetView topLeftCell="P1" workbookViewId="0">
      <pane ySplit="4" topLeftCell="A18" activePane="bottomLeft" state="frozen"/>
      <selection pane="bottomLeft" activeCell="P35" sqref="P35"/>
    </sheetView>
  </sheetViews>
  <sheetFormatPr defaultColWidth="8.81640625" defaultRowHeight="14" x14ac:dyDescent="0.3"/>
  <cols>
    <col min="1" max="1" width="8.81640625" style="3"/>
    <col min="2" max="2" width="16.1796875" style="3" bestFit="1" customWidth="1"/>
    <col min="3" max="3" width="53.1796875" style="2" customWidth="1"/>
    <col min="4" max="5" width="12.1796875" style="4" bestFit="1" customWidth="1"/>
    <col min="6" max="6" width="13.1796875" style="4" hidden="1" customWidth="1"/>
    <col min="7" max="7" width="13" style="4" hidden="1" customWidth="1"/>
    <col min="8" max="8" width="11.1796875" style="4" bestFit="1" customWidth="1"/>
    <col min="9" max="9" width="10.1796875" style="4" customWidth="1"/>
    <col min="10" max="11" width="11.1796875" style="4" bestFit="1" customWidth="1"/>
    <col min="12" max="12" width="12.6328125" style="4" customWidth="1"/>
    <col min="13" max="13" width="14.1796875" style="4" hidden="1" customWidth="1"/>
    <col min="14" max="15" width="0" style="4" hidden="1" customWidth="1"/>
    <col min="16" max="16" width="12.1796875" style="4" bestFit="1" customWidth="1"/>
    <col min="17" max="17" width="1.1796875" style="2" customWidth="1"/>
    <col min="18" max="19" width="17.81640625" style="2" bestFit="1" customWidth="1"/>
    <col min="20" max="20" width="15" style="2" bestFit="1" customWidth="1"/>
    <col min="21" max="21" width="22" style="2" customWidth="1"/>
    <col min="22" max="22" width="9.81640625" style="2" customWidth="1"/>
    <col min="23" max="23" width="10.81640625" style="2" customWidth="1"/>
    <col min="24" max="25" width="9.1796875" style="2" customWidth="1"/>
    <col min="26" max="26" width="8.81640625" style="2" customWidth="1"/>
    <col min="27" max="27" width="12.36328125" style="2" bestFit="1" customWidth="1"/>
    <col min="28" max="30" width="8.81640625" style="2" customWidth="1"/>
    <col min="31" max="31" width="15" style="2" bestFit="1" customWidth="1"/>
    <col min="32" max="32" width="8.81640625" style="2" customWidth="1"/>
    <col min="33" max="33" width="9.453125" style="2" customWidth="1"/>
    <col min="34" max="35" width="8.81640625" style="2" customWidth="1"/>
    <col min="36" max="37" width="8.81640625" style="2"/>
    <col min="38" max="38" width="11.90625" style="2" bestFit="1" customWidth="1"/>
    <col min="39" max="39" width="12.54296875" style="2" bestFit="1" customWidth="1"/>
    <col min="40" max="16384" width="8.81640625" style="2"/>
  </cols>
  <sheetData>
    <row r="1" spans="1:35" ht="37.5" customHeight="1" thickBot="1" x14ac:dyDescent="0.35">
      <c r="A1" s="323" t="s">
        <v>584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V1" s="324" t="s">
        <v>585</v>
      </c>
      <c r="W1" s="325"/>
      <c r="X1" s="325"/>
      <c r="Y1" s="325"/>
      <c r="Z1" s="325"/>
      <c r="AA1" s="325"/>
      <c r="AB1" s="325"/>
      <c r="AC1" s="325"/>
      <c r="AD1" s="326"/>
    </row>
    <row r="2" spans="1:35" ht="18" customHeight="1" x14ac:dyDescent="0.3">
      <c r="C2" s="4" t="s">
        <v>586</v>
      </c>
      <c r="D2" s="4">
        <v>600</v>
      </c>
      <c r="E2" s="4">
        <v>280</v>
      </c>
      <c r="F2" s="2"/>
      <c r="H2" s="4">
        <v>300</v>
      </c>
      <c r="I2" s="4">
        <v>300</v>
      </c>
      <c r="L2" s="5">
        <v>2</v>
      </c>
      <c r="M2" s="5"/>
      <c r="P2" s="5">
        <v>1</v>
      </c>
      <c r="V2" s="6"/>
      <c r="W2" s="6"/>
      <c r="X2" s="6"/>
      <c r="Y2" s="6"/>
      <c r="Z2" s="6"/>
      <c r="AA2" s="6"/>
      <c r="AB2" s="6"/>
      <c r="AC2" s="6"/>
      <c r="AD2" s="6"/>
    </row>
    <row r="3" spans="1:35" ht="14.5" thickBot="1" x14ac:dyDescent="0.35">
      <c r="C3" s="2" t="s">
        <v>587</v>
      </c>
      <c r="D3" s="4">
        <v>600</v>
      </c>
      <c r="E3" s="4">
        <v>225</v>
      </c>
      <c r="F3" s="2"/>
      <c r="H3" s="4">
        <v>85</v>
      </c>
      <c r="I3" s="4">
        <v>15</v>
      </c>
      <c r="J3" s="4">
        <v>25</v>
      </c>
      <c r="K3" s="4">
        <v>35</v>
      </c>
      <c r="L3" s="5">
        <v>75</v>
      </c>
      <c r="M3" s="2"/>
      <c r="P3" s="4">
        <v>100</v>
      </c>
      <c r="AG3" s="7">
        <v>15</v>
      </c>
      <c r="AH3" s="7">
        <v>25</v>
      </c>
      <c r="AI3" s="7">
        <v>35</v>
      </c>
    </row>
    <row r="4" spans="1:35" ht="28" customHeight="1" thickBot="1" x14ac:dyDescent="0.35">
      <c r="C4" s="8" t="s">
        <v>588</v>
      </c>
      <c r="D4" s="9" t="s">
        <v>589</v>
      </c>
      <c r="E4" s="9" t="s">
        <v>590</v>
      </c>
      <c r="F4" s="9" t="s">
        <v>591</v>
      </c>
      <c r="G4" s="9" t="s">
        <v>592</v>
      </c>
      <c r="H4" s="9" t="s">
        <v>593</v>
      </c>
      <c r="I4" s="9" t="s">
        <v>594</v>
      </c>
      <c r="J4" s="9" t="s">
        <v>595</v>
      </c>
      <c r="K4" s="9" t="s">
        <v>596</v>
      </c>
      <c r="L4" s="9" t="s">
        <v>597</v>
      </c>
      <c r="M4" s="9" t="s">
        <v>598</v>
      </c>
      <c r="N4" s="9"/>
      <c r="O4" s="9"/>
      <c r="P4" s="9" t="s">
        <v>599</v>
      </c>
      <c r="Q4" s="10"/>
      <c r="V4" s="327" t="s">
        <v>600</v>
      </c>
      <c r="W4" s="328"/>
      <c r="X4" s="328"/>
      <c r="Y4" s="329"/>
      <c r="AG4" s="11" t="s">
        <v>594</v>
      </c>
      <c r="AH4" s="11" t="s">
        <v>595</v>
      </c>
      <c r="AI4" s="11" t="s">
        <v>596</v>
      </c>
    </row>
    <row r="5" spans="1:35" x14ac:dyDescent="0.3">
      <c r="A5" s="12">
        <v>1</v>
      </c>
      <c r="B5" s="12" t="s">
        <v>601</v>
      </c>
      <c r="C5" s="13" t="s">
        <v>602</v>
      </c>
      <c r="D5" s="4">
        <f t="shared" ref="D5:D34" si="0">$D$3</f>
        <v>600</v>
      </c>
      <c r="E5" s="4">
        <f>($T$20+$P$2)*$E$2</f>
        <v>1680</v>
      </c>
      <c r="H5" s="4">
        <f t="shared" ref="H5:H73" si="1">$H$3</f>
        <v>85</v>
      </c>
      <c r="I5" s="4">
        <f t="shared" ref="I5:I73" si="2">($T$5+$P$2)*$I$3</f>
        <v>30</v>
      </c>
      <c r="J5" s="4">
        <f>($T$9)*$J$3</f>
        <v>125</v>
      </c>
      <c r="K5" s="4">
        <f>($T$10)*$K$3</f>
        <v>210</v>
      </c>
      <c r="L5" s="4">
        <v>675</v>
      </c>
      <c r="P5" s="4">
        <f t="shared" ref="P5:P33" si="3">$L$3</f>
        <v>75</v>
      </c>
      <c r="Q5" s="10"/>
      <c r="R5" s="14">
        <f t="shared" ref="R5:R73" si="4">SUM(D5:Q5)</f>
        <v>3480</v>
      </c>
      <c r="T5" s="3">
        <v>1</v>
      </c>
      <c r="V5" s="3">
        <v>1</v>
      </c>
      <c r="W5" s="3">
        <v>1</v>
      </c>
      <c r="X5" s="3">
        <v>1</v>
      </c>
      <c r="Y5" s="2" t="s">
        <v>603</v>
      </c>
      <c r="AA5" s="15">
        <v>0</v>
      </c>
      <c r="AB5" s="2" t="s">
        <v>604</v>
      </c>
      <c r="AG5" s="3">
        <f>I5/$AG$3</f>
        <v>2</v>
      </c>
      <c r="AH5" s="3">
        <f>J5/$AH$3</f>
        <v>5</v>
      </c>
      <c r="AI5" s="3">
        <f>K5/$AI$3</f>
        <v>6</v>
      </c>
    </row>
    <row r="6" spans="1:35" x14ac:dyDescent="0.3">
      <c r="A6" s="12">
        <v>2</v>
      </c>
      <c r="B6" s="12" t="s">
        <v>601</v>
      </c>
      <c r="C6" s="16" t="s">
        <v>605</v>
      </c>
      <c r="D6" s="4">
        <f t="shared" si="0"/>
        <v>600</v>
      </c>
      <c r="E6" s="4">
        <f>($T$8+$P$2)*$E$2</f>
        <v>1400</v>
      </c>
      <c r="H6" s="4">
        <f t="shared" si="1"/>
        <v>85</v>
      </c>
      <c r="I6" s="4">
        <f t="shared" si="2"/>
        <v>30</v>
      </c>
      <c r="J6" s="4">
        <f>($T$9)*$J$3</f>
        <v>125</v>
      </c>
      <c r="K6" s="4">
        <f>($T$9)*$K$3</f>
        <v>175</v>
      </c>
      <c r="L6" s="4">
        <v>675</v>
      </c>
      <c r="P6" s="4">
        <f t="shared" si="3"/>
        <v>75</v>
      </c>
      <c r="Q6" s="10"/>
      <c r="R6" s="14">
        <f t="shared" si="4"/>
        <v>3165</v>
      </c>
      <c r="T6" s="3">
        <v>2</v>
      </c>
      <c r="V6" s="3">
        <v>0</v>
      </c>
      <c r="W6" s="3">
        <v>0</v>
      </c>
      <c r="X6" s="3">
        <v>1</v>
      </c>
      <c r="Y6" s="2" t="s">
        <v>606</v>
      </c>
      <c r="AA6" s="15">
        <v>1</v>
      </c>
      <c r="AB6" s="2" t="s">
        <v>607</v>
      </c>
      <c r="AG6" s="3">
        <f t="shared" ref="AG6:AG74" si="5">I6/$AG$3</f>
        <v>2</v>
      </c>
      <c r="AH6" s="3">
        <f t="shared" ref="AH6:AH74" si="6">J6/$AH$3</f>
        <v>5</v>
      </c>
      <c r="AI6" s="3">
        <f t="shared" ref="AI6:AI74" si="7">K6/$AI$3</f>
        <v>5</v>
      </c>
    </row>
    <row r="7" spans="1:35" x14ac:dyDescent="0.3">
      <c r="A7" s="12">
        <v>3</v>
      </c>
      <c r="B7" s="12" t="s">
        <v>601</v>
      </c>
      <c r="C7" s="16" t="s">
        <v>605</v>
      </c>
      <c r="D7" s="4">
        <f t="shared" si="0"/>
        <v>600</v>
      </c>
      <c r="E7" s="4">
        <f>($T$8+$P$2)*$E$2</f>
        <v>1400</v>
      </c>
      <c r="H7" s="4">
        <f t="shared" si="1"/>
        <v>85</v>
      </c>
      <c r="I7" s="4">
        <f t="shared" si="2"/>
        <v>30</v>
      </c>
      <c r="J7" s="4">
        <f t="shared" ref="J7:J10" si="8">($T$9)*$J$3</f>
        <v>125</v>
      </c>
      <c r="K7" s="4">
        <f t="shared" ref="K7:K10" si="9">($T$9)*$K$3</f>
        <v>175</v>
      </c>
      <c r="L7" s="4">
        <v>675</v>
      </c>
      <c r="P7" s="4">
        <f t="shared" si="3"/>
        <v>75</v>
      </c>
      <c r="Q7" s="10"/>
      <c r="R7" s="14">
        <f t="shared" si="4"/>
        <v>3165</v>
      </c>
      <c r="S7" s="14"/>
      <c r="T7" s="3">
        <v>3</v>
      </c>
      <c r="V7" s="3">
        <v>1</v>
      </c>
      <c r="W7" s="3">
        <v>1</v>
      </c>
      <c r="X7" s="3">
        <v>1</v>
      </c>
      <c r="Y7" s="2" t="s">
        <v>608</v>
      </c>
      <c r="AG7" s="3">
        <f t="shared" si="5"/>
        <v>2</v>
      </c>
      <c r="AH7" s="3">
        <f t="shared" si="6"/>
        <v>5</v>
      </c>
      <c r="AI7" s="3">
        <f t="shared" si="7"/>
        <v>5</v>
      </c>
    </row>
    <row r="8" spans="1:35" x14ac:dyDescent="0.3">
      <c r="A8" s="12">
        <v>4</v>
      </c>
      <c r="B8" s="12" t="s">
        <v>601</v>
      </c>
      <c r="C8" s="16" t="s">
        <v>605</v>
      </c>
      <c r="D8" s="4">
        <f t="shared" si="0"/>
        <v>600</v>
      </c>
      <c r="E8" s="4">
        <f>($T$8+$P$2)*$E$2</f>
        <v>1400</v>
      </c>
      <c r="H8" s="4">
        <f t="shared" si="1"/>
        <v>85</v>
      </c>
      <c r="I8" s="4">
        <f t="shared" si="2"/>
        <v>30</v>
      </c>
      <c r="J8" s="4">
        <f t="shared" si="8"/>
        <v>125</v>
      </c>
      <c r="K8" s="4">
        <f t="shared" si="9"/>
        <v>175</v>
      </c>
      <c r="L8" s="4">
        <v>675</v>
      </c>
      <c r="P8" s="4">
        <f t="shared" si="3"/>
        <v>75</v>
      </c>
      <c r="Q8" s="10"/>
      <c r="R8" s="14">
        <f t="shared" si="4"/>
        <v>3165</v>
      </c>
      <c r="T8" s="3">
        <v>4</v>
      </c>
      <c r="V8" s="3">
        <v>0</v>
      </c>
      <c r="W8" s="3">
        <v>0</v>
      </c>
      <c r="X8" s="3">
        <v>1</v>
      </c>
      <c r="Y8" s="2" t="s">
        <v>609</v>
      </c>
      <c r="AG8" s="3">
        <f t="shared" si="5"/>
        <v>2</v>
      </c>
      <c r="AH8" s="3">
        <f t="shared" si="6"/>
        <v>5</v>
      </c>
      <c r="AI8" s="3">
        <f t="shared" si="7"/>
        <v>5</v>
      </c>
    </row>
    <row r="9" spans="1:35" x14ac:dyDescent="0.3">
      <c r="A9" s="12">
        <v>5</v>
      </c>
      <c r="B9" s="12" t="s">
        <v>601</v>
      </c>
      <c r="C9" s="16" t="s">
        <v>605</v>
      </c>
      <c r="D9" s="4">
        <f>$D$3</f>
        <v>600</v>
      </c>
      <c r="E9" s="4">
        <f>($T$8+$P$2)*$E$2</f>
        <v>1400</v>
      </c>
      <c r="H9" s="4">
        <f t="shared" si="1"/>
        <v>85</v>
      </c>
      <c r="I9" s="4">
        <f t="shared" si="2"/>
        <v>30</v>
      </c>
      <c r="J9" s="4">
        <f t="shared" si="8"/>
        <v>125</v>
      </c>
      <c r="K9" s="4">
        <f t="shared" si="9"/>
        <v>175</v>
      </c>
      <c r="L9" s="4">
        <v>675</v>
      </c>
      <c r="P9" s="4">
        <f t="shared" si="3"/>
        <v>75</v>
      </c>
      <c r="Q9" s="10"/>
      <c r="R9" s="14">
        <f t="shared" si="4"/>
        <v>3165</v>
      </c>
      <c r="T9" s="3">
        <v>5</v>
      </c>
      <c r="V9" s="3">
        <v>0</v>
      </c>
      <c r="W9" s="3">
        <v>1</v>
      </c>
      <c r="X9" s="3">
        <v>1</v>
      </c>
      <c r="Y9" s="2" t="s">
        <v>610</v>
      </c>
      <c r="AG9" s="3">
        <f t="shared" si="5"/>
        <v>2</v>
      </c>
      <c r="AH9" s="3">
        <f t="shared" si="6"/>
        <v>5</v>
      </c>
      <c r="AI9" s="3">
        <f t="shared" si="7"/>
        <v>5</v>
      </c>
    </row>
    <row r="10" spans="1:35" x14ac:dyDescent="0.3">
      <c r="A10" s="12">
        <v>6</v>
      </c>
      <c r="B10" s="12" t="s">
        <v>601</v>
      </c>
      <c r="C10" s="16" t="s">
        <v>605</v>
      </c>
      <c r="D10" s="4">
        <f t="shared" si="0"/>
        <v>600</v>
      </c>
      <c r="E10" s="4">
        <f>($T$8+$P$2)*$E$2</f>
        <v>1400</v>
      </c>
      <c r="H10" s="4">
        <f t="shared" si="1"/>
        <v>85</v>
      </c>
      <c r="I10" s="4">
        <f t="shared" si="2"/>
        <v>30</v>
      </c>
      <c r="J10" s="4">
        <f t="shared" si="8"/>
        <v>125</v>
      </c>
      <c r="K10" s="4">
        <f t="shared" si="9"/>
        <v>175</v>
      </c>
      <c r="L10" s="4">
        <v>675</v>
      </c>
      <c r="P10" s="4">
        <f t="shared" si="3"/>
        <v>75</v>
      </c>
      <c r="Q10" s="10"/>
      <c r="R10" s="14">
        <f t="shared" si="4"/>
        <v>3165</v>
      </c>
      <c r="T10" s="3">
        <v>6</v>
      </c>
      <c r="V10" s="3">
        <v>0</v>
      </c>
      <c r="W10" s="3">
        <v>1</v>
      </c>
      <c r="X10" s="3">
        <v>0</v>
      </c>
      <c r="Y10" s="2" t="s">
        <v>611</v>
      </c>
      <c r="AG10" s="3">
        <f t="shared" si="5"/>
        <v>2</v>
      </c>
      <c r="AH10" s="3">
        <f t="shared" si="6"/>
        <v>5</v>
      </c>
      <c r="AI10" s="3">
        <f t="shared" si="7"/>
        <v>5</v>
      </c>
    </row>
    <row r="11" spans="1:35" x14ac:dyDescent="0.3">
      <c r="A11" s="12"/>
      <c r="B11" s="12"/>
      <c r="C11" s="16" t="s">
        <v>984</v>
      </c>
      <c r="P11" s="4">
        <v>1850</v>
      </c>
      <c r="Q11" s="10"/>
      <c r="R11" s="14">
        <f t="shared" si="4"/>
        <v>1850</v>
      </c>
      <c r="T11" s="3"/>
      <c r="V11" s="3"/>
      <c r="W11" s="3"/>
      <c r="X11" s="3"/>
      <c r="AG11" s="3"/>
      <c r="AH11" s="3"/>
      <c r="AI11" s="3"/>
    </row>
    <row r="12" spans="1:35" x14ac:dyDescent="0.3">
      <c r="A12" s="12"/>
      <c r="B12" s="12"/>
      <c r="C12" s="16" t="s">
        <v>984</v>
      </c>
      <c r="P12" s="4">
        <v>1850</v>
      </c>
      <c r="Q12" s="10"/>
      <c r="R12" s="14">
        <f t="shared" si="4"/>
        <v>1850</v>
      </c>
      <c r="T12" s="3"/>
      <c r="V12" s="3"/>
      <c r="W12" s="3"/>
      <c r="X12" s="3"/>
      <c r="AG12" s="3"/>
      <c r="AH12" s="3"/>
      <c r="AI12" s="3"/>
    </row>
    <row r="13" spans="1:35" x14ac:dyDescent="0.3">
      <c r="A13" s="12"/>
      <c r="B13" s="12"/>
      <c r="C13" s="16" t="s">
        <v>984</v>
      </c>
      <c r="P13" s="4">
        <v>1850</v>
      </c>
      <c r="Q13" s="10"/>
      <c r="R13" s="14">
        <f t="shared" si="4"/>
        <v>1850</v>
      </c>
      <c r="T13" s="3"/>
      <c r="V13" s="3"/>
      <c r="W13" s="3"/>
      <c r="X13" s="3"/>
      <c r="AG13" s="3"/>
      <c r="AH13" s="3"/>
      <c r="AI13" s="3"/>
    </row>
    <row r="14" spans="1:35" x14ac:dyDescent="0.3">
      <c r="A14" s="12"/>
      <c r="B14" s="12"/>
      <c r="C14" s="16" t="s">
        <v>984</v>
      </c>
      <c r="P14" s="4">
        <v>1850</v>
      </c>
      <c r="Q14" s="10"/>
      <c r="R14" s="14">
        <f t="shared" si="4"/>
        <v>1850</v>
      </c>
      <c r="T14" s="3"/>
      <c r="V14" s="3"/>
      <c r="W14" s="3"/>
      <c r="X14" s="3"/>
      <c r="AG14" s="3"/>
      <c r="AH14" s="3"/>
      <c r="AI14" s="3"/>
    </row>
    <row r="15" spans="1:35" x14ac:dyDescent="0.3">
      <c r="A15" s="12"/>
      <c r="B15" s="12"/>
      <c r="C15" s="16" t="s">
        <v>984</v>
      </c>
      <c r="P15" s="4">
        <v>1850</v>
      </c>
      <c r="Q15" s="10"/>
      <c r="R15" s="14">
        <f t="shared" si="4"/>
        <v>1850</v>
      </c>
      <c r="T15" s="3"/>
      <c r="V15" s="3"/>
      <c r="W15" s="3"/>
      <c r="X15" s="3"/>
      <c r="AG15" s="3"/>
      <c r="AH15" s="3"/>
      <c r="AI15" s="3"/>
    </row>
    <row r="16" spans="1:35" ht="14.5" thickBot="1" x14ac:dyDescent="0.35">
      <c r="A16" s="12">
        <v>7</v>
      </c>
      <c r="B16" s="12" t="s">
        <v>601</v>
      </c>
      <c r="C16" s="13" t="s">
        <v>612</v>
      </c>
      <c r="D16" s="4">
        <f t="shared" si="0"/>
        <v>600</v>
      </c>
      <c r="E16" s="4">
        <f t="shared" ref="E16:E34" si="10">($T$20+$P$2)*$E$2</f>
        <v>1680</v>
      </c>
      <c r="H16" s="4">
        <f t="shared" si="1"/>
        <v>85</v>
      </c>
      <c r="I16" s="4">
        <f t="shared" si="2"/>
        <v>30</v>
      </c>
      <c r="J16" s="4">
        <f>($T$9)*$J$3</f>
        <v>125</v>
      </c>
      <c r="K16" s="4">
        <f t="shared" ref="K16:K34" si="11">($T$10)*$K$3</f>
        <v>210</v>
      </c>
      <c r="L16" s="4">
        <v>675</v>
      </c>
      <c r="P16" s="4">
        <f t="shared" si="3"/>
        <v>75</v>
      </c>
      <c r="Q16" s="10"/>
      <c r="R16" s="14">
        <f t="shared" si="4"/>
        <v>3480</v>
      </c>
      <c r="T16" s="3">
        <v>7</v>
      </c>
      <c r="V16" s="3">
        <v>0</v>
      </c>
      <c r="W16" s="3">
        <v>1</v>
      </c>
      <c r="X16" s="3">
        <v>1</v>
      </c>
      <c r="Y16" s="2" t="s">
        <v>613</v>
      </c>
      <c r="AG16" s="3">
        <f t="shared" si="5"/>
        <v>2</v>
      </c>
      <c r="AH16" s="3">
        <f t="shared" si="6"/>
        <v>5</v>
      </c>
      <c r="AI16" s="3">
        <f t="shared" si="7"/>
        <v>6</v>
      </c>
    </row>
    <row r="17" spans="1:35" ht="16" thickBot="1" x14ac:dyDescent="0.4">
      <c r="A17" s="12">
        <v>8</v>
      </c>
      <c r="B17" s="12" t="s">
        <v>601</v>
      </c>
      <c r="C17" s="13" t="s">
        <v>614</v>
      </c>
      <c r="D17" s="4">
        <f t="shared" si="0"/>
        <v>600</v>
      </c>
      <c r="E17" s="4">
        <f t="shared" si="10"/>
        <v>1680</v>
      </c>
      <c r="H17" s="4">
        <f t="shared" si="1"/>
        <v>85</v>
      </c>
      <c r="I17" s="4">
        <f t="shared" si="2"/>
        <v>30</v>
      </c>
      <c r="J17" s="4">
        <f t="shared" ref="J17:J34" si="12">($T$9)*$J$3</f>
        <v>125</v>
      </c>
      <c r="K17" s="4">
        <f t="shared" si="11"/>
        <v>210</v>
      </c>
      <c r="L17" s="4">
        <v>675</v>
      </c>
      <c r="P17" s="4">
        <f t="shared" si="3"/>
        <v>75</v>
      </c>
      <c r="Q17" s="10"/>
      <c r="R17" s="14">
        <f t="shared" si="4"/>
        <v>3480</v>
      </c>
      <c r="T17" s="3">
        <v>8</v>
      </c>
      <c r="V17" s="17">
        <f>SUM(V5:V16)</f>
        <v>2</v>
      </c>
      <c r="W17" s="18">
        <f t="shared" ref="W17:X17" si="13">SUM(W5:W16)</f>
        <v>5</v>
      </c>
      <c r="X17" s="19">
        <f t="shared" si="13"/>
        <v>6</v>
      </c>
      <c r="AG17" s="3">
        <f t="shared" si="5"/>
        <v>2</v>
      </c>
      <c r="AH17" s="3">
        <f t="shared" si="6"/>
        <v>5</v>
      </c>
      <c r="AI17" s="3">
        <f t="shared" si="7"/>
        <v>6</v>
      </c>
    </row>
    <row r="18" spans="1:35" x14ac:dyDescent="0.3">
      <c r="A18" s="12">
        <v>9</v>
      </c>
      <c r="B18" s="12" t="s">
        <v>601</v>
      </c>
      <c r="C18" s="13" t="s">
        <v>615</v>
      </c>
      <c r="D18" s="4">
        <f t="shared" si="0"/>
        <v>600</v>
      </c>
      <c r="E18" s="4">
        <f t="shared" si="10"/>
        <v>1680</v>
      </c>
      <c r="H18" s="4">
        <f t="shared" si="1"/>
        <v>85</v>
      </c>
      <c r="I18" s="4">
        <f t="shared" si="2"/>
        <v>30</v>
      </c>
      <c r="J18" s="4">
        <f t="shared" si="12"/>
        <v>125</v>
      </c>
      <c r="K18" s="4">
        <f t="shared" si="11"/>
        <v>210</v>
      </c>
      <c r="L18" s="4">
        <v>675</v>
      </c>
      <c r="P18" s="4">
        <f t="shared" si="3"/>
        <v>75</v>
      </c>
      <c r="Q18" s="10"/>
      <c r="R18" s="14">
        <f t="shared" si="4"/>
        <v>3480</v>
      </c>
      <c r="T18" s="3"/>
      <c r="AG18" s="3">
        <f t="shared" si="5"/>
        <v>2</v>
      </c>
      <c r="AH18" s="3">
        <f t="shared" si="6"/>
        <v>5</v>
      </c>
      <c r="AI18" s="3">
        <f t="shared" si="7"/>
        <v>6</v>
      </c>
    </row>
    <row r="19" spans="1:35" ht="14.5" thickBot="1" x14ac:dyDescent="0.35">
      <c r="A19" s="12">
        <v>10</v>
      </c>
      <c r="B19" s="12" t="s">
        <v>601</v>
      </c>
      <c r="C19" s="13" t="s">
        <v>616</v>
      </c>
      <c r="D19" s="4">
        <f t="shared" si="0"/>
        <v>600</v>
      </c>
      <c r="E19" s="4">
        <f t="shared" si="10"/>
        <v>1680</v>
      </c>
      <c r="H19" s="4">
        <f t="shared" si="1"/>
        <v>85</v>
      </c>
      <c r="I19" s="4">
        <f t="shared" si="2"/>
        <v>30</v>
      </c>
      <c r="J19" s="4">
        <f t="shared" si="12"/>
        <v>125</v>
      </c>
      <c r="K19" s="4">
        <f t="shared" si="11"/>
        <v>210</v>
      </c>
      <c r="L19" s="4">
        <v>675</v>
      </c>
      <c r="P19" s="4">
        <f t="shared" si="3"/>
        <v>75</v>
      </c>
      <c r="Q19" s="10"/>
      <c r="R19" s="14">
        <f t="shared" si="4"/>
        <v>3480</v>
      </c>
      <c r="T19" s="3"/>
      <c r="AG19" s="3">
        <f t="shared" si="5"/>
        <v>2</v>
      </c>
      <c r="AH19" s="3">
        <f t="shared" si="6"/>
        <v>5</v>
      </c>
      <c r="AI19" s="3">
        <f t="shared" si="7"/>
        <v>6</v>
      </c>
    </row>
    <row r="20" spans="1:35" ht="16" thickBot="1" x14ac:dyDescent="0.4">
      <c r="A20" s="12">
        <v>11</v>
      </c>
      <c r="B20" s="12" t="s">
        <v>601</v>
      </c>
      <c r="C20" s="13" t="s">
        <v>617</v>
      </c>
      <c r="D20" s="4">
        <f t="shared" si="0"/>
        <v>600</v>
      </c>
      <c r="E20" s="4">
        <f t="shared" si="10"/>
        <v>1680</v>
      </c>
      <c r="H20" s="4">
        <f t="shared" si="1"/>
        <v>85</v>
      </c>
      <c r="I20" s="4">
        <f t="shared" si="2"/>
        <v>30</v>
      </c>
      <c r="J20" s="4">
        <f t="shared" si="12"/>
        <v>125</v>
      </c>
      <c r="K20" s="4">
        <f t="shared" si="11"/>
        <v>210</v>
      </c>
      <c r="L20" s="4">
        <v>675</v>
      </c>
      <c r="P20" s="4">
        <f t="shared" si="3"/>
        <v>75</v>
      </c>
      <c r="Q20" s="10"/>
      <c r="R20" s="14">
        <f t="shared" si="4"/>
        <v>3480</v>
      </c>
      <c r="T20" s="3">
        <v>5</v>
      </c>
      <c r="U20" s="2" t="s">
        <v>601</v>
      </c>
      <c r="V20" s="320" t="s">
        <v>618</v>
      </c>
      <c r="W20" s="321"/>
      <c r="X20" s="321"/>
      <c r="Y20" s="322"/>
      <c r="AG20" s="3">
        <f t="shared" si="5"/>
        <v>2</v>
      </c>
      <c r="AH20" s="3">
        <f t="shared" si="6"/>
        <v>5</v>
      </c>
      <c r="AI20" s="3">
        <f t="shared" si="7"/>
        <v>6</v>
      </c>
    </row>
    <row r="21" spans="1:35" x14ac:dyDescent="0.3">
      <c r="A21" s="12">
        <v>12</v>
      </c>
      <c r="B21" s="12" t="s">
        <v>601</v>
      </c>
      <c r="C21" s="13" t="s">
        <v>619</v>
      </c>
      <c r="D21" s="4">
        <f t="shared" si="0"/>
        <v>600</v>
      </c>
      <c r="E21" s="4">
        <f t="shared" si="10"/>
        <v>1680</v>
      </c>
      <c r="H21" s="4">
        <f t="shared" si="1"/>
        <v>85</v>
      </c>
      <c r="I21" s="4">
        <f t="shared" si="2"/>
        <v>30</v>
      </c>
      <c r="J21" s="4">
        <f t="shared" si="12"/>
        <v>125</v>
      </c>
      <c r="K21" s="4">
        <f t="shared" si="11"/>
        <v>210</v>
      </c>
      <c r="L21" s="4">
        <v>675</v>
      </c>
      <c r="P21" s="4">
        <f t="shared" si="3"/>
        <v>75</v>
      </c>
      <c r="Q21" s="10"/>
      <c r="R21" s="14">
        <f t="shared" si="4"/>
        <v>3480</v>
      </c>
      <c r="T21" s="3">
        <v>2</v>
      </c>
      <c r="U21" s="2" t="s">
        <v>620</v>
      </c>
      <c r="V21" s="3">
        <v>1</v>
      </c>
      <c r="W21" s="3">
        <v>1</v>
      </c>
      <c r="X21" s="3">
        <v>1</v>
      </c>
      <c r="Y21" s="2" t="s">
        <v>606</v>
      </c>
      <c r="AG21" s="3">
        <f t="shared" si="5"/>
        <v>2</v>
      </c>
      <c r="AH21" s="3">
        <f t="shared" si="6"/>
        <v>5</v>
      </c>
      <c r="AI21" s="3">
        <f t="shared" si="7"/>
        <v>6</v>
      </c>
    </row>
    <row r="22" spans="1:35" x14ac:dyDescent="0.3">
      <c r="A22" s="12">
        <v>13</v>
      </c>
      <c r="B22" s="12" t="s">
        <v>601</v>
      </c>
      <c r="C22" s="13" t="s">
        <v>621</v>
      </c>
      <c r="D22" s="4">
        <f t="shared" si="0"/>
        <v>600</v>
      </c>
      <c r="E22" s="4">
        <f t="shared" si="10"/>
        <v>1680</v>
      </c>
      <c r="H22" s="4">
        <f t="shared" si="1"/>
        <v>85</v>
      </c>
      <c r="I22" s="4">
        <f t="shared" si="2"/>
        <v>30</v>
      </c>
      <c r="J22" s="4">
        <f t="shared" si="12"/>
        <v>125</v>
      </c>
      <c r="K22" s="4">
        <f t="shared" si="11"/>
        <v>210</v>
      </c>
      <c r="L22" s="4">
        <v>675</v>
      </c>
      <c r="P22" s="4">
        <f t="shared" si="3"/>
        <v>75</v>
      </c>
      <c r="Q22" s="10"/>
      <c r="R22" s="14">
        <f t="shared" si="4"/>
        <v>3480</v>
      </c>
      <c r="T22" s="3">
        <v>5</v>
      </c>
      <c r="U22" s="2" t="s">
        <v>622</v>
      </c>
      <c r="V22" s="3">
        <v>1</v>
      </c>
      <c r="W22" s="3">
        <v>1</v>
      </c>
      <c r="X22" s="3">
        <v>1</v>
      </c>
      <c r="Y22" s="2" t="s">
        <v>608</v>
      </c>
      <c r="AG22" s="3">
        <f t="shared" si="5"/>
        <v>2</v>
      </c>
      <c r="AH22" s="3">
        <f t="shared" si="6"/>
        <v>5</v>
      </c>
      <c r="AI22" s="3">
        <f t="shared" si="7"/>
        <v>6</v>
      </c>
    </row>
    <row r="23" spans="1:35" x14ac:dyDescent="0.3">
      <c r="A23" s="12">
        <v>14</v>
      </c>
      <c r="B23" s="12" t="s">
        <v>601</v>
      </c>
      <c r="C23" s="13" t="s">
        <v>623</v>
      </c>
      <c r="D23" s="4">
        <f t="shared" si="0"/>
        <v>600</v>
      </c>
      <c r="E23" s="4">
        <f t="shared" si="10"/>
        <v>1680</v>
      </c>
      <c r="H23" s="4">
        <f t="shared" si="1"/>
        <v>85</v>
      </c>
      <c r="I23" s="4">
        <f t="shared" si="2"/>
        <v>30</v>
      </c>
      <c r="J23" s="4">
        <f t="shared" si="12"/>
        <v>125</v>
      </c>
      <c r="K23" s="4">
        <f t="shared" si="11"/>
        <v>210</v>
      </c>
      <c r="L23" s="4">
        <v>675</v>
      </c>
      <c r="P23" s="4">
        <f t="shared" si="3"/>
        <v>75</v>
      </c>
      <c r="Q23" s="10"/>
      <c r="R23" s="14">
        <f t="shared" si="4"/>
        <v>3480</v>
      </c>
      <c r="T23" s="3">
        <v>1</v>
      </c>
      <c r="U23" s="2" t="s">
        <v>624</v>
      </c>
      <c r="V23" s="3">
        <v>0</v>
      </c>
      <c r="W23" s="3">
        <v>0</v>
      </c>
      <c r="X23" s="3">
        <v>1</v>
      </c>
      <c r="Y23" s="2" t="s">
        <v>609</v>
      </c>
      <c r="AG23" s="3">
        <f t="shared" si="5"/>
        <v>2</v>
      </c>
      <c r="AH23" s="3">
        <f t="shared" si="6"/>
        <v>5</v>
      </c>
      <c r="AI23" s="3">
        <f t="shared" si="7"/>
        <v>6</v>
      </c>
    </row>
    <row r="24" spans="1:35" x14ac:dyDescent="0.3">
      <c r="A24" s="12">
        <v>15</v>
      </c>
      <c r="B24" s="12" t="s">
        <v>601</v>
      </c>
      <c r="C24" s="13" t="s">
        <v>625</v>
      </c>
      <c r="D24" s="4">
        <f t="shared" si="0"/>
        <v>600</v>
      </c>
      <c r="E24" s="4">
        <f t="shared" si="10"/>
        <v>1680</v>
      </c>
      <c r="H24" s="4">
        <f t="shared" si="1"/>
        <v>85</v>
      </c>
      <c r="I24" s="4">
        <f t="shared" si="2"/>
        <v>30</v>
      </c>
      <c r="J24" s="4">
        <f t="shared" si="12"/>
        <v>125</v>
      </c>
      <c r="K24" s="4">
        <f t="shared" si="11"/>
        <v>210</v>
      </c>
      <c r="L24" s="4">
        <v>675</v>
      </c>
      <c r="P24" s="4">
        <f t="shared" si="3"/>
        <v>75</v>
      </c>
      <c r="Q24" s="10"/>
      <c r="R24" s="14">
        <f t="shared" si="4"/>
        <v>3480</v>
      </c>
      <c r="T24" s="3">
        <v>2</v>
      </c>
      <c r="U24" s="2" t="s">
        <v>626</v>
      </c>
      <c r="V24" s="3">
        <v>0</v>
      </c>
      <c r="W24" s="3">
        <v>1</v>
      </c>
      <c r="X24" s="3">
        <v>1</v>
      </c>
      <c r="Y24" s="2" t="s">
        <v>610</v>
      </c>
      <c r="AA24" s="14">
        <f>R21*5</f>
        <v>17400</v>
      </c>
      <c r="AG24" s="3">
        <f t="shared" si="5"/>
        <v>2</v>
      </c>
      <c r="AH24" s="3">
        <f t="shared" si="6"/>
        <v>5</v>
      </c>
      <c r="AI24" s="3">
        <f t="shared" si="7"/>
        <v>6</v>
      </c>
    </row>
    <row r="25" spans="1:35" x14ac:dyDescent="0.3">
      <c r="A25" s="12">
        <v>16</v>
      </c>
      <c r="B25" s="12" t="s">
        <v>601</v>
      </c>
      <c r="C25" s="13" t="s">
        <v>627</v>
      </c>
      <c r="D25" s="4">
        <f t="shared" si="0"/>
        <v>600</v>
      </c>
      <c r="E25" s="4">
        <f t="shared" si="10"/>
        <v>1680</v>
      </c>
      <c r="H25" s="4">
        <f t="shared" si="1"/>
        <v>85</v>
      </c>
      <c r="I25" s="4">
        <f t="shared" si="2"/>
        <v>30</v>
      </c>
      <c r="J25" s="4">
        <f t="shared" si="12"/>
        <v>125</v>
      </c>
      <c r="K25" s="4">
        <f t="shared" si="11"/>
        <v>210</v>
      </c>
      <c r="L25" s="4">
        <v>675</v>
      </c>
      <c r="P25" s="4">
        <f t="shared" si="3"/>
        <v>75</v>
      </c>
      <c r="Q25" s="10"/>
      <c r="R25" s="14">
        <f t="shared" si="4"/>
        <v>3480</v>
      </c>
      <c r="T25" s="3">
        <v>1</v>
      </c>
      <c r="U25" s="2" t="s">
        <v>628</v>
      </c>
      <c r="V25" s="3">
        <v>0</v>
      </c>
      <c r="W25" s="3">
        <v>1</v>
      </c>
      <c r="X25" s="3">
        <v>0</v>
      </c>
      <c r="Y25" s="2" t="s">
        <v>611</v>
      </c>
      <c r="AG25" s="3">
        <f t="shared" si="5"/>
        <v>2</v>
      </c>
      <c r="AH25" s="3">
        <f t="shared" si="6"/>
        <v>5</v>
      </c>
      <c r="AI25" s="3">
        <f t="shared" si="7"/>
        <v>6</v>
      </c>
    </row>
    <row r="26" spans="1:35" ht="14.5" thickBot="1" x14ac:dyDescent="0.35">
      <c r="A26" s="12">
        <v>17</v>
      </c>
      <c r="B26" s="12" t="s">
        <v>601</v>
      </c>
      <c r="C26" s="13" t="s">
        <v>629</v>
      </c>
      <c r="D26" s="4">
        <f t="shared" si="0"/>
        <v>600</v>
      </c>
      <c r="E26" s="4">
        <f t="shared" si="10"/>
        <v>1680</v>
      </c>
      <c r="H26" s="4">
        <f t="shared" si="1"/>
        <v>85</v>
      </c>
      <c r="I26" s="4">
        <f t="shared" si="2"/>
        <v>30</v>
      </c>
      <c r="J26" s="4">
        <f t="shared" si="12"/>
        <v>125</v>
      </c>
      <c r="K26" s="4">
        <f t="shared" si="11"/>
        <v>210</v>
      </c>
      <c r="L26" s="4">
        <v>675</v>
      </c>
      <c r="P26" s="4">
        <f t="shared" si="3"/>
        <v>75</v>
      </c>
      <c r="Q26" s="10"/>
      <c r="R26" s="14">
        <f t="shared" si="4"/>
        <v>3480</v>
      </c>
      <c r="V26" s="3">
        <v>0</v>
      </c>
      <c r="W26" s="3">
        <v>1</v>
      </c>
      <c r="X26" s="3">
        <v>1</v>
      </c>
      <c r="Y26" s="2" t="s">
        <v>613</v>
      </c>
      <c r="AG26" s="3">
        <f t="shared" si="5"/>
        <v>2</v>
      </c>
      <c r="AH26" s="3">
        <f t="shared" si="6"/>
        <v>5</v>
      </c>
      <c r="AI26" s="3">
        <f t="shared" si="7"/>
        <v>6</v>
      </c>
    </row>
    <row r="27" spans="1:35" ht="16" thickBot="1" x14ac:dyDescent="0.4">
      <c r="A27" s="12">
        <v>18</v>
      </c>
      <c r="B27" s="12" t="s">
        <v>601</v>
      </c>
      <c r="C27" s="13" t="s">
        <v>630</v>
      </c>
      <c r="D27" s="4">
        <f t="shared" si="0"/>
        <v>600</v>
      </c>
      <c r="E27" s="4">
        <f t="shared" si="10"/>
        <v>1680</v>
      </c>
      <c r="H27" s="4">
        <f t="shared" si="1"/>
        <v>85</v>
      </c>
      <c r="I27" s="4">
        <f t="shared" si="2"/>
        <v>30</v>
      </c>
      <c r="J27" s="4">
        <f t="shared" si="12"/>
        <v>125</v>
      </c>
      <c r="K27" s="4">
        <f t="shared" si="11"/>
        <v>210</v>
      </c>
      <c r="L27" s="4">
        <v>675</v>
      </c>
      <c r="P27" s="4">
        <f t="shared" si="3"/>
        <v>75</v>
      </c>
      <c r="Q27" s="10"/>
      <c r="R27" s="14">
        <f t="shared" si="4"/>
        <v>3480</v>
      </c>
      <c r="T27" s="3">
        <v>1</v>
      </c>
      <c r="U27" s="2" t="s">
        <v>631</v>
      </c>
      <c r="V27" s="17">
        <f>SUM(V20:V26)</f>
        <v>2</v>
      </c>
      <c r="W27" s="18">
        <f t="shared" ref="W27:X27" si="14">SUM(W20:W26)</f>
        <v>5</v>
      </c>
      <c r="X27" s="19">
        <f t="shared" si="14"/>
        <v>5</v>
      </c>
      <c r="AG27" s="3">
        <f t="shared" si="5"/>
        <v>2</v>
      </c>
      <c r="AH27" s="3">
        <f t="shared" si="6"/>
        <v>5</v>
      </c>
      <c r="AI27" s="3">
        <f t="shared" si="7"/>
        <v>6</v>
      </c>
    </row>
    <row r="28" spans="1:35" x14ac:dyDescent="0.3">
      <c r="A28" s="12">
        <v>19</v>
      </c>
      <c r="B28" s="12" t="s">
        <v>601</v>
      </c>
      <c r="C28" s="13" t="s">
        <v>632</v>
      </c>
      <c r="D28" s="4">
        <f t="shared" si="0"/>
        <v>600</v>
      </c>
      <c r="E28" s="4">
        <f t="shared" si="10"/>
        <v>1680</v>
      </c>
      <c r="H28" s="4">
        <f t="shared" si="1"/>
        <v>85</v>
      </c>
      <c r="I28" s="4">
        <f t="shared" si="2"/>
        <v>30</v>
      </c>
      <c r="J28" s="4">
        <f t="shared" si="12"/>
        <v>125</v>
      </c>
      <c r="K28" s="4">
        <f t="shared" si="11"/>
        <v>210</v>
      </c>
      <c r="L28" s="4">
        <v>675</v>
      </c>
      <c r="P28" s="4">
        <f t="shared" si="3"/>
        <v>75</v>
      </c>
      <c r="Q28" s="10"/>
      <c r="R28" s="14">
        <f t="shared" si="4"/>
        <v>3480</v>
      </c>
      <c r="T28" s="3">
        <v>2</v>
      </c>
      <c r="U28" s="20" t="s">
        <v>633</v>
      </c>
      <c r="AG28" s="3">
        <f t="shared" si="5"/>
        <v>2</v>
      </c>
      <c r="AH28" s="3">
        <f t="shared" si="6"/>
        <v>5</v>
      </c>
      <c r="AI28" s="3">
        <f t="shared" si="7"/>
        <v>6</v>
      </c>
    </row>
    <row r="29" spans="1:35" x14ac:dyDescent="0.3">
      <c r="A29" s="12">
        <v>20</v>
      </c>
      <c r="B29" s="12" t="s">
        <v>601</v>
      </c>
      <c r="C29" s="13" t="s">
        <v>634</v>
      </c>
      <c r="D29" s="4">
        <f t="shared" si="0"/>
        <v>600</v>
      </c>
      <c r="E29" s="4">
        <f t="shared" si="10"/>
        <v>1680</v>
      </c>
      <c r="H29" s="4">
        <f t="shared" si="1"/>
        <v>85</v>
      </c>
      <c r="I29" s="4">
        <f t="shared" si="2"/>
        <v>30</v>
      </c>
      <c r="J29" s="4">
        <f t="shared" si="12"/>
        <v>125</v>
      </c>
      <c r="K29" s="4">
        <f t="shared" si="11"/>
        <v>210</v>
      </c>
      <c r="L29" s="4">
        <v>675</v>
      </c>
      <c r="P29" s="4">
        <f t="shared" si="3"/>
        <v>75</v>
      </c>
      <c r="Q29" s="10"/>
      <c r="R29" s="14">
        <f t="shared" si="4"/>
        <v>3480</v>
      </c>
      <c r="T29" s="3">
        <v>2</v>
      </c>
      <c r="U29" s="2" t="s">
        <v>635</v>
      </c>
      <c r="AG29" s="3">
        <f t="shared" si="5"/>
        <v>2</v>
      </c>
      <c r="AH29" s="3">
        <f t="shared" si="6"/>
        <v>5</v>
      </c>
      <c r="AI29" s="3">
        <f t="shared" si="7"/>
        <v>6</v>
      </c>
    </row>
    <row r="30" spans="1:35" x14ac:dyDescent="0.3">
      <c r="A30" s="12">
        <v>21</v>
      </c>
      <c r="B30" s="12" t="s">
        <v>601</v>
      </c>
      <c r="C30" s="13" t="s">
        <v>636</v>
      </c>
      <c r="D30" s="4">
        <f t="shared" si="0"/>
        <v>600</v>
      </c>
      <c r="E30" s="4">
        <f t="shared" si="10"/>
        <v>1680</v>
      </c>
      <c r="H30" s="4">
        <f t="shared" si="1"/>
        <v>85</v>
      </c>
      <c r="I30" s="4">
        <f t="shared" si="2"/>
        <v>30</v>
      </c>
      <c r="J30" s="4">
        <f t="shared" si="12"/>
        <v>125</v>
      </c>
      <c r="K30" s="4">
        <f t="shared" si="11"/>
        <v>210</v>
      </c>
      <c r="L30" s="4">
        <v>675</v>
      </c>
      <c r="P30" s="4">
        <f t="shared" si="3"/>
        <v>75</v>
      </c>
      <c r="Q30" s="10"/>
      <c r="R30" s="14">
        <f t="shared" si="4"/>
        <v>3480</v>
      </c>
      <c r="T30" s="3">
        <v>3</v>
      </c>
      <c r="U30" s="2" t="s">
        <v>637</v>
      </c>
      <c r="AG30" s="3">
        <f t="shared" si="5"/>
        <v>2</v>
      </c>
      <c r="AH30" s="3">
        <f t="shared" si="6"/>
        <v>5</v>
      </c>
      <c r="AI30" s="3">
        <f t="shared" si="7"/>
        <v>6</v>
      </c>
    </row>
    <row r="31" spans="1:35" x14ac:dyDescent="0.3">
      <c r="A31" s="12">
        <v>22</v>
      </c>
      <c r="B31" s="12" t="s">
        <v>601</v>
      </c>
      <c r="C31" s="13" t="s">
        <v>638</v>
      </c>
      <c r="D31" s="4">
        <f t="shared" si="0"/>
        <v>600</v>
      </c>
      <c r="E31" s="4">
        <f t="shared" si="10"/>
        <v>1680</v>
      </c>
      <c r="H31" s="4">
        <f t="shared" si="1"/>
        <v>85</v>
      </c>
      <c r="I31" s="4">
        <f t="shared" si="2"/>
        <v>30</v>
      </c>
      <c r="J31" s="4">
        <f t="shared" si="12"/>
        <v>125</v>
      </c>
      <c r="K31" s="4">
        <f t="shared" si="11"/>
        <v>210</v>
      </c>
      <c r="L31" s="4">
        <v>675</v>
      </c>
      <c r="P31" s="4">
        <f t="shared" si="3"/>
        <v>75</v>
      </c>
      <c r="Q31" s="10"/>
      <c r="R31" s="14">
        <f t="shared" si="4"/>
        <v>3480</v>
      </c>
      <c r="AG31" s="3">
        <f t="shared" si="5"/>
        <v>2</v>
      </c>
      <c r="AH31" s="3">
        <f t="shared" si="6"/>
        <v>5</v>
      </c>
      <c r="AI31" s="3">
        <f t="shared" si="7"/>
        <v>6</v>
      </c>
    </row>
    <row r="32" spans="1:35" x14ac:dyDescent="0.3">
      <c r="A32" s="12">
        <v>23</v>
      </c>
      <c r="B32" s="12" t="s">
        <v>601</v>
      </c>
      <c r="C32" s="13" t="s">
        <v>639</v>
      </c>
      <c r="D32" s="4">
        <f t="shared" si="0"/>
        <v>600</v>
      </c>
      <c r="E32" s="4">
        <f t="shared" si="10"/>
        <v>1680</v>
      </c>
      <c r="H32" s="4">
        <f t="shared" si="1"/>
        <v>85</v>
      </c>
      <c r="I32" s="4">
        <f t="shared" si="2"/>
        <v>30</v>
      </c>
      <c r="J32" s="4">
        <f t="shared" si="12"/>
        <v>125</v>
      </c>
      <c r="K32" s="4">
        <f t="shared" si="11"/>
        <v>210</v>
      </c>
      <c r="L32" s="4">
        <v>675</v>
      </c>
      <c r="P32" s="4">
        <f t="shared" si="3"/>
        <v>75</v>
      </c>
      <c r="Q32" s="10"/>
      <c r="R32" s="14">
        <f t="shared" si="4"/>
        <v>3480</v>
      </c>
      <c r="AG32" s="3">
        <f t="shared" si="5"/>
        <v>2</v>
      </c>
      <c r="AH32" s="3">
        <f t="shared" si="6"/>
        <v>5</v>
      </c>
      <c r="AI32" s="3">
        <f t="shared" si="7"/>
        <v>6</v>
      </c>
    </row>
    <row r="33" spans="1:39" ht="14.5" thickBot="1" x14ac:dyDescent="0.35">
      <c r="A33" s="12">
        <v>24</v>
      </c>
      <c r="B33" s="12" t="s">
        <v>601</v>
      </c>
      <c r="C33" s="13" t="s">
        <v>640</v>
      </c>
      <c r="D33" s="4">
        <f t="shared" si="0"/>
        <v>600</v>
      </c>
      <c r="E33" s="4">
        <f t="shared" si="10"/>
        <v>1680</v>
      </c>
      <c r="H33" s="4">
        <f t="shared" si="1"/>
        <v>85</v>
      </c>
      <c r="I33" s="4">
        <f t="shared" si="2"/>
        <v>30</v>
      </c>
      <c r="J33" s="4">
        <f t="shared" si="12"/>
        <v>125</v>
      </c>
      <c r="K33" s="4">
        <f t="shared" si="11"/>
        <v>210</v>
      </c>
      <c r="L33" s="4">
        <v>675</v>
      </c>
      <c r="P33" s="4">
        <f t="shared" si="3"/>
        <v>75</v>
      </c>
      <c r="Q33" s="10"/>
      <c r="R33" s="14">
        <f t="shared" si="4"/>
        <v>3480</v>
      </c>
      <c r="AG33" s="3">
        <f t="shared" si="5"/>
        <v>2</v>
      </c>
      <c r="AH33" s="3">
        <f t="shared" si="6"/>
        <v>5</v>
      </c>
      <c r="AI33" s="3">
        <f t="shared" si="7"/>
        <v>6</v>
      </c>
    </row>
    <row r="34" spans="1:39" ht="16" thickBot="1" x14ac:dyDescent="0.4">
      <c r="A34" s="12">
        <v>25</v>
      </c>
      <c r="B34" s="12" t="s">
        <v>601</v>
      </c>
      <c r="C34" s="13" t="s">
        <v>641</v>
      </c>
      <c r="D34" s="4">
        <f t="shared" si="0"/>
        <v>600</v>
      </c>
      <c r="E34" s="4">
        <f t="shared" si="10"/>
        <v>1680</v>
      </c>
      <c r="H34" s="4">
        <f t="shared" si="1"/>
        <v>85</v>
      </c>
      <c r="I34" s="4">
        <f t="shared" si="2"/>
        <v>30</v>
      </c>
      <c r="J34" s="4">
        <f t="shared" si="12"/>
        <v>125</v>
      </c>
      <c r="K34" s="4">
        <f t="shared" si="11"/>
        <v>210</v>
      </c>
      <c r="L34" s="4">
        <v>675</v>
      </c>
      <c r="P34" s="4">
        <f>$L$3-95+17400</f>
        <v>17380</v>
      </c>
      <c r="Q34" s="10"/>
      <c r="R34" s="14">
        <f t="shared" si="4"/>
        <v>20785</v>
      </c>
      <c r="T34" s="21">
        <f>SUM(R5:R34)</f>
        <v>111980</v>
      </c>
      <c r="AE34" s="22">
        <f>T34+T269</f>
        <v>138650</v>
      </c>
      <c r="AG34" s="3">
        <f t="shared" si="5"/>
        <v>2</v>
      </c>
      <c r="AH34" s="3">
        <f t="shared" si="6"/>
        <v>5</v>
      </c>
      <c r="AI34" s="3">
        <f t="shared" si="7"/>
        <v>6</v>
      </c>
      <c r="AM34" s="14"/>
    </row>
    <row r="35" spans="1:39" x14ac:dyDescent="0.3">
      <c r="A35" s="23">
        <v>1</v>
      </c>
      <c r="B35" s="23" t="s">
        <v>620</v>
      </c>
      <c r="C35" s="24" t="s">
        <v>642</v>
      </c>
      <c r="D35" s="4">
        <f>$D$2</f>
        <v>600</v>
      </c>
      <c r="E35" s="4">
        <f t="shared" ref="E35:E74" si="15">($T$21+$P$2)*$E$3</f>
        <v>675</v>
      </c>
      <c r="H35" s="4">
        <f t="shared" si="1"/>
        <v>85</v>
      </c>
      <c r="I35" s="4">
        <f t="shared" si="2"/>
        <v>30</v>
      </c>
      <c r="J35" s="4">
        <f t="shared" ref="J35:J74" si="16">($T$5)*$J$3</f>
        <v>25</v>
      </c>
      <c r="K35" s="4">
        <f t="shared" ref="K35:K74" si="17">($T$5)*$K$3</f>
        <v>35</v>
      </c>
      <c r="P35" s="4">
        <f t="shared" ref="P35:P74" si="18">$P$3</f>
        <v>100</v>
      </c>
      <c r="Q35" s="10"/>
      <c r="R35" s="14">
        <f t="shared" si="4"/>
        <v>1550</v>
      </c>
      <c r="AG35" s="3">
        <f t="shared" si="5"/>
        <v>2</v>
      </c>
      <c r="AH35" s="3">
        <f t="shared" si="6"/>
        <v>1</v>
      </c>
      <c r="AI35" s="3">
        <f t="shared" si="7"/>
        <v>1</v>
      </c>
    </row>
    <row r="36" spans="1:39" x14ac:dyDescent="0.3">
      <c r="A36" s="23">
        <v>2</v>
      </c>
      <c r="B36" s="23" t="s">
        <v>620</v>
      </c>
      <c r="C36" s="24" t="s">
        <v>643</v>
      </c>
      <c r="D36" s="4">
        <f t="shared" ref="D36:D74" si="19">$D$2</f>
        <v>600</v>
      </c>
      <c r="E36" s="4">
        <f t="shared" si="15"/>
        <v>675</v>
      </c>
      <c r="H36" s="4">
        <f t="shared" si="1"/>
        <v>85</v>
      </c>
      <c r="I36" s="4">
        <f t="shared" si="2"/>
        <v>30</v>
      </c>
      <c r="J36" s="4">
        <f t="shared" si="16"/>
        <v>25</v>
      </c>
      <c r="K36" s="4">
        <f t="shared" si="17"/>
        <v>35</v>
      </c>
      <c r="P36" s="4">
        <f t="shared" si="18"/>
        <v>100</v>
      </c>
      <c r="Q36" s="10"/>
      <c r="R36" s="14">
        <f t="shared" si="4"/>
        <v>1550</v>
      </c>
      <c r="AG36" s="3">
        <f t="shared" si="5"/>
        <v>2</v>
      </c>
      <c r="AH36" s="3">
        <f t="shared" si="6"/>
        <v>1</v>
      </c>
      <c r="AI36" s="3">
        <f t="shared" si="7"/>
        <v>1</v>
      </c>
    </row>
    <row r="37" spans="1:39" x14ac:dyDescent="0.3">
      <c r="A37" s="23">
        <v>3</v>
      </c>
      <c r="B37" s="23" t="s">
        <v>620</v>
      </c>
      <c r="C37" s="24" t="s">
        <v>644</v>
      </c>
      <c r="D37" s="4">
        <f t="shared" si="19"/>
        <v>600</v>
      </c>
      <c r="E37" s="4">
        <f t="shared" si="15"/>
        <v>675</v>
      </c>
      <c r="H37" s="4">
        <f t="shared" si="1"/>
        <v>85</v>
      </c>
      <c r="I37" s="4">
        <f t="shared" si="2"/>
        <v>30</v>
      </c>
      <c r="J37" s="4">
        <f t="shared" si="16"/>
        <v>25</v>
      </c>
      <c r="K37" s="4">
        <f t="shared" si="17"/>
        <v>35</v>
      </c>
      <c r="P37" s="4">
        <f t="shared" si="18"/>
        <v>100</v>
      </c>
      <c r="Q37" s="10"/>
      <c r="R37" s="14">
        <f t="shared" si="4"/>
        <v>1550</v>
      </c>
      <c r="AG37" s="3">
        <f t="shared" si="5"/>
        <v>2</v>
      </c>
      <c r="AH37" s="3">
        <f t="shared" si="6"/>
        <v>1</v>
      </c>
      <c r="AI37" s="3">
        <f t="shared" si="7"/>
        <v>1</v>
      </c>
    </row>
    <row r="38" spans="1:39" x14ac:dyDescent="0.3">
      <c r="A38" s="23">
        <v>4</v>
      </c>
      <c r="B38" s="23" t="s">
        <v>620</v>
      </c>
      <c r="C38" s="24" t="s">
        <v>645</v>
      </c>
      <c r="D38" s="4">
        <f t="shared" si="19"/>
        <v>600</v>
      </c>
      <c r="E38" s="4">
        <f t="shared" si="15"/>
        <v>675</v>
      </c>
      <c r="H38" s="4">
        <f t="shared" si="1"/>
        <v>85</v>
      </c>
      <c r="I38" s="4">
        <f t="shared" si="2"/>
        <v>30</v>
      </c>
      <c r="J38" s="4">
        <f t="shared" si="16"/>
        <v>25</v>
      </c>
      <c r="K38" s="4">
        <f t="shared" si="17"/>
        <v>35</v>
      </c>
      <c r="P38" s="4">
        <f t="shared" si="18"/>
        <v>100</v>
      </c>
      <c r="Q38" s="10"/>
      <c r="R38" s="14">
        <f t="shared" si="4"/>
        <v>1550</v>
      </c>
      <c r="AG38" s="3">
        <f t="shared" si="5"/>
        <v>2</v>
      </c>
      <c r="AH38" s="3">
        <f t="shared" si="6"/>
        <v>1</v>
      </c>
      <c r="AI38" s="3">
        <f t="shared" si="7"/>
        <v>1</v>
      </c>
    </row>
    <row r="39" spans="1:39" x14ac:dyDescent="0.3">
      <c r="A39" s="23">
        <v>5</v>
      </c>
      <c r="B39" s="23" t="s">
        <v>620</v>
      </c>
      <c r="C39" s="24" t="s">
        <v>646</v>
      </c>
      <c r="D39" s="4">
        <f t="shared" si="19"/>
        <v>600</v>
      </c>
      <c r="E39" s="4">
        <f t="shared" si="15"/>
        <v>675</v>
      </c>
      <c r="H39" s="4">
        <f t="shared" si="1"/>
        <v>85</v>
      </c>
      <c r="I39" s="4">
        <f t="shared" si="2"/>
        <v>30</v>
      </c>
      <c r="J39" s="4">
        <f t="shared" si="16"/>
        <v>25</v>
      </c>
      <c r="K39" s="4">
        <f t="shared" si="17"/>
        <v>35</v>
      </c>
      <c r="P39" s="4">
        <f t="shared" si="18"/>
        <v>100</v>
      </c>
      <c r="Q39" s="10"/>
      <c r="R39" s="14">
        <f t="shared" si="4"/>
        <v>1550</v>
      </c>
      <c r="AG39" s="3">
        <f t="shared" si="5"/>
        <v>2</v>
      </c>
      <c r="AH39" s="3">
        <f t="shared" si="6"/>
        <v>1</v>
      </c>
      <c r="AI39" s="3">
        <f t="shared" si="7"/>
        <v>1</v>
      </c>
    </row>
    <row r="40" spans="1:39" x14ac:dyDescent="0.3">
      <c r="A40" s="23">
        <v>6</v>
      </c>
      <c r="B40" s="23" t="s">
        <v>620</v>
      </c>
      <c r="C40" s="24" t="s">
        <v>647</v>
      </c>
      <c r="D40" s="4">
        <f t="shared" si="19"/>
        <v>600</v>
      </c>
      <c r="E40" s="4">
        <f t="shared" si="15"/>
        <v>675</v>
      </c>
      <c r="H40" s="4">
        <f t="shared" si="1"/>
        <v>85</v>
      </c>
      <c r="I40" s="4">
        <f t="shared" si="2"/>
        <v>30</v>
      </c>
      <c r="J40" s="4">
        <f t="shared" si="16"/>
        <v>25</v>
      </c>
      <c r="K40" s="4">
        <f t="shared" si="17"/>
        <v>35</v>
      </c>
      <c r="P40" s="4">
        <f t="shared" si="18"/>
        <v>100</v>
      </c>
      <c r="Q40" s="10"/>
      <c r="R40" s="14">
        <f t="shared" si="4"/>
        <v>1550</v>
      </c>
      <c r="AG40" s="3">
        <f t="shared" si="5"/>
        <v>2</v>
      </c>
      <c r="AH40" s="3">
        <f t="shared" si="6"/>
        <v>1</v>
      </c>
      <c r="AI40" s="3">
        <f t="shared" si="7"/>
        <v>1</v>
      </c>
    </row>
    <row r="41" spans="1:39" x14ac:dyDescent="0.3">
      <c r="A41" s="23">
        <v>7</v>
      </c>
      <c r="B41" s="23" t="s">
        <v>620</v>
      </c>
      <c r="C41" s="24" t="s">
        <v>648</v>
      </c>
      <c r="D41" s="4">
        <f t="shared" si="19"/>
        <v>600</v>
      </c>
      <c r="E41" s="4">
        <f t="shared" si="15"/>
        <v>675</v>
      </c>
      <c r="H41" s="4">
        <f t="shared" si="1"/>
        <v>85</v>
      </c>
      <c r="I41" s="4">
        <f t="shared" si="2"/>
        <v>30</v>
      </c>
      <c r="J41" s="4">
        <f t="shared" si="16"/>
        <v>25</v>
      </c>
      <c r="K41" s="4">
        <f t="shared" si="17"/>
        <v>35</v>
      </c>
      <c r="P41" s="4">
        <f t="shared" si="18"/>
        <v>100</v>
      </c>
      <c r="Q41" s="10"/>
      <c r="R41" s="14">
        <f t="shared" si="4"/>
        <v>1550</v>
      </c>
      <c r="AG41" s="3">
        <f t="shared" si="5"/>
        <v>2</v>
      </c>
      <c r="AH41" s="3">
        <f t="shared" si="6"/>
        <v>1</v>
      </c>
      <c r="AI41" s="3">
        <f t="shared" si="7"/>
        <v>1</v>
      </c>
    </row>
    <row r="42" spans="1:39" x14ac:dyDescent="0.3">
      <c r="A42" s="23">
        <v>8</v>
      </c>
      <c r="B42" s="23" t="s">
        <v>620</v>
      </c>
      <c r="C42" s="24" t="s">
        <v>649</v>
      </c>
      <c r="D42" s="4">
        <f t="shared" si="19"/>
        <v>600</v>
      </c>
      <c r="E42" s="4">
        <f t="shared" si="15"/>
        <v>675</v>
      </c>
      <c r="H42" s="4">
        <f t="shared" si="1"/>
        <v>85</v>
      </c>
      <c r="I42" s="4">
        <f t="shared" si="2"/>
        <v>30</v>
      </c>
      <c r="J42" s="4">
        <f t="shared" si="16"/>
        <v>25</v>
      </c>
      <c r="K42" s="4">
        <f t="shared" si="17"/>
        <v>35</v>
      </c>
      <c r="P42" s="4">
        <f t="shared" si="18"/>
        <v>100</v>
      </c>
      <c r="Q42" s="10"/>
      <c r="R42" s="14">
        <f t="shared" si="4"/>
        <v>1550</v>
      </c>
      <c r="AG42" s="3">
        <f t="shared" si="5"/>
        <v>2</v>
      </c>
      <c r="AH42" s="3">
        <f t="shared" si="6"/>
        <v>1</v>
      </c>
      <c r="AI42" s="3">
        <f t="shared" si="7"/>
        <v>1</v>
      </c>
    </row>
    <row r="43" spans="1:39" x14ac:dyDescent="0.3">
      <c r="A43" s="23">
        <v>9</v>
      </c>
      <c r="B43" s="23" t="s">
        <v>620</v>
      </c>
      <c r="C43" s="24" t="s">
        <v>650</v>
      </c>
      <c r="D43" s="4">
        <f t="shared" si="19"/>
        <v>600</v>
      </c>
      <c r="E43" s="4">
        <f t="shared" si="15"/>
        <v>675</v>
      </c>
      <c r="H43" s="4">
        <f t="shared" si="1"/>
        <v>85</v>
      </c>
      <c r="I43" s="4">
        <f t="shared" si="2"/>
        <v>30</v>
      </c>
      <c r="J43" s="4">
        <f t="shared" si="16"/>
        <v>25</v>
      </c>
      <c r="K43" s="4">
        <f t="shared" si="17"/>
        <v>35</v>
      </c>
      <c r="P43" s="4">
        <f t="shared" si="18"/>
        <v>100</v>
      </c>
      <c r="Q43" s="10"/>
      <c r="R43" s="14">
        <f t="shared" si="4"/>
        <v>1550</v>
      </c>
      <c r="AG43" s="3">
        <f t="shared" si="5"/>
        <v>2</v>
      </c>
      <c r="AH43" s="3">
        <f t="shared" si="6"/>
        <v>1</v>
      </c>
      <c r="AI43" s="3">
        <f t="shared" si="7"/>
        <v>1</v>
      </c>
    </row>
    <row r="44" spans="1:39" x14ac:dyDescent="0.3">
      <c r="A44" s="23">
        <v>10</v>
      </c>
      <c r="B44" s="23" t="s">
        <v>620</v>
      </c>
      <c r="C44" s="24" t="s">
        <v>651</v>
      </c>
      <c r="D44" s="4">
        <f t="shared" si="19"/>
        <v>600</v>
      </c>
      <c r="E44" s="4">
        <f t="shared" si="15"/>
        <v>675</v>
      </c>
      <c r="H44" s="4">
        <f t="shared" si="1"/>
        <v>85</v>
      </c>
      <c r="I44" s="4">
        <f t="shared" si="2"/>
        <v>30</v>
      </c>
      <c r="J44" s="4">
        <f t="shared" si="16"/>
        <v>25</v>
      </c>
      <c r="K44" s="4">
        <f t="shared" si="17"/>
        <v>35</v>
      </c>
      <c r="P44" s="4">
        <f t="shared" si="18"/>
        <v>100</v>
      </c>
      <c r="Q44" s="10"/>
      <c r="R44" s="14">
        <f t="shared" si="4"/>
        <v>1550</v>
      </c>
      <c r="AG44" s="3">
        <f t="shared" si="5"/>
        <v>2</v>
      </c>
      <c r="AH44" s="3">
        <f t="shared" si="6"/>
        <v>1</v>
      </c>
      <c r="AI44" s="3">
        <f t="shared" si="7"/>
        <v>1</v>
      </c>
    </row>
    <row r="45" spans="1:39" x14ac:dyDescent="0.3">
      <c r="A45" s="23">
        <v>11</v>
      </c>
      <c r="B45" s="23" t="s">
        <v>620</v>
      </c>
      <c r="C45" s="24" t="s">
        <v>652</v>
      </c>
      <c r="D45" s="4">
        <f t="shared" si="19"/>
        <v>600</v>
      </c>
      <c r="E45" s="4">
        <f t="shared" si="15"/>
        <v>675</v>
      </c>
      <c r="H45" s="4">
        <f t="shared" si="1"/>
        <v>85</v>
      </c>
      <c r="I45" s="4">
        <f t="shared" si="2"/>
        <v>30</v>
      </c>
      <c r="J45" s="4">
        <f t="shared" si="16"/>
        <v>25</v>
      </c>
      <c r="K45" s="4">
        <f t="shared" si="17"/>
        <v>35</v>
      </c>
      <c r="P45" s="4">
        <f t="shared" si="18"/>
        <v>100</v>
      </c>
      <c r="Q45" s="10"/>
      <c r="R45" s="14">
        <f t="shared" si="4"/>
        <v>1550</v>
      </c>
      <c r="AG45" s="3">
        <f t="shared" si="5"/>
        <v>2</v>
      </c>
      <c r="AH45" s="3">
        <f t="shared" si="6"/>
        <v>1</v>
      </c>
      <c r="AI45" s="3">
        <f t="shared" si="7"/>
        <v>1</v>
      </c>
    </row>
    <row r="46" spans="1:39" x14ac:dyDescent="0.3">
      <c r="A46" s="23">
        <v>12</v>
      </c>
      <c r="B46" s="23" t="s">
        <v>620</v>
      </c>
      <c r="C46" s="24" t="s">
        <v>653</v>
      </c>
      <c r="D46" s="4">
        <f t="shared" si="19"/>
        <v>600</v>
      </c>
      <c r="E46" s="4">
        <f t="shared" si="15"/>
        <v>675</v>
      </c>
      <c r="H46" s="4">
        <f t="shared" si="1"/>
        <v>85</v>
      </c>
      <c r="I46" s="4">
        <f t="shared" si="2"/>
        <v>30</v>
      </c>
      <c r="J46" s="4">
        <f t="shared" si="16"/>
        <v>25</v>
      </c>
      <c r="K46" s="4">
        <f t="shared" si="17"/>
        <v>35</v>
      </c>
      <c r="P46" s="4">
        <f t="shared" si="18"/>
        <v>100</v>
      </c>
      <c r="Q46" s="10"/>
      <c r="R46" s="14">
        <f t="shared" si="4"/>
        <v>1550</v>
      </c>
      <c r="AG46" s="3">
        <f t="shared" si="5"/>
        <v>2</v>
      </c>
      <c r="AH46" s="3">
        <f t="shared" si="6"/>
        <v>1</v>
      </c>
      <c r="AI46" s="3">
        <f t="shared" si="7"/>
        <v>1</v>
      </c>
    </row>
    <row r="47" spans="1:39" x14ac:dyDescent="0.3">
      <c r="A47" s="23">
        <v>13</v>
      </c>
      <c r="B47" s="23" t="s">
        <v>620</v>
      </c>
      <c r="C47" s="24" t="s">
        <v>654</v>
      </c>
      <c r="D47" s="4">
        <f t="shared" si="19"/>
        <v>600</v>
      </c>
      <c r="E47" s="4">
        <f t="shared" si="15"/>
        <v>675</v>
      </c>
      <c r="H47" s="4">
        <f t="shared" si="1"/>
        <v>85</v>
      </c>
      <c r="I47" s="4">
        <f t="shared" si="2"/>
        <v>30</v>
      </c>
      <c r="J47" s="4">
        <f t="shared" si="16"/>
        <v>25</v>
      </c>
      <c r="K47" s="4">
        <f t="shared" si="17"/>
        <v>35</v>
      </c>
      <c r="P47" s="4">
        <f t="shared" si="18"/>
        <v>100</v>
      </c>
      <c r="Q47" s="10"/>
      <c r="R47" s="14">
        <f t="shared" si="4"/>
        <v>1550</v>
      </c>
      <c r="AG47" s="3">
        <f t="shared" si="5"/>
        <v>2</v>
      </c>
      <c r="AH47" s="3">
        <f t="shared" si="6"/>
        <v>1</v>
      </c>
      <c r="AI47" s="3">
        <f t="shared" si="7"/>
        <v>1</v>
      </c>
    </row>
    <row r="48" spans="1:39" x14ac:dyDescent="0.3">
      <c r="A48" s="23">
        <v>14</v>
      </c>
      <c r="B48" s="23" t="s">
        <v>620</v>
      </c>
      <c r="C48" s="24" t="s">
        <v>655</v>
      </c>
      <c r="D48" s="4">
        <f t="shared" si="19"/>
        <v>600</v>
      </c>
      <c r="E48" s="4">
        <f t="shared" si="15"/>
        <v>675</v>
      </c>
      <c r="H48" s="4">
        <f t="shared" si="1"/>
        <v>85</v>
      </c>
      <c r="I48" s="4">
        <f t="shared" si="2"/>
        <v>30</v>
      </c>
      <c r="J48" s="4">
        <f t="shared" si="16"/>
        <v>25</v>
      </c>
      <c r="K48" s="4">
        <f t="shared" si="17"/>
        <v>35</v>
      </c>
      <c r="P48" s="4">
        <f t="shared" si="18"/>
        <v>100</v>
      </c>
      <c r="Q48" s="10"/>
      <c r="R48" s="14">
        <f t="shared" si="4"/>
        <v>1550</v>
      </c>
      <c r="AG48" s="3">
        <f t="shared" si="5"/>
        <v>2</v>
      </c>
      <c r="AH48" s="3">
        <f t="shared" si="6"/>
        <v>1</v>
      </c>
      <c r="AI48" s="3">
        <f t="shared" si="7"/>
        <v>1</v>
      </c>
    </row>
    <row r="49" spans="1:35" x14ac:dyDescent="0.3">
      <c r="A49" s="23">
        <v>15</v>
      </c>
      <c r="B49" s="23" t="s">
        <v>620</v>
      </c>
      <c r="C49" s="24" t="s">
        <v>656</v>
      </c>
      <c r="D49" s="4">
        <f t="shared" si="19"/>
        <v>600</v>
      </c>
      <c r="E49" s="4">
        <f t="shared" si="15"/>
        <v>675</v>
      </c>
      <c r="H49" s="4">
        <f t="shared" si="1"/>
        <v>85</v>
      </c>
      <c r="I49" s="4">
        <f t="shared" si="2"/>
        <v>30</v>
      </c>
      <c r="J49" s="4">
        <f t="shared" si="16"/>
        <v>25</v>
      </c>
      <c r="K49" s="4">
        <f t="shared" si="17"/>
        <v>35</v>
      </c>
      <c r="P49" s="4">
        <f t="shared" si="18"/>
        <v>100</v>
      </c>
      <c r="Q49" s="10"/>
      <c r="R49" s="14">
        <f t="shared" si="4"/>
        <v>1550</v>
      </c>
      <c r="AG49" s="3">
        <f t="shared" si="5"/>
        <v>2</v>
      </c>
      <c r="AH49" s="3">
        <f t="shared" si="6"/>
        <v>1</v>
      </c>
      <c r="AI49" s="3">
        <f t="shared" si="7"/>
        <v>1</v>
      </c>
    </row>
    <row r="50" spans="1:35" x14ac:dyDescent="0.3">
      <c r="A50" s="23">
        <v>16</v>
      </c>
      <c r="B50" s="23" t="s">
        <v>620</v>
      </c>
      <c r="C50" s="24" t="s">
        <v>657</v>
      </c>
      <c r="D50" s="4">
        <f t="shared" si="19"/>
        <v>600</v>
      </c>
      <c r="E50" s="4">
        <f t="shared" si="15"/>
        <v>675</v>
      </c>
      <c r="H50" s="4">
        <f t="shared" si="1"/>
        <v>85</v>
      </c>
      <c r="I50" s="4">
        <f t="shared" si="2"/>
        <v>30</v>
      </c>
      <c r="J50" s="4">
        <f t="shared" si="16"/>
        <v>25</v>
      </c>
      <c r="K50" s="4">
        <f t="shared" si="17"/>
        <v>35</v>
      </c>
      <c r="P50" s="4">
        <f t="shared" si="18"/>
        <v>100</v>
      </c>
      <c r="Q50" s="10"/>
      <c r="R50" s="14">
        <f t="shared" si="4"/>
        <v>1550</v>
      </c>
      <c r="AG50" s="3">
        <f t="shared" si="5"/>
        <v>2</v>
      </c>
      <c r="AH50" s="3">
        <f t="shared" si="6"/>
        <v>1</v>
      </c>
      <c r="AI50" s="3">
        <f t="shared" si="7"/>
        <v>1</v>
      </c>
    </row>
    <row r="51" spans="1:35" x14ac:dyDescent="0.3">
      <c r="A51" s="23">
        <v>17</v>
      </c>
      <c r="B51" s="23" t="s">
        <v>620</v>
      </c>
      <c r="C51" s="24" t="s">
        <v>658</v>
      </c>
      <c r="D51" s="4">
        <f t="shared" si="19"/>
        <v>600</v>
      </c>
      <c r="E51" s="4">
        <f t="shared" si="15"/>
        <v>675</v>
      </c>
      <c r="H51" s="4">
        <f t="shared" si="1"/>
        <v>85</v>
      </c>
      <c r="I51" s="4">
        <f t="shared" si="2"/>
        <v>30</v>
      </c>
      <c r="J51" s="4">
        <f t="shared" si="16"/>
        <v>25</v>
      </c>
      <c r="K51" s="4">
        <f t="shared" si="17"/>
        <v>35</v>
      </c>
      <c r="P51" s="4">
        <f t="shared" si="18"/>
        <v>100</v>
      </c>
      <c r="Q51" s="10"/>
      <c r="R51" s="14">
        <f t="shared" si="4"/>
        <v>1550</v>
      </c>
      <c r="AG51" s="3">
        <f t="shared" si="5"/>
        <v>2</v>
      </c>
      <c r="AH51" s="3">
        <f t="shared" si="6"/>
        <v>1</v>
      </c>
      <c r="AI51" s="3">
        <f t="shared" si="7"/>
        <v>1</v>
      </c>
    </row>
    <row r="52" spans="1:35" x14ac:dyDescent="0.3">
      <c r="A52" s="23">
        <v>18</v>
      </c>
      <c r="B52" s="23" t="s">
        <v>620</v>
      </c>
      <c r="C52" s="24" t="s">
        <v>659</v>
      </c>
      <c r="D52" s="4">
        <f t="shared" si="19"/>
        <v>600</v>
      </c>
      <c r="E52" s="4">
        <f t="shared" si="15"/>
        <v>675</v>
      </c>
      <c r="H52" s="4">
        <f t="shared" si="1"/>
        <v>85</v>
      </c>
      <c r="I52" s="4">
        <f t="shared" si="2"/>
        <v>30</v>
      </c>
      <c r="J52" s="4">
        <f t="shared" si="16"/>
        <v>25</v>
      </c>
      <c r="K52" s="4">
        <f t="shared" si="17"/>
        <v>35</v>
      </c>
      <c r="P52" s="4">
        <f t="shared" si="18"/>
        <v>100</v>
      </c>
      <c r="Q52" s="10"/>
      <c r="R52" s="14">
        <f t="shared" si="4"/>
        <v>1550</v>
      </c>
      <c r="AG52" s="3">
        <f t="shared" si="5"/>
        <v>2</v>
      </c>
      <c r="AH52" s="3">
        <f t="shared" si="6"/>
        <v>1</v>
      </c>
      <c r="AI52" s="3">
        <f t="shared" si="7"/>
        <v>1</v>
      </c>
    </row>
    <row r="53" spans="1:35" x14ac:dyDescent="0.3">
      <c r="A53" s="23">
        <v>19</v>
      </c>
      <c r="B53" s="23" t="s">
        <v>620</v>
      </c>
      <c r="C53" s="24" t="s">
        <v>660</v>
      </c>
      <c r="D53" s="4">
        <f t="shared" si="19"/>
        <v>600</v>
      </c>
      <c r="E53" s="4">
        <f t="shared" si="15"/>
        <v>675</v>
      </c>
      <c r="H53" s="4">
        <f t="shared" si="1"/>
        <v>85</v>
      </c>
      <c r="I53" s="4">
        <f t="shared" si="2"/>
        <v>30</v>
      </c>
      <c r="J53" s="4">
        <f t="shared" si="16"/>
        <v>25</v>
      </c>
      <c r="K53" s="4">
        <f t="shared" si="17"/>
        <v>35</v>
      </c>
      <c r="P53" s="4">
        <f t="shared" si="18"/>
        <v>100</v>
      </c>
      <c r="Q53" s="10"/>
      <c r="R53" s="14">
        <f t="shared" si="4"/>
        <v>1550</v>
      </c>
      <c r="AG53" s="3">
        <f t="shared" si="5"/>
        <v>2</v>
      </c>
      <c r="AH53" s="3">
        <f t="shared" si="6"/>
        <v>1</v>
      </c>
      <c r="AI53" s="3">
        <f t="shared" si="7"/>
        <v>1</v>
      </c>
    </row>
    <row r="54" spans="1:35" x14ac:dyDescent="0.3">
      <c r="A54" s="23">
        <v>20</v>
      </c>
      <c r="B54" s="23" t="s">
        <v>620</v>
      </c>
      <c r="C54" s="24" t="s">
        <v>661</v>
      </c>
      <c r="D54" s="4">
        <f t="shared" si="19"/>
        <v>600</v>
      </c>
      <c r="E54" s="4">
        <f t="shared" si="15"/>
        <v>675</v>
      </c>
      <c r="H54" s="4">
        <f t="shared" si="1"/>
        <v>85</v>
      </c>
      <c r="I54" s="4">
        <f t="shared" si="2"/>
        <v>30</v>
      </c>
      <c r="J54" s="4">
        <f t="shared" si="16"/>
        <v>25</v>
      </c>
      <c r="K54" s="4">
        <f t="shared" si="17"/>
        <v>35</v>
      </c>
      <c r="P54" s="4">
        <f t="shared" si="18"/>
        <v>100</v>
      </c>
      <c r="Q54" s="10"/>
      <c r="R54" s="14">
        <f t="shared" si="4"/>
        <v>1550</v>
      </c>
      <c r="AG54" s="3">
        <f t="shared" si="5"/>
        <v>2</v>
      </c>
      <c r="AH54" s="3">
        <f t="shared" si="6"/>
        <v>1</v>
      </c>
      <c r="AI54" s="3">
        <f t="shared" si="7"/>
        <v>1</v>
      </c>
    </row>
    <row r="55" spans="1:35" x14ac:dyDescent="0.3">
      <c r="A55" s="23">
        <v>21</v>
      </c>
      <c r="B55" s="23" t="s">
        <v>620</v>
      </c>
      <c r="C55" s="24" t="s">
        <v>662</v>
      </c>
      <c r="D55" s="4">
        <f t="shared" si="19"/>
        <v>600</v>
      </c>
      <c r="E55" s="4">
        <f t="shared" si="15"/>
        <v>675</v>
      </c>
      <c r="H55" s="4">
        <f t="shared" si="1"/>
        <v>85</v>
      </c>
      <c r="I55" s="4">
        <f t="shared" si="2"/>
        <v>30</v>
      </c>
      <c r="J55" s="4">
        <f t="shared" si="16"/>
        <v>25</v>
      </c>
      <c r="K55" s="4">
        <f t="shared" si="17"/>
        <v>35</v>
      </c>
      <c r="P55" s="4">
        <f t="shared" si="18"/>
        <v>100</v>
      </c>
      <c r="Q55" s="10"/>
      <c r="R55" s="14">
        <f t="shared" si="4"/>
        <v>1550</v>
      </c>
      <c r="AG55" s="3">
        <f t="shared" si="5"/>
        <v>2</v>
      </c>
      <c r="AH55" s="3">
        <f t="shared" si="6"/>
        <v>1</v>
      </c>
      <c r="AI55" s="3">
        <f t="shared" si="7"/>
        <v>1</v>
      </c>
    </row>
    <row r="56" spans="1:35" x14ac:dyDescent="0.3">
      <c r="A56" s="23">
        <v>22</v>
      </c>
      <c r="B56" s="23" t="s">
        <v>620</v>
      </c>
      <c r="C56" s="24" t="s">
        <v>663</v>
      </c>
      <c r="D56" s="4">
        <f t="shared" si="19"/>
        <v>600</v>
      </c>
      <c r="E56" s="4">
        <f t="shared" si="15"/>
        <v>675</v>
      </c>
      <c r="H56" s="4">
        <f t="shared" si="1"/>
        <v>85</v>
      </c>
      <c r="I56" s="4">
        <f t="shared" si="2"/>
        <v>30</v>
      </c>
      <c r="J56" s="4">
        <f t="shared" si="16"/>
        <v>25</v>
      </c>
      <c r="K56" s="4">
        <f t="shared" si="17"/>
        <v>35</v>
      </c>
      <c r="P56" s="4">
        <f t="shared" si="18"/>
        <v>100</v>
      </c>
      <c r="Q56" s="10"/>
      <c r="R56" s="14">
        <f t="shared" si="4"/>
        <v>1550</v>
      </c>
      <c r="AG56" s="3">
        <f t="shared" si="5"/>
        <v>2</v>
      </c>
      <c r="AH56" s="3">
        <f t="shared" si="6"/>
        <v>1</v>
      </c>
      <c r="AI56" s="3">
        <f t="shared" si="7"/>
        <v>1</v>
      </c>
    </row>
    <row r="57" spans="1:35" x14ac:dyDescent="0.3">
      <c r="A57" s="23">
        <v>23</v>
      </c>
      <c r="B57" s="23" t="s">
        <v>620</v>
      </c>
      <c r="C57" s="24" t="s">
        <v>664</v>
      </c>
      <c r="D57" s="4">
        <f t="shared" si="19"/>
        <v>600</v>
      </c>
      <c r="E57" s="4">
        <f t="shared" si="15"/>
        <v>675</v>
      </c>
      <c r="H57" s="4">
        <f t="shared" si="1"/>
        <v>85</v>
      </c>
      <c r="I57" s="4">
        <f t="shared" si="2"/>
        <v>30</v>
      </c>
      <c r="J57" s="4">
        <f t="shared" si="16"/>
        <v>25</v>
      </c>
      <c r="K57" s="4">
        <f t="shared" si="17"/>
        <v>35</v>
      </c>
      <c r="P57" s="4">
        <f t="shared" si="18"/>
        <v>100</v>
      </c>
      <c r="Q57" s="10"/>
      <c r="R57" s="14">
        <f t="shared" si="4"/>
        <v>1550</v>
      </c>
      <c r="AG57" s="3">
        <f t="shared" si="5"/>
        <v>2</v>
      </c>
      <c r="AH57" s="3">
        <f t="shared" si="6"/>
        <v>1</v>
      </c>
      <c r="AI57" s="3">
        <f t="shared" si="7"/>
        <v>1</v>
      </c>
    </row>
    <row r="58" spans="1:35" x14ac:dyDescent="0.3">
      <c r="A58" s="23">
        <v>24</v>
      </c>
      <c r="B58" s="23" t="s">
        <v>620</v>
      </c>
      <c r="C58" s="24" t="s">
        <v>665</v>
      </c>
      <c r="D58" s="4">
        <f t="shared" si="19"/>
        <v>600</v>
      </c>
      <c r="E58" s="4">
        <f t="shared" si="15"/>
        <v>675</v>
      </c>
      <c r="H58" s="4">
        <f t="shared" si="1"/>
        <v>85</v>
      </c>
      <c r="I58" s="4">
        <f t="shared" si="2"/>
        <v>30</v>
      </c>
      <c r="J58" s="4">
        <f t="shared" si="16"/>
        <v>25</v>
      </c>
      <c r="K58" s="4">
        <f t="shared" si="17"/>
        <v>35</v>
      </c>
      <c r="P58" s="4">
        <f t="shared" si="18"/>
        <v>100</v>
      </c>
      <c r="Q58" s="10"/>
      <c r="R58" s="14">
        <f t="shared" si="4"/>
        <v>1550</v>
      </c>
      <c r="AG58" s="3">
        <f t="shared" si="5"/>
        <v>2</v>
      </c>
      <c r="AH58" s="3">
        <f t="shared" si="6"/>
        <v>1</v>
      </c>
      <c r="AI58" s="3">
        <f t="shared" si="7"/>
        <v>1</v>
      </c>
    </row>
    <row r="59" spans="1:35" x14ac:dyDescent="0.3">
      <c r="A59" s="23">
        <v>25</v>
      </c>
      <c r="B59" s="23" t="s">
        <v>620</v>
      </c>
      <c r="C59" s="24" t="s">
        <v>666</v>
      </c>
      <c r="D59" s="4">
        <f t="shared" si="19"/>
        <v>600</v>
      </c>
      <c r="E59" s="4">
        <f t="shared" si="15"/>
        <v>675</v>
      </c>
      <c r="H59" s="4">
        <f t="shared" si="1"/>
        <v>85</v>
      </c>
      <c r="I59" s="4">
        <f t="shared" si="2"/>
        <v>30</v>
      </c>
      <c r="J59" s="4">
        <f t="shared" si="16"/>
        <v>25</v>
      </c>
      <c r="K59" s="4">
        <f t="shared" si="17"/>
        <v>35</v>
      </c>
      <c r="P59" s="4">
        <f t="shared" si="18"/>
        <v>100</v>
      </c>
      <c r="Q59" s="10"/>
      <c r="R59" s="14">
        <f t="shared" si="4"/>
        <v>1550</v>
      </c>
      <c r="AG59" s="3">
        <f t="shared" si="5"/>
        <v>2</v>
      </c>
      <c r="AH59" s="3">
        <f t="shared" si="6"/>
        <v>1</v>
      </c>
      <c r="AI59" s="3">
        <f t="shared" si="7"/>
        <v>1</v>
      </c>
    </row>
    <row r="60" spans="1:35" x14ac:dyDescent="0.3">
      <c r="A60" s="23">
        <v>26</v>
      </c>
      <c r="B60" s="23" t="s">
        <v>620</v>
      </c>
      <c r="C60" s="24" t="s">
        <v>667</v>
      </c>
      <c r="D60" s="4">
        <f t="shared" si="19"/>
        <v>600</v>
      </c>
      <c r="E60" s="4">
        <f t="shared" si="15"/>
        <v>675</v>
      </c>
      <c r="H60" s="4">
        <f t="shared" si="1"/>
        <v>85</v>
      </c>
      <c r="I60" s="4">
        <f t="shared" si="2"/>
        <v>30</v>
      </c>
      <c r="J60" s="4">
        <f t="shared" si="16"/>
        <v>25</v>
      </c>
      <c r="K60" s="4">
        <f t="shared" si="17"/>
        <v>35</v>
      </c>
      <c r="P60" s="4">
        <f t="shared" si="18"/>
        <v>100</v>
      </c>
      <c r="Q60" s="10"/>
      <c r="R60" s="14">
        <f t="shared" si="4"/>
        <v>1550</v>
      </c>
      <c r="AG60" s="3">
        <f t="shared" si="5"/>
        <v>2</v>
      </c>
      <c r="AH60" s="3">
        <f t="shared" si="6"/>
        <v>1</v>
      </c>
      <c r="AI60" s="3">
        <f t="shared" si="7"/>
        <v>1</v>
      </c>
    </row>
    <row r="61" spans="1:35" x14ac:dyDescent="0.3">
      <c r="A61" s="23">
        <v>27</v>
      </c>
      <c r="B61" s="23" t="s">
        <v>620</v>
      </c>
      <c r="C61" s="24" t="s">
        <v>668</v>
      </c>
      <c r="D61" s="4">
        <f t="shared" si="19"/>
        <v>600</v>
      </c>
      <c r="E61" s="4">
        <f t="shared" si="15"/>
        <v>675</v>
      </c>
      <c r="H61" s="4">
        <f t="shared" si="1"/>
        <v>85</v>
      </c>
      <c r="I61" s="4">
        <f t="shared" si="2"/>
        <v>30</v>
      </c>
      <c r="J61" s="4">
        <f t="shared" si="16"/>
        <v>25</v>
      </c>
      <c r="K61" s="4">
        <f t="shared" si="17"/>
        <v>35</v>
      </c>
      <c r="P61" s="4">
        <f t="shared" si="18"/>
        <v>100</v>
      </c>
      <c r="Q61" s="10"/>
      <c r="R61" s="14">
        <f t="shared" si="4"/>
        <v>1550</v>
      </c>
      <c r="AG61" s="3">
        <f t="shared" si="5"/>
        <v>2</v>
      </c>
      <c r="AH61" s="3">
        <f t="shared" si="6"/>
        <v>1</v>
      </c>
      <c r="AI61" s="3">
        <f t="shared" si="7"/>
        <v>1</v>
      </c>
    </row>
    <row r="62" spans="1:35" x14ac:dyDescent="0.3">
      <c r="A62" s="23">
        <v>28</v>
      </c>
      <c r="B62" s="23" t="s">
        <v>620</v>
      </c>
      <c r="C62" s="24" t="s">
        <v>669</v>
      </c>
      <c r="D62" s="4">
        <f t="shared" si="19"/>
        <v>600</v>
      </c>
      <c r="E62" s="4">
        <f t="shared" si="15"/>
        <v>675</v>
      </c>
      <c r="H62" s="4">
        <f t="shared" si="1"/>
        <v>85</v>
      </c>
      <c r="I62" s="4">
        <f t="shared" si="2"/>
        <v>30</v>
      </c>
      <c r="J62" s="4">
        <f t="shared" si="16"/>
        <v>25</v>
      </c>
      <c r="K62" s="4">
        <f t="shared" si="17"/>
        <v>35</v>
      </c>
      <c r="P62" s="4">
        <f t="shared" si="18"/>
        <v>100</v>
      </c>
      <c r="Q62" s="10"/>
      <c r="R62" s="14">
        <f t="shared" si="4"/>
        <v>1550</v>
      </c>
      <c r="AG62" s="3">
        <f t="shared" si="5"/>
        <v>2</v>
      </c>
      <c r="AH62" s="3">
        <f t="shared" si="6"/>
        <v>1</v>
      </c>
      <c r="AI62" s="3">
        <f t="shared" si="7"/>
        <v>1</v>
      </c>
    </row>
    <row r="63" spans="1:35" x14ac:dyDescent="0.3">
      <c r="A63" s="23">
        <v>29</v>
      </c>
      <c r="B63" s="23" t="s">
        <v>620</v>
      </c>
      <c r="C63" s="24" t="s">
        <v>670</v>
      </c>
      <c r="D63" s="4">
        <f t="shared" si="19"/>
        <v>600</v>
      </c>
      <c r="E63" s="4">
        <f t="shared" si="15"/>
        <v>675</v>
      </c>
      <c r="H63" s="4">
        <f t="shared" si="1"/>
        <v>85</v>
      </c>
      <c r="I63" s="4">
        <f t="shared" si="2"/>
        <v>30</v>
      </c>
      <c r="J63" s="4">
        <f t="shared" si="16"/>
        <v>25</v>
      </c>
      <c r="K63" s="4">
        <f t="shared" si="17"/>
        <v>35</v>
      </c>
      <c r="P63" s="4">
        <f t="shared" si="18"/>
        <v>100</v>
      </c>
      <c r="Q63" s="10"/>
      <c r="R63" s="14">
        <f t="shared" si="4"/>
        <v>1550</v>
      </c>
      <c r="AG63" s="3">
        <f t="shared" si="5"/>
        <v>2</v>
      </c>
      <c r="AH63" s="3">
        <f t="shared" si="6"/>
        <v>1</v>
      </c>
      <c r="AI63" s="3">
        <f t="shared" si="7"/>
        <v>1</v>
      </c>
    </row>
    <row r="64" spans="1:35" x14ac:dyDescent="0.3">
      <c r="A64" s="23">
        <v>30</v>
      </c>
      <c r="B64" s="23" t="s">
        <v>620</v>
      </c>
      <c r="C64" s="24" t="s">
        <v>671</v>
      </c>
      <c r="D64" s="4">
        <f t="shared" si="19"/>
        <v>600</v>
      </c>
      <c r="E64" s="4">
        <f t="shared" si="15"/>
        <v>675</v>
      </c>
      <c r="H64" s="4">
        <f t="shared" si="1"/>
        <v>85</v>
      </c>
      <c r="I64" s="4">
        <f t="shared" si="2"/>
        <v>30</v>
      </c>
      <c r="J64" s="4">
        <f t="shared" si="16"/>
        <v>25</v>
      </c>
      <c r="K64" s="4">
        <f t="shared" si="17"/>
        <v>35</v>
      </c>
      <c r="P64" s="4">
        <f t="shared" si="18"/>
        <v>100</v>
      </c>
      <c r="Q64" s="10"/>
      <c r="R64" s="14">
        <f t="shared" si="4"/>
        <v>1550</v>
      </c>
      <c r="AG64" s="3">
        <f t="shared" si="5"/>
        <v>2</v>
      </c>
      <c r="AH64" s="3">
        <f t="shared" si="6"/>
        <v>1</v>
      </c>
      <c r="AI64" s="3">
        <f t="shared" si="7"/>
        <v>1</v>
      </c>
    </row>
    <row r="65" spans="1:35" x14ac:dyDescent="0.3">
      <c r="A65" s="23">
        <v>31</v>
      </c>
      <c r="B65" s="23" t="s">
        <v>620</v>
      </c>
      <c r="C65" s="24" t="s">
        <v>672</v>
      </c>
      <c r="D65" s="4">
        <f t="shared" si="19"/>
        <v>600</v>
      </c>
      <c r="E65" s="4">
        <f t="shared" si="15"/>
        <v>675</v>
      </c>
      <c r="H65" s="4">
        <f t="shared" si="1"/>
        <v>85</v>
      </c>
      <c r="I65" s="4">
        <f t="shared" si="2"/>
        <v>30</v>
      </c>
      <c r="J65" s="4">
        <f t="shared" si="16"/>
        <v>25</v>
      </c>
      <c r="K65" s="4">
        <f t="shared" si="17"/>
        <v>35</v>
      </c>
      <c r="P65" s="4">
        <f t="shared" si="18"/>
        <v>100</v>
      </c>
      <c r="Q65" s="10"/>
      <c r="R65" s="14">
        <f t="shared" si="4"/>
        <v>1550</v>
      </c>
      <c r="AG65" s="3">
        <f t="shared" si="5"/>
        <v>2</v>
      </c>
      <c r="AH65" s="3">
        <f t="shared" si="6"/>
        <v>1</v>
      </c>
      <c r="AI65" s="3">
        <f t="shared" si="7"/>
        <v>1</v>
      </c>
    </row>
    <row r="66" spans="1:35" x14ac:dyDescent="0.3">
      <c r="A66" s="23">
        <v>32</v>
      </c>
      <c r="B66" s="23" t="s">
        <v>620</v>
      </c>
      <c r="C66" s="24" t="s">
        <v>673</v>
      </c>
      <c r="D66" s="4">
        <f t="shared" si="19"/>
        <v>600</v>
      </c>
      <c r="E66" s="4">
        <f t="shared" si="15"/>
        <v>675</v>
      </c>
      <c r="H66" s="4">
        <f t="shared" si="1"/>
        <v>85</v>
      </c>
      <c r="I66" s="4">
        <f t="shared" si="2"/>
        <v>30</v>
      </c>
      <c r="J66" s="4">
        <f t="shared" si="16"/>
        <v>25</v>
      </c>
      <c r="K66" s="4">
        <f t="shared" si="17"/>
        <v>35</v>
      </c>
      <c r="P66" s="4">
        <f t="shared" si="18"/>
        <v>100</v>
      </c>
      <c r="Q66" s="10"/>
      <c r="R66" s="14">
        <f t="shared" si="4"/>
        <v>1550</v>
      </c>
      <c r="AG66" s="3">
        <f t="shared" si="5"/>
        <v>2</v>
      </c>
      <c r="AH66" s="3">
        <f t="shared" si="6"/>
        <v>1</v>
      </c>
      <c r="AI66" s="3">
        <f t="shared" si="7"/>
        <v>1</v>
      </c>
    </row>
    <row r="67" spans="1:35" x14ac:dyDescent="0.3">
      <c r="A67" s="23">
        <v>33</v>
      </c>
      <c r="B67" s="23" t="s">
        <v>620</v>
      </c>
      <c r="C67" s="24" t="s">
        <v>674</v>
      </c>
      <c r="D67" s="4">
        <f t="shared" si="19"/>
        <v>600</v>
      </c>
      <c r="E67" s="4">
        <f t="shared" si="15"/>
        <v>675</v>
      </c>
      <c r="H67" s="4">
        <f t="shared" si="1"/>
        <v>85</v>
      </c>
      <c r="I67" s="4">
        <f t="shared" si="2"/>
        <v>30</v>
      </c>
      <c r="J67" s="4">
        <f t="shared" si="16"/>
        <v>25</v>
      </c>
      <c r="K67" s="4">
        <f t="shared" si="17"/>
        <v>35</v>
      </c>
      <c r="P67" s="4">
        <f t="shared" si="18"/>
        <v>100</v>
      </c>
      <c r="Q67" s="10"/>
      <c r="R67" s="14">
        <f t="shared" si="4"/>
        <v>1550</v>
      </c>
      <c r="AG67" s="3">
        <f t="shared" si="5"/>
        <v>2</v>
      </c>
      <c r="AH67" s="3">
        <f t="shared" si="6"/>
        <v>1</v>
      </c>
      <c r="AI67" s="3">
        <f t="shared" si="7"/>
        <v>1</v>
      </c>
    </row>
    <row r="68" spans="1:35" x14ac:dyDescent="0.3">
      <c r="A68" s="23">
        <v>34</v>
      </c>
      <c r="B68" s="23" t="s">
        <v>620</v>
      </c>
      <c r="C68" s="24" t="s">
        <v>675</v>
      </c>
      <c r="D68" s="4">
        <f t="shared" si="19"/>
        <v>600</v>
      </c>
      <c r="E68" s="4">
        <f t="shared" si="15"/>
        <v>675</v>
      </c>
      <c r="H68" s="4">
        <f t="shared" si="1"/>
        <v>85</v>
      </c>
      <c r="I68" s="4">
        <f t="shared" si="2"/>
        <v>30</v>
      </c>
      <c r="J68" s="4">
        <f t="shared" si="16"/>
        <v>25</v>
      </c>
      <c r="K68" s="4">
        <f t="shared" si="17"/>
        <v>35</v>
      </c>
      <c r="P68" s="4">
        <f t="shared" si="18"/>
        <v>100</v>
      </c>
      <c r="Q68" s="10"/>
      <c r="R68" s="14">
        <f t="shared" si="4"/>
        <v>1550</v>
      </c>
      <c r="AG68" s="3">
        <f t="shared" si="5"/>
        <v>2</v>
      </c>
      <c r="AH68" s="3">
        <f t="shared" si="6"/>
        <v>1</v>
      </c>
      <c r="AI68" s="3">
        <f t="shared" si="7"/>
        <v>1</v>
      </c>
    </row>
    <row r="69" spans="1:35" x14ac:dyDescent="0.3">
      <c r="A69" s="23">
        <v>35</v>
      </c>
      <c r="B69" s="23" t="s">
        <v>620</v>
      </c>
      <c r="C69" s="24" t="s">
        <v>676</v>
      </c>
      <c r="D69" s="4">
        <f t="shared" si="19"/>
        <v>600</v>
      </c>
      <c r="E69" s="4">
        <f t="shared" si="15"/>
        <v>675</v>
      </c>
      <c r="H69" s="4">
        <f t="shared" si="1"/>
        <v>85</v>
      </c>
      <c r="I69" s="4">
        <f t="shared" si="2"/>
        <v>30</v>
      </c>
      <c r="J69" s="4">
        <f t="shared" si="16"/>
        <v>25</v>
      </c>
      <c r="K69" s="4">
        <f t="shared" si="17"/>
        <v>35</v>
      </c>
      <c r="P69" s="4">
        <f t="shared" si="18"/>
        <v>100</v>
      </c>
      <c r="Q69" s="10"/>
      <c r="R69" s="14">
        <f t="shared" si="4"/>
        <v>1550</v>
      </c>
      <c r="AG69" s="3">
        <f t="shared" si="5"/>
        <v>2</v>
      </c>
      <c r="AH69" s="3">
        <f t="shared" si="6"/>
        <v>1</v>
      </c>
      <c r="AI69" s="3">
        <f t="shared" si="7"/>
        <v>1</v>
      </c>
    </row>
    <row r="70" spans="1:35" x14ac:dyDescent="0.3">
      <c r="A70" s="23">
        <v>36</v>
      </c>
      <c r="B70" s="23" t="s">
        <v>620</v>
      </c>
      <c r="C70" s="24" t="s">
        <v>677</v>
      </c>
      <c r="D70" s="4">
        <f t="shared" si="19"/>
        <v>600</v>
      </c>
      <c r="E70" s="4">
        <f t="shared" si="15"/>
        <v>675</v>
      </c>
      <c r="H70" s="4">
        <f t="shared" si="1"/>
        <v>85</v>
      </c>
      <c r="I70" s="4">
        <f t="shared" si="2"/>
        <v>30</v>
      </c>
      <c r="J70" s="4">
        <f t="shared" si="16"/>
        <v>25</v>
      </c>
      <c r="K70" s="4">
        <f t="shared" si="17"/>
        <v>35</v>
      </c>
      <c r="P70" s="4">
        <f t="shared" si="18"/>
        <v>100</v>
      </c>
      <c r="Q70" s="10"/>
      <c r="R70" s="14">
        <f t="shared" si="4"/>
        <v>1550</v>
      </c>
      <c r="AG70" s="3">
        <f t="shared" si="5"/>
        <v>2</v>
      </c>
      <c r="AH70" s="3">
        <f t="shared" si="6"/>
        <v>1</v>
      </c>
      <c r="AI70" s="3">
        <f t="shared" si="7"/>
        <v>1</v>
      </c>
    </row>
    <row r="71" spans="1:35" x14ac:dyDescent="0.3">
      <c r="A71" s="23">
        <v>37</v>
      </c>
      <c r="B71" s="23" t="s">
        <v>620</v>
      </c>
      <c r="C71" s="24" t="s">
        <v>678</v>
      </c>
      <c r="D71" s="4">
        <f t="shared" si="19"/>
        <v>600</v>
      </c>
      <c r="E71" s="4">
        <f t="shared" si="15"/>
        <v>675</v>
      </c>
      <c r="H71" s="4">
        <f t="shared" si="1"/>
        <v>85</v>
      </c>
      <c r="I71" s="4">
        <f t="shared" si="2"/>
        <v>30</v>
      </c>
      <c r="J71" s="4">
        <f t="shared" si="16"/>
        <v>25</v>
      </c>
      <c r="K71" s="4">
        <f t="shared" si="17"/>
        <v>35</v>
      </c>
      <c r="P71" s="4">
        <f t="shared" si="18"/>
        <v>100</v>
      </c>
      <c r="Q71" s="10"/>
      <c r="R71" s="14">
        <f t="shared" si="4"/>
        <v>1550</v>
      </c>
      <c r="AG71" s="3">
        <f t="shared" si="5"/>
        <v>2</v>
      </c>
      <c r="AH71" s="3">
        <f t="shared" si="6"/>
        <v>1</v>
      </c>
      <c r="AI71" s="3">
        <f t="shared" si="7"/>
        <v>1</v>
      </c>
    </row>
    <row r="72" spans="1:35" x14ac:dyDescent="0.3">
      <c r="A72" s="23">
        <v>38</v>
      </c>
      <c r="B72" s="23" t="s">
        <v>620</v>
      </c>
      <c r="C72" s="24" t="s">
        <v>679</v>
      </c>
      <c r="D72" s="4">
        <f t="shared" si="19"/>
        <v>600</v>
      </c>
      <c r="E72" s="4">
        <f t="shared" si="15"/>
        <v>675</v>
      </c>
      <c r="H72" s="4">
        <f t="shared" si="1"/>
        <v>85</v>
      </c>
      <c r="I72" s="4">
        <f t="shared" si="2"/>
        <v>30</v>
      </c>
      <c r="J72" s="4">
        <f t="shared" si="16"/>
        <v>25</v>
      </c>
      <c r="K72" s="4">
        <f t="shared" si="17"/>
        <v>35</v>
      </c>
      <c r="P72" s="4">
        <f t="shared" si="18"/>
        <v>100</v>
      </c>
      <c r="Q72" s="10"/>
      <c r="R72" s="14">
        <f t="shared" si="4"/>
        <v>1550</v>
      </c>
      <c r="AG72" s="3">
        <f t="shared" si="5"/>
        <v>2</v>
      </c>
      <c r="AH72" s="3">
        <f t="shared" si="6"/>
        <v>1</v>
      </c>
      <c r="AI72" s="3">
        <f t="shared" si="7"/>
        <v>1</v>
      </c>
    </row>
    <row r="73" spans="1:35" ht="14.5" thickBot="1" x14ac:dyDescent="0.35">
      <c r="A73" s="23">
        <v>39</v>
      </c>
      <c r="B73" s="23" t="s">
        <v>620</v>
      </c>
      <c r="C73" s="24" t="s">
        <v>680</v>
      </c>
      <c r="D73" s="4">
        <f t="shared" si="19"/>
        <v>600</v>
      </c>
      <c r="E73" s="4">
        <f t="shared" si="15"/>
        <v>675</v>
      </c>
      <c r="H73" s="4">
        <f t="shared" si="1"/>
        <v>85</v>
      </c>
      <c r="I73" s="4">
        <f t="shared" si="2"/>
        <v>30</v>
      </c>
      <c r="J73" s="4">
        <f t="shared" si="16"/>
        <v>25</v>
      </c>
      <c r="K73" s="4">
        <f t="shared" si="17"/>
        <v>35</v>
      </c>
      <c r="P73" s="4">
        <f t="shared" si="18"/>
        <v>100</v>
      </c>
      <c r="Q73" s="10"/>
      <c r="R73" s="14">
        <f t="shared" si="4"/>
        <v>1550</v>
      </c>
      <c r="AG73" s="3">
        <f t="shared" si="5"/>
        <v>2</v>
      </c>
      <c r="AH73" s="3">
        <f t="shared" si="6"/>
        <v>1</v>
      </c>
      <c r="AI73" s="3">
        <f t="shared" si="7"/>
        <v>1</v>
      </c>
    </row>
    <row r="74" spans="1:35" ht="16" thickBot="1" x14ac:dyDescent="0.4">
      <c r="A74" s="23">
        <v>40</v>
      </c>
      <c r="B74" s="23" t="s">
        <v>620</v>
      </c>
      <c r="C74" s="24" t="s">
        <v>681</v>
      </c>
      <c r="D74" s="4">
        <f t="shared" si="19"/>
        <v>600</v>
      </c>
      <c r="E74" s="4">
        <f t="shared" si="15"/>
        <v>675</v>
      </c>
      <c r="H74" s="4">
        <f t="shared" ref="H74" si="20">$H$3</f>
        <v>85</v>
      </c>
      <c r="I74" s="4">
        <f t="shared" ref="I74" si="21">($T$5+$P$2)*$I$3</f>
        <v>30</v>
      </c>
      <c r="J74" s="4">
        <f t="shared" si="16"/>
        <v>25</v>
      </c>
      <c r="K74" s="4">
        <f t="shared" si="17"/>
        <v>35</v>
      </c>
      <c r="P74" s="4">
        <f t="shared" si="18"/>
        <v>100</v>
      </c>
      <c r="Q74" s="10"/>
      <c r="R74" s="14">
        <f t="shared" ref="R74:R134" si="22">SUM(D74:Q74)</f>
        <v>1550</v>
      </c>
      <c r="T74" s="21">
        <f>SUM(R35:R74)</f>
        <v>62000</v>
      </c>
      <c r="AG74" s="3">
        <f t="shared" si="5"/>
        <v>2</v>
      </c>
      <c r="AH74" s="3">
        <f t="shared" si="6"/>
        <v>1</v>
      </c>
      <c r="AI74" s="3">
        <f t="shared" si="7"/>
        <v>1</v>
      </c>
    </row>
    <row r="75" spans="1:35" x14ac:dyDescent="0.3">
      <c r="A75" s="25">
        <v>1</v>
      </c>
      <c r="B75" s="25" t="s">
        <v>682</v>
      </c>
      <c r="C75" s="26" t="s">
        <v>683</v>
      </c>
      <c r="P75" s="4">
        <v>1250</v>
      </c>
      <c r="Q75" s="10"/>
      <c r="R75" s="14">
        <f>SUM(D75:Q75)</f>
        <v>1250</v>
      </c>
      <c r="AG75" s="3">
        <f t="shared" ref="AG75:AG138" si="23">I75/$AG$3</f>
        <v>0</v>
      </c>
      <c r="AH75" s="3">
        <f t="shared" ref="AH75:AH138" si="24">J75/$AH$3</f>
        <v>0</v>
      </c>
      <c r="AI75" s="3">
        <f t="shared" ref="AI75:AI138" si="25">K75/$AI$3</f>
        <v>0</v>
      </c>
    </row>
    <row r="76" spans="1:35" x14ac:dyDescent="0.3">
      <c r="A76" s="25">
        <v>11</v>
      </c>
      <c r="B76" s="25" t="s">
        <v>684</v>
      </c>
      <c r="C76" s="26" t="s">
        <v>685</v>
      </c>
      <c r="P76" s="4">
        <v>1250</v>
      </c>
      <c r="Q76" s="10"/>
      <c r="R76" s="14">
        <f t="shared" si="22"/>
        <v>1250</v>
      </c>
      <c r="AG76" s="3">
        <f t="shared" si="23"/>
        <v>0</v>
      </c>
      <c r="AH76" s="3">
        <f t="shared" si="24"/>
        <v>0</v>
      </c>
      <c r="AI76" s="3">
        <f t="shared" si="25"/>
        <v>0</v>
      </c>
    </row>
    <row r="77" spans="1:35" x14ac:dyDescent="0.3">
      <c r="A77" s="27">
        <v>1</v>
      </c>
      <c r="B77" s="27" t="s">
        <v>682</v>
      </c>
      <c r="C77" s="28" t="s">
        <v>686</v>
      </c>
      <c r="P77" s="4">
        <v>1250</v>
      </c>
      <c r="Q77" s="10"/>
      <c r="R77" s="14">
        <f t="shared" si="22"/>
        <v>1250</v>
      </c>
      <c r="AG77" s="3">
        <f t="shared" si="23"/>
        <v>0</v>
      </c>
      <c r="AH77" s="3">
        <f t="shared" si="24"/>
        <v>0</v>
      </c>
      <c r="AI77" s="3">
        <f t="shared" si="25"/>
        <v>0</v>
      </c>
    </row>
    <row r="78" spans="1:35" x14ac:dyDescent="0.3">
      <c r="A78" s="27">
        <v>11</v>
      </c>
      <c r="B78" s="27" t="s">
        <v>684</v>
      </c>
      <c r="C78" s="28" t="s">
        <v>687</v>
      </c>
      <c r="P78" s="4">
        <v>1250</v>
      </c>
      <c r="Q78" s="10"/>
      <c r="R78" s="14">
        <f t="shared" si="22"/>
        <v>1250</v>
      </c>
      <c r="AG78" s="3">
        <f t="shared" si="23"/>
        <v>0</v>
      </c>
      <c r="AH78" s="3">
        <f t="shared" si="24"/>
        <v>0</v>
      </c>
      <c r="AI78" s="3">
        <f t="shared" si="25"/>
        <v>0</v>
      </c>
    </row>
    <row r="79" spans="1:35" x14ac:dyDescent="0.3">
      <c r="A79" s="25">
        <v>1</v>
      </c>
      <c r="B79" s="25" t="s">
        <v>682</v>
      </c>
      <c r="C79" s="29" t="s">
        <v>688</v>
      </c>
      <c r="L79" s="4">
        <v>750</v>
      </c>
      <c r="P79" s="4">
        <v>1250</v>
      </c>
      <c r="Q79" s="10"/>
      <c r="R79" s="14">
        <f t="shared" si="22"/>
        <v>2000</v>
      </c>
      <c r="AG79" s="3">
        <f t="shared" si="23"/>
        <v>0</v>
      </c>
      <c r="AH79" s="3">
        <f t="shared" si="24"/>
        <v>0</v>
      </c>
      <c r="AI79" s="3">
        <f t="shared" si="25"/>
        <v>0</v>
      </c>
    </row>
    <row r="80" spans="1:35" x14ac:dyDescent="0.3">
      <c r="A80" s="25">
        <v>11</v>
      </c>
      <c r="B80" s="25" t="s">
        <v>684</v>
      </c>
      <c r="C80" s="29" t="s">
        <v>689</v>
      </c>
      <c r="L80" s="4">
        <v>750</v>
      </c>
      <c r="P80" s="4">
        <v>1250</v>
      </c>
      <c r="Q80" s="10"/>
      <c r="R80" s="14">
        <f t="shared" si="22"/>
        <v>2000</v>
      </c>
      <c r="S80" s="14"/>
      <c r="AG80" s="3">
        <f t="shared" si="23"/>
        <v>0</v>
      </c>
      <c r="AH80" s="3">
        <f t="shared" si="24"/>
        <v>0</v>
      </c>
      <c r="AI80" s="3">
        <f t="shared" si="25"/>
        <v>0</v>
      </c>
    </row>
    <row r="81" spans="1:35" x14ac:dyDescent="0.3">
      <c r="A81" s="25">
        <v>2</v>
      </c>
      <c r="B81" s="25" t="s">
        <v>682</v>
      </c>
      <c r="C81" s="26" t="s">
        <v>690</v>
      </c>
      <c r="P81" s="4">
        <v>1250</v>
      </c>
      <c r="Q81" s="10"/>
      <c r="R81" s="14">
        <f t="shared" si="22"/>
        <v>1250</v>
      </c>
      <c r="AG81" s="3">
        <f t="shared" si="23"/>
        <v>0</v>
      </c>
      <c r="AH81" s="3">
        <f t="shared" si="24"/>
        <v>0</v>
      </c>
      <c r="AI81" s="3">
        <f t="shared" si="25"/>
        <v>0</v>
      </c>
    </row>
    <row r="82" spans="1:35" x14ac:dyDescent="0.3">
      <c r="A82" s="25">
        <v>12</v>
      </c>
      <c r="B82" s="25" t="s">
        <v>684</v>
      </c>
      <c r="C82" s="26" t="s">
        <v>691</v>
      </c>
      <c r="P82" s="4">
        <v>1250</v>
      </c>
      <c r="Q82" s="10"/>
      <c r="R82" s="14">
        <f t="shared" si="22"/>
        <v>1250</v>
      </c>
      <c r="AG82" s="3">
        <f t="shared" si="23"/>
        <v>0</v>
      </c>
      <c r="AH82" s="3">
        <f t="shared" si="24"/>
        <v>0</v>
      </c>
      <c r="AI82" s="3">
        <f t="shared" si="25"/>
        <v>0</v>
      </c>
    </row>
    <row r="83" spans="1:35" x14ac:dyDescent="0.3">
      <c r="A83" s="27">
        <v>2</v>
      </c>
      <c r="B83" s="27" t="s">
        <v>682</v>
      </c>
      <c r="C83" s="28" t="s">
        <v>692</v>
      </c>
      <c r="P83" s="4">
        <v>1250</v>
      </c>
      <c r="Q83" s="10"/>
      <c r="R83" s="14">
        <f t="shared" si="22"/>
        <v>1250</v>
      </c>
      <c r="AG83" s="3">
        <f t="shared" si="23"/>
        <v>0</v>
      </c>
      <c r="AH83" s="3">
        <f t="shared" si="24"/>
        <v>0</v>
      </c>
      <c r="AI83" s="3">
        <f t="shared" si="25"/>
        <v>0</v>
      </c>
    </row>
    <row r="84" spans="1:35" x14ac:dyDescent="0.3">
      <c r="A84" s="27">
        <v>12</v>
      </c>
      <c r="B84" s="27" t="s">
        <v>684</v>
      </c>
      <c r="C84" s="28" t="s">
        <v>693</v>
      </c>
      <c r="P84" s="4">
        <v>1250</v>
      </c>
      <c r="Q84" s="10"/>
      <c r="R84" s="14">
        <f t="shared" si="22"/>
        <v>1250</v>
      </c>
      <c r="AG84" s="3">
        <f t="shared" si="23"/>
        <v>0</v>
      </c>
      <c r="AH84" s="3">
        <f t="shared" si="24"/>
        <v>0</v>
      </c>
      <c r="AI84" s="3">
        <f t="shared" si="25"/>
        <v>0</v>
      </c>
    </row>
    <row r="85" spans="1:35" x14ac:dyDescent="0.3">
      <c r="A85" s="25">
        <v>2</v>
      </c>
      <c r="B85" s="25" t="s">
        <v>682</v>
      </c>
      <c r="C85" s="29" t="s">
        <v>694</v>
      </c>
      <c r="L85" s="4">
        <v>750</v>
      </c>
      <c r="P85" s="4">
        <v>1250</v>
      </c>
      <c r="Q85" s="10"/>
      <c r="R85" s="14">
        <f t="shared" si="22"/>
        <v>2000</v>
      </c>
      <c r="AG85" s="3">
        <f t="shared" si="23"/>
        <v>0</v>
      </c>
      <c r="AH85" s="3">
        <f t="shared" si="24"/>
        <v>0</v>
      </c>
      <c r="AI85" s="3">
        <f t="shared" si="25"/>
        <v>0</v>
      </c>
    </row>
    <row r="86" spans="1:35" x14ac:dyDescent="0.3">
      <c r="A86" s="25">
        <v>12</v>
      </c>
      <c r="B86" s="25" t="s">
        <v>684</v>
      </c>
      <c r="C86" s="29" t="s">
        <v>695</v>
      </c>
      <c r="L86" s="4">
        <v>750</v>
      </c>
      <c r="P86" s="4">
        <v>1250</v>
      </c>
      <c r="Q86" s="10"/>
      <c r="R86" s="14">
        <f t="shared" si="22"/>
        <v>2000</v>
      </c>
      <c r="AG86" s="3">
        <f t="shared" si="23"/>
        <v>0</v>
      </c>
      <c r="AH86" s="3">
        <f t="shared" si="24"/>
        <v>0</v>
      </c>
      <c r="AI86" s="3">
        <f t="shared" si="25"/>
        <v>0</v>
      </c>
    </row>
    <row r="87" spans="1:35" x14ac:dyDescent="0.3">
      <c r="A87" s="25">
        <v>3</v>
      </c>
      <c r="B87" s="25" t="s">
        <v>682</v>
      </c>
      <c r="C87" s="26" t="s">
        <v>696</v>
      </c>
      <c r="P87" s="4">
        <v>1250</v>
      </c>
      <c r="Q87" s="10"/>
      <c r="R87" s="14">
        <f t="shared" si="22"/>
        <v>1250</v>
      </c>
      <c r="AG87" s="3">
        <f t="shared" si="23"/>
        <v>0</v>
      </c>
      <c r="AH87" s="3">
        <f t="shared" si="24"/>
        <v>0</v>
      </c>
      <c r="AI87" s="3">
        <f t="shared" si="25"/>
        <v>0</v>
      </c>
    </row>
    <row r="88" spans="1:35" x14ac:dyDescent="0.3">
      <c r="A88" s="25">
        <v>13</v>
      </c>
      <c r="B88" s="25" t="s">
        <v>684</v>
      </c>
      <c r="C88" s="26" t="s">
        <v>697</v>
      </c>
      <c r="P88" s="4">
        <v>1250</v>
      </c>
      <c r="Q88" s="10"/>
      <c r="R88" s="14">
        <f t="shared" si="22"/>
        <v>1250</v>
      </c>
      <c r="AG88" s="3">
        <f t="shared" si="23"/>
        <v>0</v>
      </c>
      <c r="AH88" s="3">
        <f t="shared" si="24"/>
        <v>0</v>
      </c>
      <c r="AI88" s="3">
        <f t="shared" si="25"/>
        <v>0</v>
      </c>
    </row>
    <row r="89" spans="1:35" x14ac:dyDescent="0.3">
      <c r="A89" s="27">
        <v>3</v>
      </c>
      <c r="B89" s="27" t="s">
        <v>682</v>
      </c>
      <c r="C89" s="28" t="s">
        <v>698</v>
      </c>
      <c r="P89" s="4">
        <v>1250</v>
      </c>
      <c r="Q89" s="10"/>
      <c r="R89" s="14">
        <f t="shared" si="22"/>
        <v>1250</v>
      </c>
      <c r="AG89" s="3">
        <f t="shared" si="23"/>
        <v>0</v>
      </c>
      <c r="AH89" s="3">
        <f t="shared" si="24"/>
        <v>0</v>
      </c>
      <c r="AI89" s="3">
        <f t="shared" si="25"/>
        <v>0</v>
      </c>
    </row>
    <row r="90" spans="1:35" x14ac:dyDescent="0.3">
      <c r="A90" s="27">
        <v>13</v>
      </c>
      <c r="B90" s="27" t="s">
        <v>684</v>
      </c>
      <c r="C90" s="28" t="s">
        <v>699</v>
      </c>
      <c r="P90" s="4">
        <v>1250</v>
      </c>
      <c r="Q90" s="10"/>
      <c r="R90" s="14">
        <f t="shared" si="22"/>
        <v>1250</v>
      </c>
      <c r="AG90" s="3">
        <f t="shared" si="23"/>
        <v>0</v>
      </c>
      <c r="AH90" s="3">
        <f t="shared" si="24"/>
        <v>0</v>
      </c>
      <c r="AI90" s="3">
        <f t="shared" si="25"/>
        <v>0</v>
      </c>
    </row>
    <row r="91" spans="1:35" x14ac:dyDescent="0.3">
      <c r="A91" s="25">
        <v>3</v>
      </c>
      <c r="B91" s="25" t="s">
        <v>682</v>
      </c>
      <c r="C91" s="29" t="s">
        <v>700</v>
      </c>
      <c r="L91" s="4">
        <v>750</v>
      </c>
      <c r="P91" s="4">
        <v>1250</v>
      </c>
      <c r="Q91" s="10"/>
      <c r="R91" s="14">
        <f t="shared" si="22"/>
        <v>2000</v>
      </c>
      <c r="AG91" s="3">
        <f t="shared" si="23"/>
        <v>0</v>
      </c>
      <c r="AH91" s="3">
        <f t="shared" si="24"/>
        <v>0</v>
      </c>
      <c r="AI91" s="3">
        <f t="shared" si="25"/>
        <v>0</v>
      </c>
    </row>
    <row r="92" spans="1:35" x14ac:dyDescent="0.3">
      <c r="A92" s="25">
        <v>13</v>
      </c>
      <c r="B92" s="25" t="s">
        <v>684</v>
      </c>
      <c r="C92" s="29" t="s">
        <v>701</v>
      </c>
      <c r="L92" s="4">
        <v>750</v>
      </c>
      <c r="P92" s="4">
        <v>1250</v>
      </c>
      <c r="Q92" s="10"/>
      <c r="R92" s="14">
        <f t="shared" si="22"/>
        <v>2000</v>
      </c>
      <c r="AG92" s="3">
        <f t="shared" si="23"/>
        <v>0</v>
      </c>
      <c r="AH92" s="3">
        <f t="shared" si="24"/>
        <v>0</v>
      </c>
      <c r="AI92" s="3">
        <f t="shared" si="25"/>
        <v>0</v>
      </c>
    </row>
    <row r="93" spans="1:35" x14ac:dyDescent="0.3">
      <c r="A93" s="25">
        <v>4</v>
      </c>
      <c r="B93" s="25" t="s">
        <v>682</v>
      </c>
      <c r="C93" s="26" t="s">
        <v>702</v>
      </c>
      <c r="P93" s="4">
        <v>1250</v>
      </c>
      <c r="Q93" s="10"/>
      <c r="R93" s="14">
        <f t="shared" si="22"/>
        <v>1250</v>
      </c>
      <c r="AG93" s="3">
        <f t="shared" si="23"/>
        <v>0</v>
      </c>
      <c r="AH93" s="3">
        <f t="shared" si="24"/>
        <v>0</v>
      </c>
      <c r="AI93" s="3">
        <f t="shared" si="25"/>
        <v>0</v>
      </c>
    </row>
    <row r="94" spans="1:35" x14ac:dyDescent="0.3">
      <c r="A94" s="25">
        <v>14</v>
      </c>
      <c r="B94" s="25" t="s">
        <v>684</v>
      </c>
      <c r="C94" s="26" t="s">
        <v>703</v>
      </c>
      <c r="P94" s="4">
        <v>1250</v>
      </c>
      <c r="Q94" s="10"/>
      <c r="R94" s="14">
        <f t="shared" si="22"/>
        <v>1250</v>
      </c>
      <c r="AG94" s="3">
        <f t="shared" si="23"/>
        <v>0</v>
      </c>
      <c r="AH94" s="3">
        <f t="shared" si="24"/>
        <v>0</v>
      </c>
      <c r="AI94" s="3">
        <f t="shared" si="25"/>
        <v>0</v>
      </c>
    </row>
    <row r="95" spans="1:35" x14ac:dyDescent="0.3">
      <c r="A95" s="27">
        <v>4</v>
      </c>
      <c r="B95" s="27" t="s">
        <v>682</v>
      </c>
      <c r="C95" s="28" t="s">
        <v>704</v>
      </c>
      <c r="P95" s="4">
        <v>1250</v>
      </c>
      <c r="Q95" s="10"/>
      <c r="R95" s="14">
        <f t="shared" si="22"/>
        <v>1250</v>
      </c>
      <c r="AG95" s="3">
        <f t="shared" si="23"/>
        <v>0</v>
      </c>
      <c r="AH95" s="3">
        <f t="shared" si="24"/>
        <v>0</v>
      </c>
      <c r="AI95" s="3">
        <f t="shared" si="25"/>
        <v>0</v>
      </c>
    </row>
    <row r="96" spans="1:35" x14ac:dyDescent="0.3">
      <c r="A96" s="27">
        <v>14</v>
      </c>
      <c r="B96" s="27" t="s">
        <v>684</v>
      </c>
      <c r="C96" s="28" t="s">
        <v>705</v>
      </c>
      <c r="P96" s="4">
        <v>1250</v>
      </c>
      <c r="Q96" s="10"/>
      <c r="R96" s="14">
        <f t="shared" si="22"/>
        <v>1250</v>
      </c>
      <c r="AG96" s="3">
        <f t="shared" si="23"/>
        <v>0</v>
      </c>
      <c r="AH96" s="3">
        <f t="shared" si="24"/>
        <v>0</v>
      </c>
      <c r="AI96" s="3">
        <f t="shared" si="25"/>
        <v>0</v>
      </c>
    </row>
    <row r="97" spans="1:35" x14ac:dyDescent="0.3">
      <c r="A97" s="25">
        <v>4</v>
      </c>
      <c r="B97" s="25" t="s">
        <v>682</v>
      </c>
      <c r="C97" s="29" t="s">
        <v>706</v>
      </c>
      <c r="L97" s="4">
        <v>750</v>
      </c>
      <c r="P97" s="4">
        <v>1250</v>
      </c>
      <c r="Q97" s="10"/>
      <c r="R97" s="14">
        <f t="shared" si="22"/>
        <v>2000</v>
      </c>
      <c r="AG97" s="3">
        <f t="shared" si="23"/>
        <v>0</v>
      </c>
      <c r="AH97" s="3">
        <f t="shared" si="24"/>
        <v>0</v>
      </c>
      <c r="AI97" s="3">
        <f t="shared" si="25"/>
        <v>0</v>
      </c>
    </row>
    <row r="98" spans="1:35" x14ac:dyDescent="0.3">
      <c r="A98" s="25">
        <v>14</v>
      </c>
      <c r="B98" s="25" t="s">
        <v>684</v>
      </c>
      <c r="C98" s="29" t="s">
        <v>707</v>
      </c>
      <c r="L98" s="4">
        <v>750</v>
      </c>
      <c r="P98" s="4">
        <v>1250</v>
      </c>
      <c r="Q98" s="10"/>
      <c r="R98" s="14">
        <f t="shared" si="22"/>
        <v>2000</v>
      </c>
      <c r="AG98" s="3">
        <f t="shared" si="23"/>
        <v>0</v>
      </c>
      <c r="AH98" s="3">
        <f t="shared" si="24"/>
        <v>0</v>
      </c>
      <c r="AI98" s="3">
        <f t="shared" si="25"/>
        <v>0</v>
      </c>
    </row>
    <row r="99" spans="1:35" x14ac:dyDescent="0.3">
      <c r="A99" s="25">
        <v>5</v>
      </c>
      <c r="B99" s="25" t="s">
        <v>682</v>
      </c>
      <c r="C99" s="26" t="s">
        <v>708</v>
      </c>
      <c r="P99" s="4">
        <v>1250</v>
      </c>
      <c r="Q99" s="10"/>
      <c r="R99" s="14">
        <f t="shared" si="22"/>
        <v>1250</v>
      </c>
      <c r="AG99" s="3">
        <f t="shared" si="23"/>
        <v>0</v>
      </c>
      <c r="AH99" s="3">
        <f t="shared" si="24"/>
        <v>0</v>
      </c>
      <c r="AI99" s="3">
        <f t="shared" si="25"/>
        <v>0</v>
      </c>
    </row>
    <row r="100" spans="1:35" x14ac:dyDescent="0.3">
      <c r="A100" s="25">
        <v>15</v>
      </c>
      <c r="B100" s="25" t="s">
        <v>684</v>
      </c>
      <c r="C100" s="26" t="s">
        <v>709</v>
      </c>
      <c r="P100" s="4">
        <v>1250</v>
      </c>
      <c r="Q100" s="10"/>
      <c r="R100" s="14">
        <f t="shared" si="22"/>
        <v>1250</v>
      </c>
      <c r="AG100" s="3">
        <f t="shared" si="23"/>
        <v>0</v>
      </c>
      <c r="AH100" s="3">
        <f t="shared" si="24"/>
        <v>0</v>
      </c>
      <c r="AI100" s="3">
        <f t="shared" si="25"/>
        <v>0</v>
      </c>
    </row>
    <row r="101" spans="1:35" x14ac:dyDescent="0.3">
      <c r="A101" s="27">
        <v>5</v>
      </c>
      <c r="B101" s="27" t="s">
        <v>682</v>
      </c>
      <c r="C101" s="28" t="s">
        <v>710</v>
      </c>
      <c r="P101" s="4">
        <v>1250</v>
      </c>
      <c r="Q101" s="10"/>
      <c r="R101" s="14">
        <f t="shared" si="22"/>
        <v>1250</v>
      </c>
      <c r="AG101" s="3">
        <f t="shared" si="23"/>
        <v>0</v>
      </c>
      <c r="AH101" s="3">
        <f t="shared" si="24"/>
        <v>0</v>
      </c>
      <c r="AI101" s="3">
        <f t="shared" si="25"/>
        <v>0</v>
      </c>
    </row>
    <row r="102" spans="1:35" x14ac:dyDescent="0.3">
      <c r="A102" s="27">
        <v>15</v>
      </c>
      <c r="B102" s="27" t="s">
        <v>684</v>
      </c>
      <c r="C102" s="28" t="s">
        <v>711</v>
      </c>
      <c r="P102" s="4">
        <v>1250</v>
      </c>
      <c r="Q102" s="10"/>
      <c r="R102" s="14">
        <f t="shared" si="22"/>
        <v>1250</v>
      </c>
      <c r="AG102" s="3">
        <f t="shared" si="23"/>
        <v>0</v>
      </c>
      <c r="AH102" s="3">
        <f t="shared" si="24"/>
        <v>0</v>
      </c>
      <c r="AI102" s="3">
        <f t="shared" si="25"/>
        <v>0</v>
      </c>
    </row>
    <row r="103" spans="1:35" x14ac:dyDescent="0.3">
      <c r="A103" s="25">
        <v>5</v>
      </c>
      <c r="B103" s="25" t="s">
        <v>682</v>
      </c>
      <c r="C103" s="29" t="s">
        <v>712</v>
      </c>
      <c r="L103" s="4">
        <v>750</v>
      </c>
      <c r="P103" s="4">
        <v>1250</v>
      </c>
      <c r="Q103" s="10"/>
      <c r="R103" s="14">
        <f t="shared" si="22"/>
        <v>2000</v>
      </c>
      <c r="AG103" s="3">
        <f t="shared" si="23"/>
        <v>0</v>
      </c>
      <c r="AH103" s="3">
        <f t="shared" si="24"/>
        <v>0</v>
      </c>
      <c r="AI103" s="3">
        <f t="shared" si="25"/>
        <v>0</v>
      </c>
    </row>
    <row r="104" spans="1:35" x14ac:dyDescent="0.3">
      <c r="A104" s="25">
        <v>15</v>
      </c>
      <c r="B104" s="25" t="s">
        <v>684</v>
      </c>
      <c r="C104" s="29" t="s">
        <v>713</v>
      </c>
      <c r="L104" s="4">
        <v>750</v>
      </c>
      <c r="P104" s="4">
        <v>1250</v>
      </c>
      <c r="Q104" s="10"/>
      <c r="R104" s="14">
        <f t="shared" si="22"/>
        <v>2000</v>
      </c>
      <c r="AG104" s="3">
        <f t="shared" si="23"/>
        <v>0</v>
      </c>
      <c r="AH104" s="3">
        <f t="shared" si="24"/>
        <v>0</v>
      </c>
      <c r="AI104" s="3">
        <f t="shared" si="25"/>
        <v>0</v>
      </c>
    </row>
    <row r="105" spans="1:35" x14ac:dyDescent="0.3">
      <c r="A105" s="25">
        <v>6</v>
      </c>
      <c r="B105" s="25" t="s">
        <v>682</v>
      </c>
      <c r="C105" s="26" t="s">
        <v>714</v>
      </c>
      <c r="P105" s="4">
        <v>1250</v>
      </c>
      <c r="Q105" s="10"/>
      <c r="R105" s="14">
        <f t="shared" si="22"/>
        <v>1250</v>
      </c>
      <c r="AG105" s="3">
        <f t="shared" si="23"/>
        <v>0</v>
      </c>
      <c r="AH105" s="3">
        <f t="shared" si="24"/>
        <v>0</v>
      </c>
      <c r="AI105" s="3">
        <f t="shared" si="25"/>
        <v>0</v>
      </c>
    </row>
    <row r="106" spans="1:35" x14ac:dyDescent="0.3">
      <c r="A106" s="25">
        <v>16</v>
      </c>
      <c r="B106" s="25" t="s">
        <v>684</v>
      </c>
      <c r="C106" s="26" t="s">
        <v>715</v>
      </c>
      <c r="P106" s="4">
        <v>1250</v>
      </c>
      <c r="Q106" s="10"/>
      <c r="R106" s="14">
        <f t="shared" si="22"/>
        <v>1250</v>
      </c>
      <c r="AG106" s="3">
        <f t="shared" si="23"/>
        <v>0</v>
      </c>
      <c r="AH106" s="3">
        <f t="shared" si="24"/>
        <v>0</v>
      </c>
      <c r="AI106" s="3">
        <f t="shared" si="25"/>
        <v>0</v>
      </c>
    </row>
    <row r="107" spans="1:35" x14ac:dyDescent="0.3">
      <c r="A107" s="27">
        <v>6</v>
      </c>
      <c r="B107" s="27" t="s">
        <v>682</v>
      </c>
      <c r="C107" s="28" t="s">
        <v>716</v>
      </c>
      <c r="P107" s="4">
        <v>1250</v>
      </c>
      <c r="Q107" s="10"/>
      <c r="R107" s="14">
        <f t="shared" si="22"/>
        <v>1250</v>
      </c>
      <c r="AG107" s="3">
        <f t="shared" si="23"/>
        <v>0</v>
      </c>
      <c r="AH107" s="3">
        <f t="shared" si="24"/>
        <v>0</v>
      </c>
      <c r="AI107" s="3">
        <f t="shared" si="25"/>
        <v>0</v>
      </c>
    </row>
    <row r="108" spans="1:35" x14ac:dyDescent="0.3">
      <c r="A108" s="27">
        <v>16</v>
      </c>
      <c r="B108" s="27" t="s">
        <v>684</v>
      </c>
      <c r="C108" s="28" t="s">
        <v>717</v>
      </c>
      <c r="P108" s="4">
        <v>1250</v>
      </c>
      <c r="Q108" s="10"/>
      <c r="R108" s="14">
        <f t="shared" si="22"/>
        <v>1250</v>
      </c>
      <c r="AG108" s="3">
        <f t="shared" si="23"/>
        <v>0</v>
      </c>
      <c r="AH108" s="3">
        <f t="shared" si="24"/>
        <v>0</v>
      </c>
      <c r="AI108" s="3">
        <f t="shared" si="25"/>
        <v>0</v>
      </c>
    </row>
    <row r="109" spans="1:35" x14ac:dyDescent="0.3">
      <c r="A109" s="25">
        <v>6</v>
      </c>
      <c r="B109" s="25" t="s">
        <v>682</v>
      </c>
      <c r="C109" s="29" t="s">
        <v>718</v>
      </c>
      <c r="L109" s="4">
        <v>750</v>
      </c>
      <c r="P109" s="4">
        <v>1250</v>
      </c>
      <c r="Q109" s="10"/>
      <c r="R109" s="14">
        <f t="shared" si="22"/>
        <v>2000</v>
      </c>
      <c r="AG109" s="3">
        <f t="shared" si="23"/>
        <v>0</v>
      </c>
      <c r="AH109" s="3">
        <f t="shared" si="24"/>
        <v>0</v>
      </c>
      <c r="AI109" s="3">
        <f t="shared" si="25"/>
        <v>0</v>
      </c>
    </row>
    <row r="110" spans="1:35" x14ac:dyDescent="0.3">
      <c r="A110" s="25">
        <v>16</v>
      </c>
      <c r="B110" s="25" t="s">
        <v>684</v>
      </c>
      <c r="C110" s="29" t="s">
        <v>719</v>
      </c>
      <c r="L110" s="4">
        <v>750</v>
      </c>
      <c r="P110" s="4">
        <v>1250</v>
      </c>
      <c r="Q110" s="10"/>
      <c r="R110" s="14">
        <f t="shared" si="22"/>
        <v>2000</v>
      </c>
      <c r="AG110" s="3">
        <f t="shared" si="23"/>
        <v>0</v>
      </c>
      <c r="AH110" s="3">
        <f t="shared" si="24"/>
        <v>0</v>
      </c>
      <c r="AI110" s="3">
        <f t="shared" si="25"/>
        <v>0</v>
      </c>
    </row>
    <row r="111" spans="1:35" x14ac:dyDescent="0.3">
      <c r="A111" s="25">
        <v>7</v>
      </c>
      <c r="B111" s="25" t="s">
        <v>682</v>
      </c>
      <c r="C111" s="26" t="s">
        <v>720</v>
      </c>
      <c r="P111" s="4">
        <v>1250</v>
      </c>
      <c r="Q111" s="10"/>
      <c r="R111" s="14">
        <f t="shared" si="22"/>
        <v>1250</v>
      </c>
      <c r="AG111" s="3">
        <f t="shared" si="23"/>
        <v>0</v>
      </c>
      <c r="AH111" s="3">
        <f t="shared" si="24"/>
        <v>0</v>
      </c>
      <c r="AI111" s="3">
        <f t="shared" si="25"/>
        <v>0</v>
      </c>
    </row>
    <row r="112" spans="1:35" x14ac:dyDescent="0.3">
      <c r="A112" s="25">
        <v>17</v>
      </c>
      <c r="B112" s="25" t="s">
        <v>684</v>
      </c>
      <c r="C112" s="26" t="s">
        <v>721</v>
      </c>
      <c r="P112" s="4">
        <v>1250</v>
      </c>
      <c r="Q112" s="10"/>
      <c r="R112" s="14">
        <f t="shared" si="22"/>
        <v>1250</v>
      </c>
      <c r="AG112" s="3">
        <f t="shared" si="23"/>
        <v>0</v>
      </c>
      <c r="AH112" s="3">
        <f t="shared" si="24"/>
        <v>0</v>
      </c>
      <c r="AI112" s="3">
        <f t="shared" si="25"/>
        <v>0</v>
      </c>
    </row>
    <row r="113" spans="1:35" x14ac:dyDescent="0.3">
      <c r="A113" s="27">
        <v>7</v>
      </c>
      <c r="B113" s="27" t="s">
        <v>682</v>
      </c>
      <c r="C113" s="28" t="s">
        <v>722</v>
      </c>
      <c r="P113" s="4">
        <v>1250</v>
      </c>
      <c r="Q113" s="10"/>
      <c r="R113" s="14">
        <f t="shared" si="22"/>
        <v>1250</v>
      </c>
      <c r="AG113" s="3">
        <f t="shared" si="23"/>
        <v>0</v>
      </c>
      <c r="AH113" s="3">
        <f t="shared" si="24"/>
        <v>0</v>
      </c>
      <c r="AI113" s="3">
        <f t="shared" si="25"/>
        <v>0</v>
      </c>
    </row>
    <row r="114" spans="1:35" x14ac:dyDescent="0.3">
      <c r="A114" s="27">
        <v>17</v>
      </c>
      <c r="B114" s="27" t="s">
        <v>684</v>
      </c>
      <c r="C114" s="28" t="s">
        <v>723</v>
      </c>
      <c r="P114" s="4">
        <v>1250</v>
      </c>
      <c r="Q114" s="10"/>
      <c r="R114" s="14">
        <f t="shared" si="22"/>
        <v>1250</v>
      </c>
      <c r="AG114" s="3">
        <f t="shared" si="23"/>
        <v>0</v>
      </c>
      <c r="AH114" s="3">
        <f t="shared" si="24"/>
        <v>0</v>
      </c>
      <c r="AI114" s="3">
        <f t="shared" si="25"/>
        <v>0</v>
      </c>
    </row>
    <row r="115" spans="1:35" x14ac:dyDescent="0.3">
      <c r="A115" s="25">
        <v>7</v>
      </c>
      <c r="B115" s="25" t="s">
        <v>682</v>
      </c>
      <c r="C115" s="29" t="s">
        <v>724</v>
      </c>
      <c r="L115" s="4">
        <v>750</v>
      </c>
      <c r="P115" s="4">
        <v>1250</v>
      </c>
      <c r="Q115" s="10"/>
      <c r="R115" s="14">
        <f t="shared" si="22"/>
        <v>2000</v>
      </c>
      <c r="AG115" s="3">
        <f t="shared" si="23"/>
        <v>0</v>
      </c>
      <c r="AH115" s="3">
        <f t="shared" si="24"/>
        <v>0</v>
      </c>
      <c r="AI115" s="3">
        <f t="shared" si="25"/>
        <v>0</v>
      </c>
    </row>
    <row r="116" spans="1:35" x14ac:dyDescent="0.3">
      <c r="A116" s="25">
        <v>17</v>
      </c>
      <c r="B116" s="25" t="s">
        <v>684</v>
      </c>
      <c r="C116" s="29" t="s">
        <v>725</v>
      </c>
      <c r="L116" s="4">
        <v>750</v>
      </c>
      <c r="P116" s="4">
        <v>1250</v>
      </c>
      <c r="Q116" s="10"/>
      <c r="R116" s="14">
        <f t="shared" si="22"/>
        <v>2000</v>
      </c>
      <c r="AG116" s="3">
        <f t="shared" si="23"/>
        <v>0</v>
      </c>
      <c r="AH116" s="3">
        <f t="shared" si="24"/>
        <v>0</v>
      </c>
      <c r="AI116" s="3">
        <f t="shared" si="25"/>
        <v>0</v>
      </c>
    </row>
    <row r="117" spans="1:35" x14ac:dyDescent="0.3">
      <c r="A117" s="25">
        <v>8</v>
      </c>
      <c r="B117" s="25" t="s">
        <v>682</v>
      </c>
      <c r="C117" s="26" t="s">
        <v>726</v>
      </c>
      <c r="P117" s="4">
        <v>1250</v>
      </c>
      <c r="Q117" s="10"/>
      <c r="R117" s="14">
        <f t="shared" si="22"/>
        <v>1250</v>
      </c>
      <c r="AG117" s="3">
        <f t="shared" si="23"/>
        <v>0</v>
      </c>
      <c r="AH117" s="3">
        <f t="shared" si="24"/>
        <v>0</v>
      </c>
      <c r="AI117" s="3">
        <f t="shared" si="25"/>
        <v>0</v>
      </c>
    </row>
    <row r="118" spans="1:35" x14ac:dyDescent="0.3">
      <c r="A118" s="25">
        <v>18</v>
      </c>
      <c r="B118" s="25" t="s">
        <v>684</v>
      </c>
      <c r="C118" s="26" t="s">
        <v>727</v>
      </c>
      <c r="P118" s="4">
        <v>1250</v>
      </c>
      <c r="Q118" s="10"/>
      <c r="R118" s="14">
        <f t="shared" si="22"/>
        <v>1250</v>
      </c>
      <c r="AG118" s="3">
        <f t="shared" si="23"/>
        <v>0</v>
      </c>
      <c r="AH118" s="3">
        <f t="shared" si="24"/>
        <v>0</v>
      </c>
      <c r="AI118" s="3">
        <f t="shared" si="25"/>
        <v>0</v>
      </c>
    </row>
    <row r="119" spans="1:35" x14ac:dyDescent="0.3">
      <c r="A119" s="27">
        <v>8</v>
      </c>
      <c r="B119" s="27" t="s">
        <v>682</v>
      </c>
      <c r="C119" s="28" t="s">
        <v>728</v>
      </c>
      <c r="P119" s="4">
        <v>1250</v>
      </c>
      <c r="Q119" s="10"/>
      <c r="R119" s="14">
        <f t="shared" si="22"/>
        <v>1250</v>
      </c>
      <c r="AG119" s="3">
        <f t="shared" si="23"/>
        <v>0</v>
      </c>
      <c r="AH119" s="3">
        <f t="shared" si="24"/>
        <v>0</v>
      </c>
      <c r="AI119" s="3">
        <f t="shared" si="25"/>
        <v>0</v>
      </c>
    </row>
    <row r="120" spans="1:35" x14ac:dyDescent="0.3">
      <c r="A120" s="27">
        <v>18</v>
      </c>
      <c r="B120" s="27" t="s">
        <v>684</v>
      </c>
      <c r="C120" s="28" t="s">
        <v>729</v>
      </c>
      <c r="P120" s="4">
        <v>1250</v>
      </c>
      <c r="Q120" s="10"/>
      <c r="R120" s="14">
        <f t="shared" si="22"/>
        <v>1250</v>
      </c>
      <c r="AG120" s="3">
        <f t="shared" si="23"/>
        <v>0</v>
      </c>
      <c r="AH120" s="3">
        <f t="shared" si="24"/>
        <v>0</v>
      </c>
      <c r="AI120" s="3">
        <f t="shared" si="25"/>
        <v>0</v>
      </c>
    </row>
    <row r="121" spans="1:35" x14ac:dyDescent="0.3">
      <c r="A121" s="25">
        <v>8</v>
      </c>
      <c r="B121" s="25" t="s">
        <v>682</v>
      </c>
      <c r="C121" s="29" t="s">
        <v>730</v>
      </c>
      <c r="L121" s="4">
        <v>750</v>
      </c>
      <c r="P121" s="4">
        <v>1250</v>
      </c>
      <c r="Q121" s="10"/>
      <c r="R121" s="14">
        <f t="shared" si="22"/>
        <v>2000</v>
      </c>
      <c r="AG121" s="3">
        <f t="shared" si="23"/>
        <v>0</v>
      </c>
      <c r="AH121" s="3">
        <f t="shared" si="24"/>
        <v>0</v>
      </c>
      <c r="AI121" s="3">
        <f t="shared" si="25"/>
        <v>0</v>
      </c>
    </row>
    <row r="122" spans="1:35" x14ac:dyDescent="0.3">
      <c r="A122" s="25">
        <v>18</v>
      </c>
      <c r="B122" s="25" t="s">
        <v>684</v>
      </c>
      <c r="C122" s="29" t="s">
        <v>731</v>
      </c>
      <c r="L122" s="4">
        <v>750</v>
      </c>
      <c r="P122" s="4">
        <v>1250</v>
      </c>
      <c r="Q122" s="10"/>
      <c r="R122" s="14">
        <f t="shared" si="22"/>
        <v>2000</v>
      </c>
      <c r="AG122" s="3">
        <f t="shared" si="23"/>
        <v>0</v>
      </c>
      <c r="AH122" s="3">
        <f t="shared" si="24"/>
        <v>0</v>
      </c>
      <c r="AI122" s="3">
        <f t="shared" si="25"/>
        <v>0</v>
      </c>
    </row>
    <row r="123" spans="1:35" x14ac:dyDescent="0.3">
      <c r="A123" s="25">
        <v>9</v>
      </c>
      <c r="B123" s="25" t="s">
        <v>682</v>
      </c>
      <c r="C123" s="26" t="s">
        <v>732</v>
      </c>
      <c r="P123" s="4">
        <v>1250</v>
      </c>
      <c r="Q123" s="10"/>
      <c r="R123" s="14">
        <f t="shared" si="22"/>
        <v>1250</v>
      </c>
      <c r="AG123" s="3">
        <f t="shared" si="23"/>
        <v>0</v>
      </c>
      <c r="AH123" s="3">
        <f t="shared" si="24"/>
        <v>0</v>
      </c>
      <c r="AI123" s="3">
        <f t="shared" si="25"/>
        <v>0</v>
      </c>
    </row>
    <row r="124" spans="1:35" x14ac:dyDescent="0.3">
      <c r="A124" s="25">
        <v>19</v>
      </c>
      <c r="B124" s="25" t="s">
        <v>684</v>
      </c>
      <c r="C124" s="26" t="s">
        <v>733</v>
      </c>
      <c r="P124" s="4">
        <v>1250</v>
      </c>
      <c r="Q124" s="10"/>
      <c r="R124" s="14">
        <f t="shared" si="22"/>
        <v>1250</v>
      </c>
      <c r="AG124" s="3">
        <f t="shared" si="23"/>
        <v>0</v>
      </c>
      <c r="AH124" s="3">
        <f t="shared" si="24"/>
        <v>0</v>
      </c>
      <c r="AI124" s="3">
        <f t="shared" si="25"/>
        <v>0</v>
      </c>
    </row>
    <row r="125" spans="1:35" x14ac:dyDescent="0.3">
      <c r="A125" s="27">
        <v>9</v>
      </c>
      <c r="B125" s="27" t="s">
        <v>682</v>
      </c>
      <c r="C125" s="28" t="s">
        <v>734</v>
      </c>
      <c r="P125" s="4">
        <v>1250</v>
      </c>
      <c r="Q125" s="10"/>
      <c r="R125" s="14">
        <f t="shared" si="22"/>
        <v>1250</v>
      </c>
      <c r="AG125" s="3">
        <f t="shared" si="23"/>
        <v>0</v>
      </c>
      <c r="AH125" s="3">
        <f t="shared" si="24"/>
        <v>0</v>
      </c>
      <c r="AI125" s="3">
        <f t="shared" si="25"/>
        <v>0</v>
      </c>
    </row>
    <row r="126" spans="1:35" x14ac:dyDescent="0.3">
      <c r="A126" s="27">
        <v>19</v>
      </c>
      <c r="B126" s="27" t="s">
        <v>684</v>
      </c>
      <c r="C126" s="28" t="s">
        <v>735</v>
      </c>
      <c r="P126" s="4">
        <v>1250</v>
      </c>
      <c r="Q126" s="10"/>
      <c r="R126" s="14">
        <f t="shared" si="22"/>
        <v>1250</v>
      </c>
      <c r="AG126" s="3">
        <f t="shared" si="23"/>
        <v>0</v>
      </c>
      <c r="AH126" s="3">
        <f t="shared" si="24"/>
        <v>0</v>
      </c>
      <c r="AI126" s="3">
        <f t="shared" si="25"/>
        <v>0</v>
      </c>
    </row>
    <row r="127" spans="1:35" x14ac:dyDescent="0.3">
      <c r="A127" s="25">
        <v>9</v>
      </c>
      <c r="B127" s="25" t="s">
        <v>682</v>
      </c>
      <c r="C127" s="29" t="s">
        <v>736</v>
      </c>
      <c r="L127" s="4">
        <v>750</v>
      </c>
      <c r="P127" s="4">
        <v>1250</v>
      </c>
      <c r="Q127" s="10"/>
      <c r="R127" s="14">
        <f t="shared" si="22"/>
        <v>2000</v>
      </c>
      <c r="AG127" s="3">
        <f t="shared" si="23"/>
        <v>0</v>
      </c>
      <c r="AH127" s="3">
        <f t="shared" si="24"/>
        <v>0</v>
      </c>
      <c r="AI127" s="3">
        <f t="shared" si="25"/>
        <v>0</v>
      </c>
    </row>
    <row r="128" spans="1:35" x14ac:dyDescent="0.3">
      <c r="A128" s="25">
        <v>19</v>
      </c>
      <c r="B128" s="25" t="s">
        <v>684</v>
      </c>
      <c r="C128" s="29" t="s">
        <v>737</v>
      </c>
      <c r="L128" s="4">
        <v>750</v>
      </c>
      <c r="P128" s="4">
        <v>1250</v>
      </c>
      <c r="Q128" s="10"/>
      <c r="R128" s="14">
        <f t="shared" si="22"/>
        <v>2000</v>
      </c>
      <c r="AG128" s="3">
        <f t="shared" si="23"/>
        <v>0</v>
      </c>
      <c r="AH128" s="3">
        <f t="shared" si="24"/>
        <v>0</v>
      </c>
      <c r="AI128" s="3">
        <f t="shared" si="25"/>
        <v>0</v>
      </c>
    </row>
    <row r="129" spans="1:35" x14ac:dyDescent="0.3">
      <c r="A129" s="25">
        <v>10</v>
      </c>
      <c r="B129" s="25" t="s">
        <v>682</v>
      </c>
      <c r="C129" s="26" t="s">
        <v>738</v>
      </c>
      <c r="P129" s="4">
        <v>1250</v>
      </c>
      <c r="Q129" s="10"/>
      <c r="R129" s="14">
        <f t="shared" si="22"/>
        <v>1250</v>
      </c>
      <c r="AG129" s="3">
        <f t="shared" si="23"/>
        <v>0</v>
      </c>
      <c r="AH129" s="3">
        <f t="shared" si="24"/>
        <v>0</v>
      </c>
      <c r="AI129" s="3">
        <f t="shared" si="25"/>
        <v>0</v>
      </c>
    </row>
    <row r="130" spans="1:35" x14ac:dyDescent="0.3">
      <c r="A130" s="25">
        <v>20</v>
      </c>
      <c r="B130" s="25" t="s">
        <v>684</v>
      </c>
      <c r="C130" s="26" t="s">
        <v>739</v>
      </c>
      <c r="P130" s="4">
        <v>1250</v>
      </c>
      <c r="Q130" s="10"/>
      <c r="R130" s="14">
        <f t="shared" si="22"/>
        <v>1250</v>
      </c>
      <c r="AG130" s="3">
        <f t="shared" si="23"/>
        <v>0</v>
      </c>
      <c r="AH130" s="3">
        <f t="shared" si="24"/>
        <v>0</v>
      </c>
      <c r="AI130" s="3">
        <f t="shared" si="25"/>
        <v>0</v>
      </c>
    </row>
    <row r="131" spans="1:35" x14ac:dyDescent="0.3">
      <c r="A131" s="27">
        <v>10</v>
      </c>
      <c r="B131" s="27" t="s">
        <v>682</v>
      </c>
      <c r="C131" s="28" t="s">
        <v>740</v>
      </c>
      <c r="P131" s="4">
        <v>1250</v>
      </c>
      <c r="Q131" s="10"/>
      <c r="R131" s="14">
        <f t="shared" si="22"/>
        <v>1250</v>
      </c>
      <c r="AG131" s="3">
        <f t="shared" si="23"/>
        <v>0</v>
      </c>
      <c r="AH131" s="3">
        <f t="shared" si="24"/>
        <v>0</v>
      </c>
      <c r="AI131" s="3">
        <f t="shared" si="25"/>
        <v>0</v>
      </c>
    </row>
    <row r="132" spans="1:35" ht="14.5" thickBot="1" x14ac:dyDescent="0.35">
      <c r="A132" s="27">
        <v>20</v>
      </c>
      <c r="B132" s="27" t="s">
        <v>684</v>
      </c>
      <c r="C132" s="28" t="s">
        <v>741</v>
      </c>
      <c r="P132" s="4">
        <v>1250</v>
      </c>
      <c r="Q132" s="10"/>
      <c r="R132" s="14">
        <f t="shared" si="22"/>
        <v>1250</v>
      </c>
      <c r="AG132" s="3">
        <f t="shared" si="23"/>
        <v>0</v>
      </c>
      <c r="AH132" s="3">
        <f t="shared" si="24"/>
        <v>0</v>
      </c>
      <c r="AI132" s="3">
        <f t="shared" si="25"/>
        <v>0</v>
      </c>
    </row>
    <row r="133" spans="1:35" ht="16" thickBot="1" x14ac:dyDescent="0.4">
      <c r="A133" s="25">
        <v>10</v>
      </c>
      <c r="B133" s="25" t="s">
        <v>682</v>
      </c>
      <c r="C133" s="29" t="s">
        <v>742</v>
      </c>
      <c r="L133" s="4">
        <v>750</v>
      </c>
      <c r="P133" s="4">
        <v>1250</v>
      </c>
      <c r="Q133" s="10"/>
      <c r="R133" s="14">
        <f t="shared" si="22"/>
        <v>2000</v>
      </c>
      <c r="V133" s="320" t="s">
        <v>743</v>
      </c>
      <c r="W133" s="321"/>
      <c r="X133" s="321"/>
      <c r="Y133" s="322"/>
      <c r="AG133" s="3">
        <f t="shared" si="23"/>
        <v>0</v>
      </c>
      <c r="AH133" s="3">
        <f t="shared" si="24"/>
        <v>0</v>
      </c>
      <c r="AI133" s="3">
        <f t="shared" si="25"/>
        <v>0</v>
      </c>
    </row>
    <row r="134" spans="1:35" ht="14.5" thickBot="1" x14ac:dyDescent="0.35">
      <c r="A134" s="25">
        <v>20</v>
      </c>
      <c r="B134" s="25" t="s">
        <v>684</v>
      </c>
      <c r="C134" s="29" t="s">
        <v>744</v>
      </c>
      <c r="L134" s="4">
        <v>750</v>
      </c>
      <c r="P134" s="4">
        <v>1250</v>
      </c>
      <c r="Q134" s="10"/>
      <c r="R134" s="14">
        <f t="shared" si="22"/>
        <v>2000</v>
      </c>
      <c r="V134" s="3">
        <v>1</v>
      </c>
      <c r="W134" s="3">
        <v>1</v>
      </c>
      <c r="X134" s="3">
        <v>1</v>
      </c>
      <c r="Y134" s="2" t="s">
        <v>606</v>
      </c>
      <c r="AG134" s="3">
        <f t="shared" si="23"/>
        <v>0</v>
      </c>
      <c r="AH134" s="3">
        <f t="shared" si="24"/>
        <v>0</v>
      </c>
      <c r="AI134" s="3">
        <f t="shared" si="25"/>
        <v>0</v>
      </c>
    </row>
    <row r="135" spans="1:35" ht="16" thickBot="1" x14ac:dyDescent="0.4">
      <c r="C135" s="30" t="s">
        <v>438</v>
      </c>
      <c r="Q135" s="10"/>
      <c r="R135" s="14"/>
      <c r="S135" s="22">
        <f>SUM(R75:R134)</f>
        <v>90000</v>
      </c>
      <c r="V135" s="3">
        <v>1</v>
      </c>
      <c r="W135" s="3">
        <v>1</v>
      </c>
      <c r="X135" s="3">
        <v>1</v>
      </c>
      <c r="Y135" s="2" t="s">
        <v>608</v>
      </c>
      <c r="AG135" s="3">
        <f t="shared" si="23"/>
        <v>0</v>
      </c>
      <c r="AH135" s="3">
        <f t="shared" si="24"/>
        <v>0</v>
      </c>
      <c r="AI135" s="3">
        <f t="shared" si="25"/>
        <v>0</v>
      </c>
    </row>
    <row r="136" spans="1:35" x14ac:dyDescent="0.3">
      <c r="C136" s="20" t="s">
        <v>745</v>
      </c>
      <c r="Q136" s="10"/>
      <c r="R136" s="14"/>
      <c r="V136" s="3">
        <v>1</v>
      </c>
      <c r="W136" s="3">
        <v>1</v>
      </c>
      <c r="X136" s="3">
        <v>1</v>
      </c>
      <c r="Y136" s="2" t="s">
        <v>609</v>
      </c>
      <c r="AG136" s="3">
        <f t="shared" si="23"/>
        <v>0</v>
      </c>
      <c r="AH136" s="3">
        <f t="shared" si="24"/>
        <v>0</v>
      </c>
      <c r="AI136" s="3">
        <f t="shared" si="25"/>
        <v>0</v>
      </c>
    </row>
    <row r="137" spans="1:35" x14ac:dyDescent="0.3">
      <c r="C137" s="30" t="s">
        <v>439</v>
      </c>
      <c r="Q137" s="10"/>
      <c r="R137" s="14"/>
      <c r="V137" s="3"/>
      <c r="W137" s="3"/>
      <c r="X137" s="3"/>
      <c r="Y137" s="2" t="s">
        <v>610</v>
      </c>
      <c r="AG137" s="3">
        <f t="shared" si="23"/>
        <v>0</v>
      </c>
      <c r="AH137" s="3">
        <f t="shared" si="24"/>
        <v>0</v>
      </c>
      <c r="AI137" s="3">
        <f t="shared" si="25"/>
        <v>0</v>
      </c>
    </row>
    <row r="138" spans="1:35" ht="14.5" thickBot="1" x14ac:dyDescent="0.35">
      <c r="B138" s="12" t="s">
        <v>601</v>
      </c>
      <c r="C138" s="20" t="s">
        <v>746</v>
      </c>
      <c r="D138" s="4">
        <f t="shared" ref="D138:D158" si="26">$D$3</f>
        <v>600</v>
      </c>
      <c r="E138" s="4">
        <f>($T$5+$P$2)*$H$2</f>
        <v>600</v>
      </c>
      <c r="H138" s="4">
        <f t="shared" ref="H138:H158" si="27">$H$3</f>
        <v>85</v>
      </c>
      <c r="I138" s="4">
        <f>($T$24+$P$2)*$I$3</f>
        <v>45</v>
      </c>
      <c r="J138" s="4">
        <f>($T$7)*$J$3</f>
        <v>75</v>
      </c>
      <c r="K138" s="4">
        <f>($T$7)*$K$3</f>
        <v>105</v>
      </c>
      <c r="L138" s="4">
        <v>-235</v>
      </c>
      <c r="P138" s="4">
        <f>$L$3+500+1850</f>
        <v>2425</v>
      </c>
      <c r="Q138" s="10"/>
      <c r="R138" s="14">
        <f t="shared" ref="R138:R161" si="28">SUM(D138:Q138)</f>
        <v>3700</v>
      </c>
      <c r="V138" s="3"/>
      <c r="W138" s="3"/>
      <c r="X138" s="3"/>
      <c r="Y138" s="2" t="s">
        <v>611</v>
      </c>
      <c r="AG138" s="3">
        <f t="shared" si="23"/>
        <v>3</v>
      </c>
      <c r="AH138" s="3">
        <f t="shared" si="24"/>
        <v>3</v>
      </c>
      <c r="AI138" s="3">
        <f t="shared" si="25"/>
        <v>3</v>
      </c>
    </row>
    <row r="139" spans="1:35" ht="16" thickBot="1" x14ac:dyDescent="0.4">
      <c r="B139" s="12" t="s">
        <v>601</v>
      </c>
      <c r="C139" s="20" t="str">
        <f>C138</f>
        <v>6605 · Asset Management Committee - Conference</v>
      </c>
      <c r="Q139" s="10"/>
      <c r="R139" s="14">
        <f t="shared" si="28"/>
        <v>0</v>
      </c>
      <c r="T139" s="21">
        <f>SUM(R138:R139)</f>
        <v>3700</v>
      </c>
      <c r="V139" s="3"/>
      <c r="W139" s="3"/>
      <c r="X139" s="3"/>
      <c r="Y139" s="2" t="s">
        <v>613</v>
      </c>
      <c r="AG139" s="3">
        <f t="shared" ref="AG139:AG206" si="29">I139/$AG$3</f>
        <v>0</v>
      </c>
      <c r="AH139" s="3">
        <f t="shared" ref="AH139:AH206" si="30">J139/$AH$3</f>
        <v>0</v>
      </c>
      <c r="AI139" s="3">
        <f t="shared" ref="AI139:AI206" si="31">K139/$AI$3</f>
        <v>0</v>
      </c>
    </row>
    <row r="140" spans="1:35" ht="16" thickBot="1" x14ac:dyDescent="0.4">
      <c r="B140" s="12" t="s">
        <v>601</v>
      </c>
      <c r="C140" s="20" t="s">
        <v>747</v>
      </c>
      <c r="D140" s="4">
        <f t="shared" si="26"/>
        <v>600</v>
      </c>
      <c r="E140" s="4">
        <f t="shared" ref="E140" si="32">($T$5+$P$2)*$H$2</f>
        <v>600</v>
      </c>
      <c r="H140" s="4">
        <f t="shared" si="27"/>
        <v>85</v>
      </c>
      <c r="I140" s="4">
        <f>($T$24+$P$2)*$I$3</f>
        <v>45</v>
      </c>
      <c r="J140" s="4">
        <f t="shared" ref="J140" si="33">($T$7)*$J$3</f>
        <v>75</v>
      </c>
      <c r="K140" s="4">
        <f t="shared" ref="K140" si="34">($T$7)*$K$3</f>
        <v>105</v>
      </c>
      <c r="L140" s="4">
        <v>-235</v>
      </c>
      <c r="P140" s="4">
        <f>$L$3+500+1850</f>
        <v>2425</v>
      </c>
      <c r="Q140" s="10"/>
      <c r="R140" s="14">
        <f t="shared" si="28"/>
        <v>3700</v>
      </c>
      <c r="V140" s="17">
        <f>SUM(V133:V139)</f>
        <v>3</v>
      </c>
      <c r="W140" s="18">
        <f t="shared" ref="W140:X140" si="35">SUM(W133:W139)</f>
        <v>3</v>
      </c>
      <c r="X140" s="19">
        <f t="shared" si="35"/>
        <v>3</v>
      </c>
      <c r="AG140" s="3">
        <f t="shared" si="29"/>
        <v>3</v>
      </c>
      <c r="AH140" s="3">
        <f t="shared" si="30"/>
        <v>3</v>
      </c>
      <c r="AI140" s="3">
        <f t="shared" si="31"/>
        <v>3</v>
      </c>
    </row>
    <row r="141" spans="1:35" ht="16" thickBot="1" x14ac:dyDescent="0.4">
      <c r="B141" s="12" t="s">
        <v>601</v>
      </c>
      <c r="C141" s="20" t="str">
        <f>C140</f>
        <v>6615 · Environmental Committee - Conference</v>
      </c>
      <c r="Q141" s="10"/>
      <c r="R141" s="14">
        <f t="shared" si="28"/>
        <v>0</v>
      </c>
      <c r="T141" s="21">
        <f>SUM(R140:R141)</f>
        <v>3700</v>
      </c>
      <c r="AG141" s="3">
        <f t="shared" si="29"/>
        <v>0</v>
      </c>
      <c r="AH141" s="3">
        <f t="shared" si="30"/>
        <v>0</v>
      </c>
      <c r="AI141" s="3">
        <f t="shared" si="31"/>
        <v>0</v>
      </c>
    </row>
    <row r="142" spans="1:35" x14ac:dyDescent="0.3">
      <c r="B142" s="12" t="s">
        <v>601</v>
      </c>
      <c r="C142" s="20" t="s">
        <v>748</v>
      </c>
      <c r="Q142" s="10"/>
      <c r="R142" s="14">
        <f t="shared" si="28"/>
        <v>0</v>
      </c>
      <c r="AG142" s="3">
        <f t="shared" si="29"/>
        <v>0</v>
      </c>
      <c r="AH142" s="3">
        <f t="shared" si="30"/>
        <v>0</v>
      </c>
      <c r="AI142" s="3">
        <f t="shared" si="31"/>
        <v>0</v>
      </c>
    </row>
    <row r="143" spans="1:35" x14ac:dyDescent="0.3">
      <c r="B143" s="12" t="s">
        <v>601</v>
      </c>
      <c r="C143" s="20" t="str">
        <f>C142</f>
        <v>6630 · Leadership Development Council - Conference</v>
      </c>
      <c r="Q143" s="10"/>
      <c r="R143" s="14">
        <f t="shared" si="28"/>
        <v>0</v>
      </c>
      <c r="AG143" s="3">
        <f t="shared" si="29"/>
        <v>0</v>
      </c>
      <c r="AH143" s="3">
        <f t="shared" si="30"/>
        <v>0</v>
      </c>
      <c r="AI143" s="3">
        <f t="shared" si="31"/>
        <v>0</v>
      </c>
    </row>
    <row r="144" spans="1:35" ht="14.5" thickBot="1" x14ac:dyDescent="0.35">
      <c r="B144" s="12" t="s">
        <v>601</v>
      </c>
      <c r="C144" s="20" t="s">
        <v>749</v>
      </c>
      <c r="D144" s="4">
        <f t="shared" si="26"/>
        <v>600</v>
      </c>
      <c r="E144" s="4">
        <f t="shared" ref="E144" si="36">($T$5+$P$2)*$H$2</f>
        <v>600</v>
      </c>
      <c r="H144" s="4">
        <f t="shared" si="27"/>
        <v>85</v>
      </c>
      <c r="I144" s="4">
        <f>($T$24+$P$2)*$I$3</f>
        <v>45</v>
      </c>
      <c r="J144" s="4">
        <f t="shared" ref="J144" si="37">($T$7)*$J$3</f>
        <v>75</v>
      </c>
      <c r="K144" s="4">
        <f t="shared" ref="K144" si="38">($T$7)*$K$3</f>
        <v>105</v>
      </c>
      <c r="L144" s="4">
        <v>-235</v>
      </c>
      <c r="P144" s="4">
        <f>$L$3+500+1850</f>
        <v>2425</v>
      </c>
      <c r="Q144" s="10"/>
      <c r="R144" s="14">
        <f t="shared" si="28"/>
        <v>3700</v>
      </c>
      <c r="AG144" s="3">
        <f t="shared" si="29"/>
        <v>3</v>
      </c>
      <c r="AH144" s="3">
        <f t="shared" si="30"/>
        <v>3</v>
      </c>
      <c r="AI144" s="3">
        <f t="shared" si="31"/>
        <v>3</v>
      </c>
    </row>
    <row r="145" spans="2:35" ht="16" thickBot="1" x14ac:dyDescent="0.4">
      <c r="B145" s="12" t="s">
        <v>601</v>
      </c>
      <c r="C145" s="20" t="str">
        <f>C144</f>
        <v>6640 · Public Agency Committee - Conference</v>
      </c>
      <c r="Q145" s="10"/>
      <c r="R145" s="14">
        <f t="shared" si="28"/>
        <v>0</v>
      </c>
      <c r="T145" s="21">
        <f>SUM(R144:R145)</f>
        <v>3700</v>
      </c>
      <c r="AG145" s="3">
        <f t="shared" si="29"/>
        <v>0</v>
      </c>
      <c r="AH145" s="3">
        <f t="shared" si="30"/>
        <v>0</v>
      </c>
      <c r="AI145" s="3">
        <f t="shared" si="31"/>
        <v>0</v>
      </c>
    </row>
    <row r="146" spans="2:35" x14ac:dyDescent="0.3">
      <c r="B146" s="12" t="s">
        <v>601</v>
      </c>
      <c r="C146" s="20" t="s">
        <v>750</v>
      </c>
      <c r="Q146" s="10"/>
      <c r="R146" s="14">
        <f t="shared" si="28"/>
        <v>0</v>
      </c>
      <c r="AG146" s="3">
        <f t="shared" si="29"/>
        <v>0</v>
      </c>
      <c r="AH146" s="3">
        <f t="shared" si="30"/>
        <v>0</v>
      </c>
      <c r="AI146" s="3">
        <f t="shared" si="31"/>
        <v>0</v>
      </c>
    </row>
    <row r="147" spans="2:35" x14ac:dyDescent="0.3">
      <c r="B147" s="12" t="s">
        <v>601</v>
      </c>
      <c r="C147" s="20" t="str">
        <f>C146</f>
        <v>6645 · Oil &amp; Gas Pipeline Committee - Conference</v>
      </c>
      <c r="Q147" s="10"/>
      <c r="R147" s="14">
        <f t="shared" si="28"/>
        <v>0</v>
      </c>
      <c r="AG147" s="3">
        <f t="shared" si="29"/>
        <v>0</v>
      </c>
      <c r="AH147" s="3">
        <f t="shared" si="30"/>
        <v>0</v>
      </c>
      <c r="AI147" s="3">
        <f t="shared" si="31"/>
        <v>0</v>
      </c>
    </row>
    <row r="148" spans="2:35" ht="14.5" thickBot="1" x14ac:dyDescent="0.35">
      <c r="B148" s="12" t="s">
        <v>601</v>
      </c>
      <c r="C148" s="31" t="s">
        <v>751</v>
      </c>
      <c r="D148" s="4">
        <f t="shared" si="26"/>
        <v>600</v>
      </c>
      <c r="E148" s="4">
        <f t="shared" ref="E148:E158" si="39">($T$5+$P$2)*$H$2</f>
        <v>600</v>
      </c>
      <c r="H148" s="4">
        <f t="shared" si="27"/>
        <v>85</v>
      </c>
      <c r="I148" s="4">
        <f t="shared" ref="I148:I158" si="40">($T$24+$P$2)*$I$3</f>
        <v>45</v>
      </c>
      <c r="J148" s="4">
        <f t="shared" ref="J148:J158" si="41">($T$7)*$J$3</f>
        <v>75</v>
      </c>
      <c r="K148" s="4">
        <f t="shared" ref="K148:K158" si="42">($T$7)*$K$3</f>
        <v>105</v>
      </c>
      <c r="L148" s="4">
        <v>-235</v>
      </c>
      <c r="P148" s="4">
        <f>$L$3+500+1850</f>
        <v>2425</v>
      </c>
      <c r="Q148" s="10"/>
      <c r="R148" s="14">
        <f t="shared" si="28"/>
        <v>3700</v>
      </c>
      <c r="AG148" s="3">
        <f t="shared" si="29"/>
        <v>3</v>
      </c>
      <c r="AH148" s="3">
        <f t="shared" si="30"/>
        <v>3</v>
      </c>
      <c r="AI148" s="3">
        <f t="shared" si="31"/>
        <v>3</v>
      </c>
    </row>
    <row r="149" spans="2:35" ht="16" thickBot="1" x14ac:dyDescent="0.4">
      <c r="B149" s="12" t="s">
        <v>601</v>
      </c>
      <c r="C149" s="31" t="str">
        <f>C148</f>
        <v>6643 · Real Estate Law - Conference</v>
      </c>
      <c r="Q149" s="10"/>
      <c r="R149" s="14">
        <f t="shared" si="28"/>
        <v>0</v>
      </c>
      <c r="S149" s="14"/>
      <c r="T149" s="21">
        <f>SUM(R148:R149)</f>
        <v>3700</v>
      </c>
      <c r="AG149" s="3">
        <f t="shared" si="29"/>
        <v>0</v>
      </c>
      <c r="AH149" s="3">
        <f t="shared" si="30"/>
        <v>0</v>
      </c>
      <c r="AI149" s="3">
        <f t="shared" si="31"/>
        <v>0</v>
      </c>
    </row>
    <row r="150" spans="2:35" ht="14.5" thickBot="1" x14ac:dyDescent="0.35">
      <c r="B150" s="12" t="s">
        <v>601</v>
      </c>
      <c r="C150" s="20" t="s">
        <v>752</v>
      </c>
      <c r="D150" s="4">
        <f t="shared" si="26"/>
        <v>600</v>
      </c>
      <c r="E150" s="4">
        <f t="shared" si="39"/>
        <v>600</v>
      </c>
      <c r="H150" s="4">
        <f t="shared" si="27"/>
        <v>85</v>
      </c>
      <c r="I150" s="4">
        <f t="shared" si="40"/>
        <v>45</v>
      </c>
      <c r="J150" s="4">
        <f t="shared" si="41"/>
        <v>75</v>
      </c>
      <c r="K150" s="4">
        <f t="shared" si="42"/>
        <v>105</v>
      </c>
      <c r="L150" s="4">
        <v>-235</v>
      </c>
      <c r="P150" s="4">
        <f>$L$3+500+1850</f>
        <v>2425</v>
      </c>
      <c r="Q150" s="10"/>
      <c r="R150" s="14">
        <f t="shared" si="28"/>
        <v>3700</v>
      </c>
      <c r="AG150" s="3">
        <f t="shared" si="29"/>
        <v>3</v>
      </c>
      <c r="AH150" s="3">
        <f t="shared" si="30"/>
        <v>3</v>
      </c>
      <c r="AI150" s="3">
        <f t="shared" si="31"/>
        <v>3</v>
      </c>
    </row>
    <row r="151" spans="2:35" ht="16" thickBot="1" x14ac:dyDescent="0.4">
      <c r="B151" s="12" t="s">
        <v>601</v>
      </c>
      <c r="C151" s="20" t="str">
        <f>C150</f>
        <v>6650 · Relocation Assistance - Conference</v>
      </c>
      <c r="Q151" s="10"/>
      <c r="R151" s="14">
        <f t="shared" si="28"/>
        <v>0</v>
      </c>
      <c r="T151" s="21">
        <f>SUM(R150:R151)</f>
        <v>3700</v>
      </c>
      <c r="AG151" s="3">
        <f t="shared" si="29"/>
        <v>0</v>
      </c>
      <c r="AH151" s="3">
        <f t="shared" si="30"/>
        <v>0</v>
      </c>
      <c r="AI151" s="3">
        <f t="shared" si="31"/>
        <v>0</v>
      </c>
    </row>
    <row r="152" spans="2:35" ht="14.5" thickBot="1" x14ac:dyDescent="0.35">
      <c r="B152" s="12" t="s">
        <v>601</v>
      </c>
      <c r="C152" s="20" t="s">
        <v>753</v>
      </c>
      <c r="D152" s="4">
        <f t="shared" si="26"/>
        <v>600</v>
      </c>
      <c r="E152" s="4">
        <f t="shared" si="39"/>
        <v>600</v>
      </c>
      <c r="H152" s="4">
        <f t="shared" si="27"/>
        <v>85</v>
      </c>
      <c r="I152" s="4">
        <f t="shared" si="40"/>
        <v>45</v>
      </c>
      <c r="J152" s="4">
        <f t="shared" si="41"/>
        <v>75</v>
      </c>
      <c r="K152" s="4">
        <f t="shared" si="42"/>
        <v>105</v>
      </c>
      <c r="L152" s="4">
        <v>-235</v>
      </c>
      <c r="P152" s="4">
        <f>$L$3+500+1850</f>
        <v>2425</v>
      </c>
      <c r="Q152" s="10"/>
      <c r="R152" s="14">
        <f t="shared" si="28"/>
        <v>3700</v>
      </c>
      <c r="AG152" s="3">
        <f t="shared" si="29"/>
        <v>3</v>
      </c>
      <c r="AH152" s="3">
        <f t="shared" si="30"/>
        <v>3</v>
      </c>
      <c r="AI152" s="3">
        <f t="shared" si="31"/>
        <v>3</v>
      </c>
    </row>
    <row r="153" spans="2:35" ht="16" thickBot="1" x14ac:dyDescent="0.4">
      <c r="B153" s="12" t="s">
        <v>601</v>
      </c>
      <c r="C153" s="20" t="str">
        <f>C152</f>
        <v>6655 · Surveying &amp; Engineer Committee - Conference</v>
      </c>
      <c r="Q153" s="10"/>
      <c r="R153" s="14">
        <f t="shared" si="28"/>
        <v>0</v>
      </c>
      <c r="T153" s="21">
        <f>SUM(R152:R153)</f>
        <v>3700</v>
      </c>
      <c r="AG153" s="3">
        <f t="shared" si="29"/>
        <v>0</v>
      </c>
      <c r="AH153" s="3">
        <f t="shared" si="30"/>
        <v>0</v>
      </c>
      <c r="AI153" s="3">
        <f t="shared" si="31"/>
        <v>0</v>
      </c>
    </row>
    <row r="154" spans="2:35" ht="14.5" thickBot="1" x14ac:dyDescent="0.35">
      <c r="B154" s="12" t="s">
        <v>601</v>
      </c>
      <c r="C154" s="20" t="s">
        <v>754</v>
      </c>
      <c r="D154" s="4">
        <f t="shared" si="26"/>
        <v>600</v>
      </c>
      <c r="E154" s="4">
        <f t="shared" si="39"/>
        <v>600</v>
      </c>
      <c r="H154" s="4">
        <f t="shared" si="27"/>
        <v>85</v>
      </c>
      <c r="I154" s="4">
        <f t="shared" si="40"/>
        <v>45</v>
      </c>
      <c r="J154" s="4">
        <f t="shared" si="41"/>
        <v>75</v>
      </c>
      <c r="K154" s="4">
        <f t="shared" si="42"/>
        <v>105</v>
      </c>
      <c r="L154" s="4">
        <v>-235</v>
      </c>
      <c r="P154" s="4">
        <f>$L$3+500+1850</f>
        <v>2425</v>
      </c>
      <c r="Q154" s="10"/>
      <c r="R154" s="14">
        <f t="shared" si="28"/>
        <v>3700</v>
      </c>
      <c r="W154" s="14"/>
      <c r="X154" s="14"/>
      <c r="Y154" s="14"/>
      <c r="AG154" s="3">
        <f t="shared" si="29"/>
        <v>3</v>
      </c>
      <c r="AH154" s="3">
        <f t="shared" si="30"/>
        <v>3</v>
      </c>
      <c r="AI154" s="3">
        <f t="shared" si="31"/>
        <v>3</v>
      </c>
    </row>
    <row r="155" spans="2:35" ht="16" thickBot="1" x14ac:dyDescent="0.4">
      <c r="B155" s="12" t="s">
        <v>601</v>
      </c>
      <c r="C155" s="20" t="s">
        <v>754</v>
      </c>
      <c r="Q155" s="10"/>
      <c r="R155" s="14">
        <f t="shared" si="28"/>
        <v>0</v>
      </c>
      <c r="T155" s="21">
        <f>SUM(R154:R155)</f>
        <v>3700</v>
      </c>
      <c r="AG155" s="3">
        <f t="shared" si="29"/>
        <v>0</v>
      </c>
      <c r="AH155" s="3">
        <f t="shared" si="30"/>
        <v>0</v>
      </c>
      <c r="AI155" s="3">
        <f t="shared" si="31"/>
        <v>0</v>
      </c>
    </row>
    <row r="156" spans="2:35" ht="14.5" thickBot="1" x14ac:dyDescent="0.35">
      <c r="B156" s="12" t="s">
        <v>601</v>
      </c>
      <c r="C156" s="20" t="s">
        <v>755</v>
      </c>
      <c r="D156" s="4">
        <f t="shared" si="26"/>
        <v>600</v>
      </c>
      <c r="E156" s="4">
        <f t="shared" si="39"/>
        <v>600</v>
      </c>
      <c r="H156" s="4">
        <f t="shared" si="27"/>
        <v>85</v>
      </c>
      <c r="I156" s="4">
        <f t="shared" si="40"/>
        <v>45</v>
      </c>
      <c r="J156" s="4">
        <f t="shared" si="41"/>
        <v>75</v>
      </c>
      <c r="K156" s="4">
        <f t="shared" si="42"/>
        <v>105</v>
      </c>
      <c r="L156" s="4">
        <v>-235</v>
      </c>
      <c r="P156" s="4">
        <f>$L$3+500+1850</f>
        <v>2425</v>
      </c>
      <c r="Q156" s="10"/>
      <c r="R156" s="14">
        <f t="shared" si="28"/>
        <v>3700</v>
      </c>
      <c r="AG156" s="3">
        <f t="shared" si="29"/>
        <v>3</v>
      </c>
      <c r="AH156" s="3">
        <f t="shared" si="30"/>
        <v>3</v>
      </c>
      <c r="AI156" s="3">
        <f t="shared" si="31"/>
        <v>3</v>
      </c>
    </row>
    <row r="157" spans="2:35" ht="16" thickBot="1" x14ac:dyDescent="0.4">
      <c r="B157" s="12" t="s">
        <v>601</v>
      </c>
      <c r="C157" s="20" t="s">
        <v>755</v>
      </c>
      <c r="Q157" s="10"/>
      <c r="R157" s="14">
        <f t="shared" si="28"/>
        <v>0</v>
      </c>
      <c r="T157" s="21">
        <f>SUM(R156:R157)</f>
        <v>3700</v>
      </c>
      <c r="AG157" s="3">
        <f t="shared" si="29"/>
        <v>0</v>
      </c>
      <c r="AH157" s="3">
        <f t="shared" si="30"/>
        <v>0</v>
      </c>
      <c r="AI157" s="3">
        <f t="shared" si="31"/>
        <v>0</v>
      </c>
    </row>
    <row r="158" spans="2:35" ht="14.5" thickBot="1" x14ac:dyDescent="0.35">
      <c r="B158" s="12" t="s">
        <v>601</v>
      </c>
      <c r="C158" s="20" t="s">
        <v>756</v>
      </c>
      <c r="D158" s="4">
        <f t="shared" si="26"/>
        <v>600</v>
      </c>
      <c r="E158" s="4">
        <f t="shared" si="39"/>
        <v>600</v>
      </c>
      <c r="H158" s="4">
        <f t="shared" si="27"/>
        <v>85</v>
      </c>
      <c r="I158" s="4">
        <f t="shared" si="40"/>
        <v>45</v>
      </c>
      <c r="J158" s="4">
        <f t="shared" si="41"/>
        <v>75</v>
      </c>
      <c r="K158" s="4">
        <f t="shared" si="42"/>
        <v>105</v>
      </c>
      <c r="L158" s="4">
        <v>-235</v>
      </c>
      <c r="P158" s="4">
        <f>$L$3+500+1850</f>
        <v>2425</v>
      </c>
      <c r="Q158" s="10"/>
      <c r="R158" s="14">
        <f t="shared" si="28"/>
        <v>3700</v>
      </c>
      <c r="AG158" s="3">
        <f t="shared" si="29"/>
        <v>3</v>
      </c>
      <c r="AH158" s="3">
        <f t="shared" si="30"/>
        <v>3</v>
      </c>
      <c r="AI158" s="3">
        <f t="shared" si="31"/>
        <v>3</v>
      </c>
    </row>
    <row r="159" spans="2:35" ht="16" thickBot="1" x14ac:dyDescent="0.4">
      <c r="B159" s="12" t="s">
        <v>601</v>
      </c>
      <c r="C159" s="20" t="s">
        <v>756</v>
      </c>
      <c r="Q159" s="10"/>
      <c r="R159" s="14">
        <f t="shared" si="28"/>
        <v>0</v>
      </c>
      <c r="T159" s="21">
        <f>SUM(R158:R159)</f>
        <v>3700</v>
      </c>
      <c r="AG159" s="3">
        <f t="shared" si="29"/>
        <v>0</v>
      </c>
      <c r="AH159" s="3">
        <f t="shared" si="30"/>
        <v>0</v>
      </c>
      <c r="AI159" s="3">
        <f t="shared" si="31"/>
        <v>0</v>
      </c>
    </row>
    <row r="160" spans="2:35" x14ac:dyDescent="0.3">
      <c r="B160" s="12" t="s">
        <v>601</v>
      </c>
      <c r="C160" s="20" t="s">
        <v>757</v>
      </c>
      <c r="P160" s="4">
        <f>10000</f>
        <v>10000</v>
      </c>
      <c r="Q160" s="10"/>
      <c r="R160" s="14">
        <f t="shared" si="28"/>
        <v>10000</v>
      </c>
      <c r="AG160" s="3">
        <f t="shared" si="29"/>
        <v>0</v>
      </c>
      <c r="AH160" s="3">
        <f t="shared" si="30"/>
        <v>0</v>
      </c>
      <c r="AI160" s="3">
        <f t="shared" si="31"/>
        <v>0</v>
      </c>
    </row>
    <row r="161" spans="1:38" ht="14.5" thickBot="1" x14ac:dyDescent="0.35">
      <c r="B161" s="12" t="s">
        <v>601</v>
      </c>
      <c r="C161" s="20" t="s">
        <v>757</v>
      </c>
      <c r="Q161" s="10"/>
      <c r="R161" s="14">
        <f t="shared" si="28"/>
        <v>0</v>
      </c>
      <c r="AG161" s="3">
        <f t="shared" si="29"/>
        <v>0</v>
      </c>
      <c r="AH161" s="3">
        <f t="shared" si="30"/>
        <v>0</v>
      </c>
      <c r="AI161" s="3">
        <f t="shared" si="31"/>
        <v>0</v>
      </c>
    </row>
    <row r="162" spans="1:38" ht="16" thickBot="1" x14ac:dyDescent="0.4">
      <c r="C162" s="30" t="s">
        <v>452</v>
      </c>
      <c r="Q162" s="10"/>
      <c r="S162" s="22">
        <f>SUM(R138:R161)</f>
        <v>43300</v>
      </c>
      <c r="AG162" s="3">
        <f t="shared" si="29"/>
        <v>0</v>
      </c>
      <c r="AH162" s="3">
        <f t="shared" si="30"/>
        <v>0</v>
      </c>
      <c r="AI162" s="3">
        <f t="shared" si="31"/>
        <v>0</v>
      </c>
    </row>
    <row r="163" spans="1:38" ht="14.5" thickBot="1" x14ac:dyDescent="0.35">
      <c r="B163" s="12" t="s">
        <v>601</v>
      </c>
      <c r="C163" s="20" t="s">
        <v>758</v>
      </c>
      <c r="D163" s="4">
        <f t="shared" ref="D163:D179" si="43">$D$3</f>
        <v>600</v>
      </c>
      <c r="E163" s="4">
        <f t="shared" ref="E163:E172" si="44">($T$5+$P$2)*$H$2</f>
        <v>600</v>
      </c>
      <c r="H163" s="4">
        <f t="shared" ref="H163:H180" si="45">$H$3</f>
        <v>85</v>
      </c>
      <c r="I163" s="4">
        <f t="shared" ref="I163:I172" si="46">($T$24+$P$2)*$I$3</f>
        <v>45</v>
      </c>
      <c r="J163" s="4">
        <f t="shared" ref="J163:J172" si="47">($T$7)*$J$3</f>
        <v>75</v>
      </c>
      <c r="K163" s="4">
        <f t="shared" ref="K163:K172" si="48">($T$7)*$K$3</f>
        <v>105</v>
      </c>
      <c r="L163" s="4">
        <v>2990</v>
      </c>
      <c r="Q163" s="10"/>
      <c r="R163" s="14">
        <f t="shared" ref="R163:R170" si="49">SUM(D163:Q163)</f>
        <v>4500</v>
      </c>
      <c r="AG163" s="3">
        <f t="shared" si="29"/>
        <v>3</v>
      </c>
      <c r="AH163" s="3">
        <f t="shared" si="30"/>
        <v>3</v>
      </c>
      <c r="AI163" s="3">
        <f t="shared" si="31"/>
        <v>3</v>
      </c>
    </row>
    <row r="164" spans="1:38" ht="16" thickBot="1" x14ac:dyDescent="0.4">
      <c r="B164" s="12" t="s">
        <v>601</v>
      </c>
      <c r="C164" s="20" t="str">
        <f>C163</f>
        <v>6755 . International Relations- Conference</v>
      </c>
      <c r="D164" s="4">
        <f t="shared" si="43"/>
        <v>600</v>
      </c>
      <c r="E164" s="4">
        <f t="shared" si="44"/>
        <v>600</v>
      </c>
      <c r="H164" s="4">
        <f t="shared" si="45"/>
        <v>85</v>
      </c>
      <c r="I164" s="4">
        <f t="shared" si="46"/>
        <v>45</v>
      </c>
      <c r="J164" s="4">
        <f t="shared" si="47"/>
        <v>75</v>
      </c>
      <c r="K164" s="4">
        <f t="shared" si="48"/>
        <v>105</v>
      </c>
      <c r="L164" s="4">
        <v>2990</v>
      </c>
      <c r="P164" s="4">
        <v>-1850</v>
      </c>
      <c r="Q164" s="10"/>
      <c r="R164" s="14">
        <f t="shared" si="49"/>
        <v>2650</v>
      </c>
      <c r="T164" s="21">
        <f>SUM(R163:R164)</f>
        <v>7150</v>
      </c>
      <c r="AG164" s="3">
        <f t="shared" si="29"/>
        <v>3</v>
      </c>
      <c r="AH164" s="3">
        <f t="shared" si="30"/>
        <v>3</v>
      </c>
      <c r="AI164" s="3">
        <f t="shared" si="31"/>
        <v>3</v>
      </c>
    </row>
    <row r="165" spans="1:38" x14ac:dyDescent="0.3">
      <c r="B165" s="12" t="s">
        <v>601</v>
      </c>
      <c r="C165" s="108" t="s">
        <v>759</v>
      </c>
      <c r="D165" s="4">
        <f t="shared" si="43"/>
        <v>600</v>
      </c>
      <c r="E165" s="4">
        <f t="shared" si="44"/>
        <v>600</v>
      </c>
      <c r="H165" s="4">
        <f t="shared" si="45"/>
        <v>85</v>
      </c>
      <c r="I165" s="4">
        <f t="shared" si="46"/>
        <v>45</v>
      </c>
      <c r="J165" s="4">
        <f t="shared" si="47"/>
        <v>75</v>
      </c>
      <c r="K165" s="4">
        <f t="shared" si="48"/>
        <v>105</v>
      </c>
      <c r="L165" s="4">
        <v>-1850</v>
      </c>
      <c r="P165" s="4">
        <v>340</v>
      </c>
      <c r="Q165" s="10"/>
      <c r="R165" s="14">
        <f t="shared" si="49"/>
        <v>0</v>
      </c>
      <c r="AG165" s="3">
        <f t="shared" si="29"/>
        <v>3</v>
      </c>
      <c r="AH165" s="3">
        <f t="shared" si="30"/>
        <v>3</v>
      </c>
      <c r="AI165" s="3">
        <f t="shared" si="31"/>
        <v>3</v>
      </c>
    </row>
    <row r="166" spans="1:38" x14ac:dyDescent="0.3">
      <c r="B166" s="12" t="s">
        <v>601</v>
      </c>
      <c r="C166" s="108" t="s">
        <v>759</v>
      </c>
      <c r="D166" s="4">
        <f t="shared" si="43"/>
        <v>600</v>
      </c>
      <c r="E166" s="4">
        <f t="shared" si="44"/>
        <v>600</v>
      </c>
      <c r="H166" s="4">
        <f t="shared" si="45"/>
        <v>85</v>
      </c>
      <c r="I166" s="4">
        <f t="shared" si="46"/>
        <v>45</v>
      </c>
      <c r="J166" s="4">
        <f t="shared" si="47"/>
        <v>75</v>
      </c>
      <c r="K166" s="4">
        <f t="shared" si="48"/>
        <v>105</v>
      </c>
      <c r="P166" s="4">
        <v>340</v>
      </c>
      <c r="Q166" s="10"/>
      <c r="R166" s="14">
        <f t="shared" si="49"/>
        <v>1850</v>
      </c>
      <c r="AG166" s="3"/>
      <c r="AH166" s="3"/>
      <c r="AI166" s="3"/>
    </row>
    <row r="167" spans="1:38" x14ac:dyDescent="0.3">
      <c r="B167" s="12" t="s">
        <v>601</v>
      </c>
      <c r="C167" s="108" t="s">
        <v>759</v>
      </c>
      <c r="D167" s="4">
        <f t="shared" si="43"/>
        <v>600</v>
      </c>
      <c r="E167" s="4">
        <f t="shared" si="44"/>
        <v>600</v>
      </c>
      <c r="H167" s="4">
        <f t="shared" si="45"/>
        <v>85</v>
      </c>
      <c r="I167" s="4">
        <f t="shared" si="46"/>
        <v>45</v>
      </c>
      <c r="J167" s="4">
        <f t="shared" si="47"/>
        <v>75</v>
      </c>
      <c r="K167" s="4">
        <f t="shared" si="48"/>
        <v>105</v>
      </c>
      <c r="P167" s="4">
        <v>340</v>
      </c>
      <c r="Q167" s="10"/>
      <c r="R167" s="14">
        <f t="shared" si="49"/>
        <v>1850</v>
      </c>
      <c r="AG167" s="3"/>
      <c r="AH167" s="3"/>
      <c r="AI167" s="3"/>
    </row>
    <row r="168" spans="1:38" x14ac:dyDescent="0.3">
      <c r="B168" s="12" t="s">
        <v>601</v>
      </c>
      <c r="C168" s="108" t="s">
        <v>759</v>
      </c>
      <c r="D168" s="4">
        <f t="shared" si="43"/>
        <v>600</v>
      </c>
      <c r="E168" s="4">
        <f t="shared" si="44"/>
        <v>600</v>
      </c>
      <c r="H168" s="4">
        <f t="shared" si="45"/>
        <v>85</v>
      </c>
      <c r="I168" s="4">
        <f t="shared" si="46"/>
        <v>45</v>
      </c>
      <c r="J168" s="4">
        <f t="shared" si="47"/>
        <v>75</v>
      </c>
      <c r="K168" s="4">
        <f t="shared" si="48"/>
        <v>105</v>
      </c>
      <c r="P168" s="4">
        <v>340</v>
      </c>
      <c r="Q168" s="10"/>
      <c r="R168" s="14">
        <f t="shared" si="49"/>
        <v>1850</v>
      </c>
      <c r="AG168" s="3"/>
      <c r="AH168" s="3"/>
      <c r="AI168" s="3"/>
    </row>
    <row r="169" spans="1:38" ht="14.5" thickBot="1" x14ac:dyDescent="0.35">
      <c r="B169" s="12" t="s">
        <v>601</v>
      </c>
      <c r="C169" s="108" t="s">
        <v>759</v>
      </c>
      <c r="D169" s="4">
        <f t="shared" si="43"/>
        <v>600</v>
      </c>
      <c r="E169" s="4">
        <f t="shared" si="44"/>
        <v>600</v>
      </c>
      <c r="H169" s="4">
        <f t="shared" si="45"/>
        <v>85</v>
      </c>
      <c r="I169" s="4">
        <f t="shared" si="46"/>
        <v>45</v>
      </c>
      <c r="J169" s="4">
        <f t="shared" si="47"/>
        <v>75</v>
      </c>
      <c r="K169" s="4">
        <f t="shared" si="48"/>
        <v>105</v>
      </c>
      <c r="P169" s="4">
        <v>340</v>
      </c>
      <c r="Q169" s="10"/>
      <c r="R169" s="14">
        <f t="shared" si="49"/>
        <v>1850</v>
      </c>
      <c r="AG169" s="3"/>
      <c r="AH169" s="3"/>
      <c r="AI169" s="3"/>
    </row>
    <row r="170" spans="1:38" ht="16" thickBot="1" x14ac:dyDescent="0.4">
      <c r="B170" s="12" t="s">
        <v>601</v>
      </c>
      <c r="C170" s="108" t="str">
        <f>C165</f>
        <v>6675 · Ethics Committee- Conference</v>
      </c>
      <c r="D170" s="4">
        <f t="shared" si="43"/>
        <v>600</v>
      </c>
      <c r="E170" s="4">
        <f t="shared" si="44"/>
        <v>600</v>
      </c>
      <c r="H170" s="4">
        <f t="shared" si="45"/>
        <v>85</v>
      </c>
      <c r="I170" s="4">
        <f t="shared" si="46"/>
        <v>45</v>
      </c>
      <c r="J170" s="4">
        <f t="shared" si="47"/>
        <v>75</v>
      </c>
      <c r="K170" s="4">
        <f t="shared" si="48"/>
        <v>105</v>
      </c>
      <c r="P170" s="4">
        <v>340</v>
      </c>
      <c r="Q170" s="10"/>
      <c r="R170" s="14">
        <f t="shared" si="49"/>
        <v>1850</v>
      </c>
      <c r="T170" s="21">
        <f>SUM(R165:R170)</f>
        <v>9250</v>
      </c>
      <c r="V170" s="320" t="s">
        <v>760</v>
      </c>
      <c r="W170" s="321"/>
      <c r="X170" s="321"/>
      <c r="Y170" s="322"/>
      <c r="AG170" s="3">
        <f t="shared" si="29"/>
        <v>3</v>
      </c>
      <c r="AH170" s="3">
        <f t="shared" si="30"/>
        <v>3</v>
      </c>
      <c r="AI170" s="3">
        <f t="shared" si="31"/>
        <v>3</v>
      </c>
    </row>
    <row r="171" spans="1:38" ht="14.5" thickBot="1" x14ac:dyDescent="0.35">
      <c r="B171" s="12" t="s">
        <v>601</v>
      </c>
      <c r="C171" s="20" t="s">
        <v>761</v>
      </c>
      <c r="D171" s="4">
        <f t="shared" si="43"/>
        <v>600</v>
      </c>
      <c r="E171" s="4">
        <f t="shared" si="44"/>
        <v>600</v>
      </c>
      <c r="H171" s="4">
        <f t="shared" si="45"/>
        <v>85</v>
      </c>
      <c r="I171" s="4">
        <f t="shared" si="46"/>
        <v>45</v>
      </c>
      <c r="J171" s="4">
        <f t="shared" si="47"/>
        <v>75</v>
      </c>
      <c r="K171" s="4">
        <f t="shared" si="48"/>
        <v>105</v>
      </c>
      <c r="L171" s="4">
        <f>12500+5030-1050-5000</f>
        <v>11480</v>
      </c>
      <c r="Q171" s="10"/>
      <c r="R171" s="14">
        <f t="shared" ref="R171:R172" si="50">SUM(D171:Q171)</f>
        <v>12990</v>
      </c>
      <c r="V171" s="3">
        <v>1</v>
      </c>
      <c r="W171" s="3">
        <v>1</v>
      </c>
      <c r="X171" s="3">
        <v>1</v>
      </c>
      <c r="Y171" s="2" t="s">
        <v>606</v>
      </c>
      <c r="AG171" s="3">
        <f t="shared" si="29"/>
        <v>3</v>
      </c>
      <c r="AH171" s="3">
        <f t="shared" si="30"/>
        <v>3</v>
      </c>
      <c r="AI171" s="3">
        <f t="shared" si="31"/>
        <v>3</v>
      </c>
    </row>
    <row r="172" spans="1:38" ht="16" thickBot="1" x14ac:dyDescent="0.4">
      <c r="B172" s="12" t="s">
        <v>601</v>
      </c>
      <c r="C172" s="20" t="str">
        <f>C171</f>
        <v>6680 · Marketing &amp; Membership Committ- Conference</v>
      </c>
      <c r="D172" s="4">
        <f t="shared" si="43"/>
        <v>600</v>
      </c>
      <c r="E172" s="4">
        <f t="shared" si="44"/>
        <v>600</v>
      </c>
      <c r="H172" s="4">
        <f t="shared" si="45"/>
        <v>85</v>
      </c>
      <c r="I172" s="4">
        <f t="shared" si="46"/>
        <v>45</v>
      </c>
      <c r="J172" s="4">
        <f t="shared" si="47"/>
        <v>75</v>
      </c>
      <c r="K172" s="4">
        <f t="shared" si="48"/>
        <v>105</v>
      </c>
      <c r="Q172" s="10"/>
      <c r="R172" s="14">
        <f t="shared" si="50"/>
        <v>1510</v>
      </c>
      <c r="T172" s="21">
        <f>SUM(R171:R172)</f>
        <v>14500</v>
      </c>
      <c r="V172" s="3">
        <v>1</v>
      </c>
      <c r="W172" s="3">
        <v>1</v>
      </c>
      <c r="X172" s="3">
        <v>1</v>
      </c>
      <c r="Y172" s="2" t="s">
        <v>608</v>
      </c>
      <c r="AG172" s="3">
        <f t="shared" si="29"/>
        <v>3</v>
      </c>
      <c r="AH172" s="3">
        <f t="shared" si="30"/>
        <v>3</v>
      </c>
      <c r="AI172" s="3">
        <f t="shared" si="31"/>
        <v>3</v>
      </c>
    </row>
    <row r="173" spans="1:38" x14ac:dyDescent="0.3">
      <c r="A173" s="3">
        <v>1</v>
      </c>
      <c r="C173" s="20" t="s">
        <v>455</v>
      </c>
      <c r="D173" s="4">
        <f t="shared" si="43"/>
        <v>600</v>
      </c>
      <c r="E173" s="4">
        <f t="shared" ref="E173:E180" si="51">($T$27+$P$2)*$E$3</f>
        <v>450</v>
      </c>
      <c r="H173" s="4">
        <f t="shared" si="45"/>
        <v>85</v>
      </c>
      <c r="I173" s="4">
        <f t="shared" ref="I173:I180" si="52">($T$27+$P$2)*$I$3</f>
        <v>30</v>
      </c>
      <c r="J173" s="4">
        <f t="shared" ref="J173:J180" si="53">($T$27+$P$2)*$J$3</f>
        <v>50</v>
      </c>
      <c r="K173" s="4">
        <f t="shared" ref="K173:K180" si="54">($T$27+$P$2)*$K$3</f>
        <v>70</v>
      </c>
      <c r="P173" s="4">
        <f>602.5-375</f>
        <v>227.5</v>
      </c>
      <c r="Q173" s="10"/>
      <c r="R173" s="14">
        <f t="shared" ref="R173:R240" si="55">SUM(D173:Q173)</f>
        <v>1512.5</v>
      </c>
      <c r="V173" s="3">
        <v>1</v>
      </c>
      <c r="W173" s="3">
        <v>1</v>
      </c>
      <c r="X173" s="3">
        <v>1</v>
      </c>
      <c r="Y173" s="2" t="s">
        <v>609</v>
      </c>
      <c r="AG173" s="3">
        <f t="shared" si="29"/>
        <v>2</v>
      </c>
      <c r="AH173" s="3">
        <f t="shared" si="30"/>
        <v>2</v>
      </c>
      <c r="AI173" s="3">
        <f t="shared" si="31"/>
        <v>2</v>
      </c>
    </row>
    <row r="174" spans="1:38" x14ac:dyDescent="0.3">
      <c r="A174" s="3">
        <v>2</v>
      </c>
      <c r="C174" s="20" t="str">
        <f>C173</f>
        <v>6683 · Finance Committee</v>
      </c>
      <c r="D174" s="4">
        <f t="shared" si="43"/>
        <v>600</v>
      </c>
      <c r="E174" s="4">
        <f t="shared" si="51"/>
        <v>450</v>
      </c>
      <c r="H174" s="4">
        <f t="shared" si="45"/>
        <v>85</v>
      </c>
      <c r="I174" s="4">
        <f t="shared" si="52"/>
        <v>30</v>
      </c>
      <c r="J174" s="4">
        <f t="shared" si="53"/>
        <v>50</v>
      </c>
      <c r="K174" s="4">
        <f t="shared" si="54"/>
        <v>70</v>
      </c>
      <c r="P174" s="4">
        <f t="shared" ref="P174:P180" si="56">602.5-375</f>
        <v>227.5</v>
      </c>
      <c r="Q174" s="10"/>
      <c r="R174" s="14">
        <f t="shared" si="55"/>
        <v>1512.5</v>
      </c>
      <c r="V174" s="3"/>
      <c r="W174" s="3"/>
      <c r="X174" s="3"/>
      <c r="Y174" s="2" t="s">
        <v>610</v>
      </c>
      <c r="AG174" s="3">
        <f t="shared" si="29"/>
        <v>2</v>
      </c>
      <c r="AH174" s="3">
        <f t="shared" si="30"/>
        <v>2</v>
      </c>
      <c r="AI174" s="3">
        <f t="shared" si="31"/>
        <v>2</v>
      </c>
      <c r="AL174" s="113"/>
    </row>
    <row r="175" spans="1:38" x14ac:dyDescent="0.3">
      <c r="A175" s="3">
        <v>3</v>
      </c>
      <c r="C175" s="20" t="s">
        <v>455</v>
      </c>
      <c r="D175" s="4">
        <f t="shared" si="43"/>
        <v>600</v>
      </c>
      <c r="E175" s="4">
        <f t="shared" si="51"/>
        <v>450</v>
      </c>
      <c r="H175" s="4">
        <f t="shared" si="45"/>
        <v>85</v>
      </c>
      <c r="I175" s="4">
        <f t="shared" si="52"/>
        <v>30</v>
      </c>
      <c r="J175" s="4">
        <f t="shared" si="53"/>
        <v>50</v>
      </c>
      <c r="K175" s="4">
        <f t="shared" si="54"/>
        <v>70</v>
      </c>
      <c r="P175" s="4">
        <f t="shared" si="56"/>
        <v>227.5</v>
      </c>
      <c r="Q175" s="10"/>
      <c r="R175" s="14">
        <f t="shared" si="55"/>
        <v>1512.5</v>
      </c>
      <c r="V175" s="3"/>
      <c r="W175" s="3"/>
      <c r="X175" s="3"/>
      <c r="Y175" s="2" t="s">
        <v>611</v>
      </c>
      <c r="AG175" s="3">
        <f t="shared" si="29"/>
        <v>2</v>
      </c>
      <c r="AH175" s="3">
        <f t="shared" si="30"/>
        <v>2</v>
      </c>
      <c r="AI175" s="3">
        <f t="shared" si="31"/>
        <v>2</v>
      </c>
    </row>
    <row r="176" spans="1:38" ht="14.5" thickBot="1" x14ac:dyDescent="0.35">
      <c r="A176" s="3">
        <v>4</v>
      </c>
      <c r="C176" s="20" t="s">
        <v>455</v>
      </c>
      <c r="D176" s="4">
        <f t="shared" si="43"/>
        <v>600</v>
      </c>
      <c r="E176" s="4">
        <f t="shared" si="51"/>
        <v>450</v>
      </c>
      <c r="H176" s="4">
        <f t="shared" si="45"/>
        <v>85</v>
      </c>
      <c r="I176" s="4">
        <f t="shared" si="52"/>
        <v>30</v>
      </c>
      <c r="J176" s="4">
        <f t="shared" si="53"/>
        <v>50</v>
      </c>
      <c r="K176" s="4">
        <f t="shared" si="54"/>
        <v>70</v>
      </c>
      <c r="P176" s="4">
        <f t="shared" si="56"/>
        <v>227.5</v>
      </c>
      <c r="Q176" s="10"/>
      <c r="R176" s="14">
        <f t="shared" si="55"/>
        <v>1512.5</v>
      </c>
      <c r="V176" s="3"/>
      <c r="W176" s="3"/>
      <c r="X176" s="3"/>
      <c r="Y176" s="2" t="s">
        <v>613</v>
      </c>
      <c r="AG176" s="3">
        <f t="shared" si="29"/>
        <v>2</v>
      </c>
      <c r="AH176" s="3">
        <f t="shared" si="30"/>
        <v>2</v>
      </c>
      <c r="AI176" s="3">
        <f t="shared" si="31"/>
        <v>2</v>
      </c>
    </row>
    <row r="177" spans="1:35" ht="16" thickBot="1" x14ac:dyDescent="0.4">
      <c r="A177" s="3">
        <v>5</v>
      </c>
      <c r="C177" s="20" t="s">
        <v>455</v>
      </c>
      <c r="D177" s="4">
        <f t="shared" si="43"/>
        <v>600</v>
      </c>
      <c r="E177" s="4">
        <f t="shared" si="51"/>
        <v>450</v>
      </c>
      <c r="H177" s="4">
        <f t="shared" si="45"/>
        <v>85</v>
      </c>
      <c r="I177" s="4">
        <f t="shared" si="52"/>
        <v>30</v>
      </c>
      <c r="J177" s="4">
        <f t="shared" si="53"/>
        <v>50</v>
      </c>
      <c r="K177" s="4">
        <f t="shared" si="54"/>
        <v>70</v>
      </c>
      <c r="P177" s="4">
        <f t="shared" si="56"/>
        <v>227.5</v>
      </c>
      <c r="Q177" s="10"/>
      <c r="R177" s="14">
        <f t="shared" si="55"/>
        <v>1512.5</v>
      </c>
      <c r="V177" s="17">
        <f>SUM(V170:V176)</f>
        <v>3</v>
      </c>
      <c r="W177" s="18">
        <f t="shared" ref="W177:X177" si="57">SUM(W170:W176)</f>
        <v>3</v>
      </c>
      <c r="X177" s="19">
        <f t="shared" si="57"/>
        <v>3</v>
      </c>
      <c r="AG177" s="3">
        <f t="shared" si="29"/>
        <v>2</v>
      </c>
      <c r="AH177" s="3">
        <f t="shared" si="30"/>
        <v>2</v>
      </c>
      <c r="AI177" s="3">
        <f t="shared" si="31"/>
        <v>2</v>
      </c>
    </row>
    <row r="178" spans="1:35" x14ac:dyDescent="0.3">
      <c r="A178" s="3">
        <v>6</v>
      </c>
      <c r="C178" s="20" t="s">
        <v>455</v>
      </c>
      <c r="D178" s="4">
        <f t="shared" si="43"/>
        <v>600</v>
      </c>
      <c r="E178" s="4">
        <f t="shared" si="51"/>
        <v>450</v>
      </c>
      <c r="H178" s="4">
        <f t="shared" si="45"/>
        <v>85</v>
      </c>
      <c r="I178" s="4">
        <f t="shared" si="52"/>
        <v>30</v>
      </c>
      <c r="J178" s="4">
        <f t="shared" si="53"/>
        <v>50</v>
      </c>
      <c r="K178" s="4">
        <f t="shared" si="54"/>
        <v>70</v>
      </c>
      <c r="P178" s="4">
        <f t="shared" si="56"/>
        <v>227.5</v>
      </c>
      <c r="Q178" s="10"/>
      <c r="R178" s="14">
        <f t="shared" si="55"/>
        <v>1512.5</v>
      </c>
      <c r="AG178" s="3">
        <f t="shared" si="29"/>
        <v>2</v>
      </c>
      <c r="AH178" s="3">
        <f t="shared" si="30"/>
        <v>2</v>
      </c>
      <c r="AI178" s="3">
        <f t="shared" si="31"/>
        <v>2</v>
      </c>
    </row>
    <row r="179" spans="1:35" ht="14.5" thickBot="1" x14ac:dyDescent="0.35">
      <c r="A179" s="3">
        <v>7</v>
      </c>
      <c r="C179" s="20" t="s">
        <v>455</v>
      </c>
      <c r="D179" s="4">
        <f t="shared" si="43"/>
        <v>600</v>
      </c>
      <c r="E179" s="4">
        <f t="shared" si="51"/>
        <v>450</v>
      </c>
      <c r="H179" s="4">
        <f t="shared" si="45"/>
        <v>85</v>
      </c>
      <c r="I179" s="4">
        <f t="shared" si="52"/>
        <v>30</v>
      </c>
      <c r="J179" s="4">
        <f t="shared" si="53"/>
        <v>50</v>
      </c>
      <c r="K179" s="4">
        <f t="shared" si="54"/>
        <v>70</v>
      </c>
      <c r="P179" s="4">
        <f t="shared" si="56"/>
        <v>227.5</v>
      </c>
      <c r="Q179" s="10"/>
      <c r="R179" s="14">
        <f t="shared" si="55"/>
        <v>1512.5</v>
      </c>
      <c r="AG179" s="3">
        <f t="shared" si="29"/>
        <v>2</v>
      </c>
      <c r="AH179" s="3">
        <f t="shared" si="30"/>
        <v>2</v>
      </c>
      <c r="AI179" s="3">
        <f t="shared" si="31"/>
        <v>2</v>
      </c>
    </row>
    <row r="180" spans="1:35" ht="16" thickBot="1" x14ac:dyDescent="0.4">
      <c r="A180" s="3">
        <v>8</v>
      </c>
      <c r="C180" s="20" t="s">
        <v>762</v>
      </c>
      <c r="D180" s="4">
        <v>500</v>
      </c>
      <c r="E180" s="4">
        <f t="shared" si="51"/>
        <v>450</v>
      </c>
      <c r="H180" s="4">
        <f t="shared" si="45"/>
        <v>85</v>
      </c>
      <c r="I180" s="4">
        <f t="shared" si="52"/>
        <v>30</v>
      </c>
      <c r="J180" s="4">
        <f t="shared" si="53"/>
        <v>50</v>
      </c>
      <c r="K180" s="4">
        <f t="shared" si="54"/>
        <v>70</v>
      </c>
      <c r="P180" s="4">
        <f t="shared" si="56"/>
        <v>227.5</v>
      </c>
      <c r="Q180" s="10"/>
      <c r="R180" s="14">
        <f t="shared" si="55"/>
        <v>1412.5</v>
      </c>
      <c r="T180" s="21">
        <f>SUM(R173:R180)</f>
        <v>12000</v>
      </c>
      <c r="AG180" s="3">
        <f t="shared" si="29"/>
        <v>2</v>
      </c>
      <c r="AH180" s="3">
        <f t="shared" si="30"/>
        <v>2</v>
      </c>
      <c r="AI180" s="3">
        <f t="shared" si="31"/>
        <v>2</v>
      </c>
    </row>
    <row r="181" spans="1:35" x14ac:dyDescent="0.3">
      <c r="A181" s="3">
        <v>1</v>
      </c>
      <c r="B181" s="3" t="s">
        <v>763</v>
      </c>
      <c r="C181" s="20" t="s">
        <v>764</v>
      </c>
      <c r="P181" s="4">
        <v>1500</v>
      </c>
      <c r="Q181" s="10"/>
      <c r="R181" s="14">
        <f t="shared" si="55"/>
        <v>1500</v>
      </c>
      <c r="S181" s="14"/>
      <c r="AG181" s="3">
        <f t="shared" si="29"/>
        <v>0</v>
      </c>
      <c r="AH181" s="3">
        <f t="shared" si="30"/>
        <v>0</v>
      </c>
      <c r="AI181" s="3">
        <f t="shared" si="31"/>
        <v>0</v>
      </c>
    </row>
    <row r="182" spans="1:35" x14ac:dyDescent="0.3">
      <c r="A182" s="3">
        <v>2</v>
      </c>
      <c r="B182" s="3" t="s">
        <v>763</v>
      </c>
      <c r="C182" s="20" t="s">
        <v>764</v>
      </c>
      <c r="P182" s="4">
        <v>1500</v>
      </c>
      <c r="Q182" s="10"/>
      <c r="R182" s="14">
        <f t="shared" si="55"/>
        <v>1500</v>
      </c>
      <c r="S182" s="14"/>
      <c r="U182" s="14">
        <f>T180-10000</f>
        <v>2000</v>
      </c>
      <c r="V182" s="14">
        <f>U182/8</f>
        <v>250</v>
      </c>
      <c r="AG182" s="3">
        <f t="shared" si="29"/>
        <v>0</v>
      </c>
      <c r="AH182" s="3">
        <f t="shared" si="30"/>
        <v>0</v>
      </c>
      <c r="AI182" s="3">
        <f t="shared" si="31"/>
        <v>0</v>
      </c>
    </row>
    <row r="183" spans="1:35" x14ac:dyDescent="0.3">
      <c r="A183" s="3">
        <v>3</v>
      </c>
      <c r="B183" s="3" t="s">
        <v>763</v>
      </c>
      <c r="C183" s="20" t="s">
        <v>764</v>
      </c>
      <c r="P183" s="4">
        <v>1500</v>
      </c>
      <c r="Q183" s="10"/>
      <c r="R183" s="14">
        <f t="shared" si="55"/>
        <v>1500</v>
      </c>
      <c r="S183" s="14"/>
      <c r="AG183" s="3">
        <f t="shared" si="29"/>
        <v>0</v>
      </c>
      <c r="AH183" s="3">
        <f t="shared" si="30"/>
        <v>0</v>
      </c>
      <c r="AI183" s="3">
        <f t="shared" si="31"/>
        <v>0</v>
      </c>
    </row>
    <row r="184" spans="1:35" x14ac:dyDescent="0.3">
      <c r="A184" s="3">
        <v>4</v>
      </c>
      <c r="B184" s="3" t="s">
        <v>763</v>
      </c>
      <c r="C184" s="20" t="s">
        <v>764</v>
      </c>
      <c r="P184" s="4">
        <v>1500</v>
      </c>
      <c r="Q184" s="10"/>
      <c r="R184" s="14">
        <f t="shared" si="55"/>
        <v>1500</v>
      </c>
      <c r="S184" s="14"/>
      <c r="AG184" s="3">
        <f t="shared" si="29"/>
        <v>0</v>
      </c>
      <c r="AH184" s="3">
        <f t="shared" si="30"/>
        <v>0</v>
      </c>
      <c r="AI184" s="3">
        <f t="shared" si="31"/>
        <v>0</v>
      </c>
    </row>
    <row r="185" spans="1:35" x14ac:dyDescent="0.3">
      <c r="A185" s="3">
        <v>5</v>
      </c>
      <c r="B185" s="3" t="s">
        <v>763</v>
      </c>
      <c r="C185" s="20" t="s">
        <v>764</v>
      </c>
      <c r="P185" s="4">
        <v>1500</v>
      </c>
      <c r="Q185" s="10"/>
      <c r="R185" s="14">
        <f t="shared" si="55"/>
        <v>1500</v>
      </c>
      <c r="S185" s="14"/>
      <c r="AG185" s="3">
        <f t="shared" si="29"/>
        <v>0</v>
      </c>
      <c r="AH185" s="3">
        <f t="shared" si="30"/>
        <v>0</v>
      </c>
      <c r="AI185" s="3">
        <f t="shared" si="31"/>
        <v>0</v>
      </c>
    </row>
    <row r="186" spans="1:35" x14ac:dyDescent="0.3">
      <c r="A186" s="3">
        <v>6</v>
      </c>
      <c r="B186" s="3" t="s">
        <v>763</v>
      </c>
      <c r="C186" s="20" t="s">
        <v>764</v>
      </c>
      <c r="P186" s="4">
        <v>1500</v>
      </c>
      <c r="Q186" s="10"/>
      <c r="R186" s="14">
        <f t="shared" si="55"/>
        <v>1500</v>
      </c>
      <c r="S186" s="14"/>
      <c r="AG186" s="3">
        <f t="shared" si="29"/>
        <v>0</v>
      </c>
      <c r="AH186" s="3">
        <f t="shared" si="30"/>
        <v>0</v>
      </c>
      <c r="AI186" s="3">
        <f t="shared" si="31"/>
        <v>0</v>
      </c>
    </row>
    <row r="187" spans="1:35" x14ac:dyDescent="0.3">
      <c r="A187" s="3">
        <v>7</v>
      </c>
      <c r="B187" s="3" t="s">
        <v>763</v>
      </c>
      <c r="C187" s="20" t="s">
        <v>764</v>
      </c>
      <c r="P187" s="4">
        <v>1500</v>
      </c>
      <c r="Q187" s="10"/>
      <c r="R187" s="14">
        <f t="shared" si="55"/>
        <v>1500</v>
      </c>
      <c r="S187" s="14"/>
      <c r="AG187" s="3">
        <f t="shared" si="29"/>
        <v>0</v>
      </c>
      <c r="AH187" s="3">
        <f t="shared" si="30"/>
        <v>0</v>
      </c>
      <c r="AI187" s="3">
        <f t="shared" si="31"/>
        <v>0</v>
      </c>
    </row>
    <row r="188" spans="1:35" x14ac:dyDescent="0.3">
      <c r="A188" s="3">
        <v>8</v>
      </c>
      <c r="B188" s="3" t="s">
        <v>763</v>
      </c>
      <c r="C188" s="20" t="s">
        <v>764</v>
      </c>
      <c r="P188" s="4">
        <v>1500</v>
      </c>
      <c r="Q188" s="10"/>
      <c r="R188" s="14">
        <f t="shared" si="55"/>
        <v>1500</v>
      </c>
      <c r="S188" s="14"/>
      <c r="AG188" s="3">
        <f t="shared" si="29"/>
        <v>0</v>
      </c>
      <c r="AH188" s="3">
        <f t="shared" si="30"/>
        <v>0</v>
      </c>
      <c r="AI188" s="3">
        <f t="shared" si="31"/>
        <v>0</v>
      </c>
    </row>
    <row r="189" spans="1:35" ht="14.5" thickBot="1" x14ac:dyDescent="0.35">
      <c r="A189" s="3">
        <v>9</v>
      </c>
      <c r="B189" s="3" t="s">
        <v>763</v>
      </c>
      <c r="C189" s="20" t="s">
        <v>764</v>
      </c>
      <c r="P189" s="4">
        <v>1500</v>
      </c>
      <c r="Q189" s="10"/>
      <c r="R189" s="14">
        <f t="shared" si="55"/>
        <v>1500</v>
      </c>
      <c r="S189" s="14"/>
      <c r="AG189" s="3">
        <f t="shared" si="29"/>
        <v>0</v>
      </c>
      <c r="AH189" s="3">
        <f t="shared" si="30"/>
        <v>0</v>
      </c>
      <c r="AI189" s="3">
        <f t="shared" si="31"/>
        <v>0</v>
      </c>
    </row>
    <row r="190" spans="1:35" ht="16" thickBot="1" x14ac:dyDescent="0.4">
      <c r="A190" s="3">
        <v>10</v>
      </c>
      <c r="B190" s="3" t="s">
        <v>763</v>
      </c>
      <c r="C190" s="20" t="s">
        <v>764</v>
      </c>
      <c r="P190" s="4">
        <v>1500</v>
      </c>
      <c r="Q190" s="10"/>
      <c r="R190" s="14">
        <f t="shared" si="55"/>
        <v>1500</v>
      </c>
      <c r="S190" s="14"/>
      <c r="U190" s="14"/>
      <c r="V190" s="320" t="s">
        <v>765</v>
      </c>
      <c r="W190" s="321"/>
      <c r="X190" s="321"/>
      <c r="Y190" s="322"/>
      <c r="AG190" s="3">
        <f t="shared" si="29"/>
        <v>0</v>
      </c>
      <c r="AH190" s="3">
        <f t="shared" si="30"/>
        <v>0</v>
      </c>
      <c r="AI190" s="3">
        <f t="shared" si="31"/>
        <v>0</v>
      </c>
    </row>
    <row r="191" spans="1:35" x14ac:dyDescent="0.3">
      <c r="A191" s="3">
        <v>1</v>
      </c>
      <c r="B191" s="12" t="s">
        <v>601</v>
      </c>
      <c r="C191" s="13" t="s">
        <v>766</v>
      </c>
      <c r="D191" s="4">
        <f t="shared" ref="D191:D233" si="58">$D$3</f>
        <v>600</v>
      </c>
      <c r="E191" s="4">
        <f>($T$8+$P$2)*$H$2</f>
        <v>1500</v>
      </c>
      <c r="H191" s="4">
        <f t="shared" ref="H191:H233" si="59">$H$3</f>
        <v>85</v>
      </c>
      <c r="I191" s="4">
        <f t="shared" ref="I191:I200" si="60">($T$29+$P$2)*$I$3</f>
        <v>45</v>
      </c>
      <c r="J191" s="4">
        <f>($T$8)*$J$3</f>
        <v>100</v>
      </c>
      <c r="K191" s="4">
        <f t="shared" ref="K191:K200" si="61">($T$20)*$K$3</f>
        <v>175</v>
      </c>
      <c r="L191" s="4">
        <v>675</v>
      </c>
      <c r="P191" s="4">
        <v>-25</v>
      </c>
      <c r="Q191" s="10"/>
      <c r="R191" s="14">
        <f t="shared" si="55"/>
        <v>3155</v>
      </c>
      <c r="U191" s="14"/>
      <c r="V191" s="3">
        <v>1</v>
      </c>
      <c r="W191" s="3">
        <v>1</v>
      </c>
      <c r="X191" s="3">
        <v>1</v>
      </c>
      <c r="Y191" s="2" t="s">
        <v>606</v>
      </c>
      <c r="AG191" s="3">
        <f t="shared" si="29"/>
        <v>3</v>
      </c>
      <c r="AH191" s="3">
        <f t="shared" si="30"/>
        <v>4</v>
      </c>
      <c r="AI191" s="3">
        <f t="shared" si="31"/>
        <v>5</v>
      </c>
    </row>
    <row r="192" spans="1:35" x14ac:dyDescent="0.3">
      <c r="A192" s="3">
        <v>2</v>
      </c>
      <c r="B192" s="12" t="s">
        <v>601</v>
      </c>
      <c r="C192" s="13" t="s">
        <v>766</v>
      </c>
      <c r="D192" s="4">
        <f t="shared" si="58"/>
        <v>600</v>
      </c>
      <c r="E192" s="4">
        <f t="shared" ref="E192:E200" si="62">($T$8+$P$2)*$H$2</f>
        <v>1500</v>
      </c>
      <c r="H192" s="4">
        <f t="shared" si="59"/>
        <v>85</v>
      </c>
      <c r="I192" s="4">
        <f t="shared" si="60"/>
        <v>45</v>
      </c>
      <c r="J192" s="4">
        <f t="shared" ref="J192:J200" si="63">($T$8)*$J$3</f>
        <v>100</v>
      </c>
      <c r="K192" s="4">
        <f t="shared" si="61"/>
        <v>175</v>
      </c>
      <c r="L192" s="4">
        <v>675</v>
      </c>
      <c r="P192" s="4">
        <v>-25</v>
      </c>
      <c r="Q192" s="10"/>
      <c r="R192" s="14">
        <f t="shared" si="55"/>
        <v>3155</v>
      </c>
      <c r="V192" s="3">
        <v>1</v>
      </c>
      <c r="W192" s="3">
        <v>1</v>
      </c>
      <c r="X192" s="3">
        <v>1</v>
      </c>
      <c r="Y192" s="2" t="s">
        <v>608</v>
      </c>
      <c r="AG192" s="3">
        <f t="shared" si="29"/>
        <v>3</v>
      </c>
      <c r="AH192" s="3">
        <f t="shared" si="30"/>
        <v>4</v>
      </c>
      <c r="AI192" s="3">
        <f t="shared" si="31"/>
        <v>5</v>
      </c>
    </row>
    <row r="193" spans="1:38" x14ac:dyDescent="0.3">
      <c r="A193" s="3">
        <v>3</v>
      </c>
      <c r="B193" s="12" t="s">
        <v>601</v>
      </c>
      <c r="C193" s="13" t="s">
        <v>766</v>
      </c>
      <c r="D193" s="4">
        <f t="shared" si="58"/>
        <v>600</v>
      </c>
      <c r="E193" s="4">
        <f t="shared" si="62"/>
        <v>1500</v>
      </c>
      <c r="H193" s="4">
        <f t="shared" si="59"/>
        <v>85</v>
      </c>
      <c r="I193" s="4">
        <f t="shared" si="60"/>
        <v>45</v>
      </c>
      <c r="J193" s="4">
        <f t="shared" si="63"/>
        <v>100</v>
      </c>
      <c r="K193" s="4">
        <f t="shared" si="61"/>
        <v>175</v>
      </c>
      <c r="L193" s="4">
        <v>675</v>
      </c>
      <c r="P193" s="4">
        <v>-25</v>
      </c>
      <c r="Q193" s="10"/>
      <c r="R193" s="14">
        <f t="shared" si="55"/>
        <v>3155</v>
      </c>
      <c r="V193" s="3">
        <v>0</v>
      </c>
      <c r="W193" s="3">
        <v>0</v>
      </c>
      <c r="X193" s="3">
        <v>1</v>
      </c>
      <c r="Y193" s="2" t="s">
        <v>609</v>
      </c>
      <c r="AG193" s="3">
        <f t="shared" si="29"/>
        <v>3</v>
      </c>
      <c r="AH193" s="3">
        <f t="shared" si="30"/>
        <v>4</v>
      </c>
      <c r="AI193" s="3">
        <f t="shared" si="31"/>
        <v>5</v>
      </c>
    </row>
    <row r="194" spans="1:38" x14ac:dyDescent="0.3">
      <c r="A194" s="3">
        <v>4</v>
      </c>
      <c r="B194" s="12" t="s">
        <v>601</v>
      </c>
      <c r="C194" s="13" t="s">
        <v>766</v>
      </c>
      <c r="D194" s="4">
        <f t="shared" si="58"/>
        <v>600</v>
      </c>
      <c r="E194" s="4">
        <f t="shared" si="62"/>
        <v>1500</v>
      </c>
      <c r="H194" s="4">
        <f t="shared" si="59"/>
        <v>85</v>
      </c>
      <c r="I194" s="4">
        <f t="shared" si="60"/>
        <v>45</v>
      </c>
      <c r="J194" s="4">
        <f t="shared" si="63"/>
        <v>100</v>
      </c>
      <c r="K194" s="4">
        <f t="shared" si="61"/>
        <v>175</v>
      </c>
      <c r="L194" s="4">
        <v>675</v>
      </c>
      <c r="P194" s="4">
        <v>-25</v>
      </c>
      <c r="Q194" s="10"/>
      <c r="R194" s="14">
        <f t="shared" si="55"/>
        <v>3155</v>
      </c>
      <c r="V194" s="3">
        <v>0</v>
      </c>
      <c r="W194" s="3">
        <v>1</v>
      </c>
      <c r="X194" s="3">
        <v>1</v>
      </c>
      <c r="Y194" s="2" t="s">
        <v>610</v>
      </c>
      <c r="AG194" s="3">
        <f t="shared" si="29"/>
        <v>3</v>
      </c>
      <c r="AH194" s="3">
        <f t="shared" si="30"/>
        <v>4</v>
      </c>
      <c r="AI194" s="3">
        <f t="shared" si="31"/>
        <v>5</v>
      </c>
    </row>
    <row r="195" spans="1:38" x14ac:dyDescent="0.3">
      <c r="A195" s="3">
        <v>5</v>
      </c>
      <c r="B195" s="12" t="s">
        <v>601</v>
      </c>
      <c r="C195" s="13" t="s">
        <v>766</v>
      </c>
      <c r="D195" s="4">
        <f t="shared" si="58"/>
        <v>600</v>
      </c>
      <c r="E195" s="4">
        <f t="shared" si="62"/>
        <v>1500</v>
      </c>
      <c r="H195" s="4">
        <f t="shared" si="59"/>
        <v>85</v>
      </c>
      <c r="I195" s="4">
        <f t="shared" si="60"/>
        <v>45</v>
      </c>
      <c r="J195" s="4">
        <f t="shared" si="63"/>
        <v>100</v>
      </c>
      <c r="K195" s="4">
        <f t="shared" si="61"/>
        <v>175</v>
      </c>
      <c r="L195" s="4">
        <v>675</v>
      </c>
      <c r="P195" s="4">
        <v>-25</v>
      </c>
      <c r="Q195" s="10"/>
      <c r="R195" s="14">
        <f t="shared" si="55"/>
        <v>3155</v>
      </c>
      <c r="V195" s="3">
        <v>0</v>
      </c>
      <c r="W195" s="3">
        <v>0</v>
      </c>
      <c r="X195" s="3">
        <v>0</v>
      </c>
      <c r="Y195" s="2" t="s">
        <v>611</v>
      </c>
      <c r="AG195" s="3">
        <f t="shared" si="29"/>
        <v>3</v>
      </c>
      <c r="AH195" s="3">
        <f t="shared" si="30"/>
        <v>4</v>
      </c>
      <c r="AI195" s="3">
        <f t="shared" si="31"/>
        <v>5</v>
      </c>
    </row>
    <row r="196" spans="1:38" ht="14.5" thickBot="1" x14ac:dyDescent="0.35">
      <c r="A196" s="3">
        <v>6</v>
      </c>
      <c r="B196" s="12" t="s">
        <v>601</v>
      </c>
      <c r="C196" s="13" t="s">
        <v>766</v>
      </c>
      <c r="D196" s="4">
        <f t="shared" si="58"/>
        <v>600</v>
      </c>
      <c r="E196" s="4">
        <f t="shared" si="62"/>
        <v>1500</v>
      </c>
      <c r="H196" s="4">
        <f t="shared" si="59"/>
        <v>85</v>
      </c>
      <c r="I196" s="4">
        <f t="shared" si="60"/>
        <v>45</v>
      </c>
      <c r="J196" s="4">
        <f t="shared" si="63"/>
        <v>100</v>
      </c>
      <c r="K196" s="4">
        <f t="shared" si="61"/>
        <v>175</v>
      </c>
      <c r="L196" s="4">
        <v>675</v>
      </c>
      <c r="P196" s="4">
        <v>-25</v>
      </c>
      <c r="Q196" s="10"/>
      <c r="R196" s="14">
        <f t="shared" si="55"/>
        <v>3155</v>
      </c>
      <c r="V196" s="3">
        <v>1</v>
      </c>
      <c r="W196" s="3">
        <v>1</v>
      </c>
      <c r="X196" s="3">
        <v>1</v>
      </c>
      <c r="Y196" s="2" t="s">
        <v>613</v>
      </c>
      <c r="AG196" s="3">
        <f t="shared" si="29"/>
        <v>3</v>
      </c>
      <c r="AH196" s="3">
        <f t="shared" si="30"/>
        <v>4</v>
      </c>
      <c r="AI196" s="3">
        <f t="shared" si="31"/>
        <v>5</v>
      </c>
    </row>
    <row r="197" spans="1:38" ht="16" thickBot="1" x14ac:dyDescent="0.4">
      <c r="A197" s="3">
        <v>7</v>
      </c>
      <c r="B197" s="12" t="s">
        <v>601</v>
      </c>
      <c r="C197" s="13" t="s">
        <v>766</v>
      </c>
      <c r="D197" s="4">
        <f t="shared" si="58"/>
        <v>600</v>
      </c>
      <c r="E197" s="4">
        <f t="shared" si="62"/>
        <v>1500</v>
      </c>
      <c r="H197" s="4">
        <f t="shared" si="59"/>
        <v>85</v>
      </c>
      <c r="I197" s="4">
        <f t="shared" si="60"/>
        <v>45</v>
      </c>
      <c r="J197" s="4">
        <f t="shared" si="63"/>
        <v>100</v>
      </c>
      <c r="K197" s="4">
        <f t="shared" si="61"/>
        <v>175</v>
      </c>
      <c r="L197" s="4">
        <v>675</v>
      </c>
      <c r="P197" s="4">
        <v>-25</v>
      </c>
      <c r="Q197" s="10"/>
      <c r="R197" s="14">
        <f t="shared" si="55"/>
        <v>3155</v>
      </c>
      <c r="V197" s="17">
        <f>SUM(V191:V196)</f>
        <v>3</v>
      </c>
      <c r="W197" s="18">
        <f>SUM(W191:W196)</f>
        <v>4</v>
      </c>
      <c r="X197" s="19">
        <f>SUM(X191:X196)</f>
        <v>5</v>
      </c>
      <c r="AG197" s="3">
        <f t="shared" si="29"/>
        <v>3</v>
      </c>
      <c r="AH197" s="3">
        <f t="shared" si="30"/>
        <v>4</v>
      </c>
      <c r="AI197" s="3">
        <f t="shared" si="31"/>
        <v>5</v>
      </c>
    </row>
    <row r="198" spans="1:38" x14ac:dyDescent="0.3">
      <c r="A198" s="3">
        <v>8</v>
      </c>
      <c r="B198" s="12" t="s">
        <v>601</v>
      </c>
      <c r="C198" s="13" t="s">
        <v>766</v>
      </c>
      <c r="D198" s="4">
        <f t="shared" si="58"/>
        <v>600</v>
      </c>
      <c r="E198" s="4">
        <f t="shared" si="62"/>
        <v>1500</v>
      </c>
      <c r="H198" s="4">
        <f t="shared" si="59"/>
        <v>85</v>
      </c>
      <c r="I198" s="4">
        <f t="shared" si="60"/>
        <v>45</v>
      </c>
      <c r="J198" s="4">
        <f t="shared" si="63"/>
        <v>100</v>
      </c>
      <c r="K198" s="4">
        <f t="shared" si="61"/>
        <v>175</v>
      </c>
      <c r="L198" s="4">
        <v>675</v>
      </c>
      <c r="P198" s="4">
        <v>-25</v>
      </c>
      <c r="Q198" s="10"/>
      <c r="R198" s="14">
        <f t="shared" si="55"/>
        <v>3155</v>
      </c>
      <c r="AG198" s="3">
        <f t="shared" si="29"/>
        <v>3</v>
      </c>
      <c r="AH198" s="3">
        <f t="shared" si="30"/>
        <v>4</v>
      </c>
      <c r="AI198" s="3">
        <f t="shared" si="31"/>
        <v>5</v>
      </c>
    </row>
    <row r="199" spans="1:38" ht="14.5" thickBot="1" x14ac:dyDescent="0.35">
      <c r="A199" s="3">
        <v>9</v>
      </c>
      <c r="B199" s="12" t="s">
        <v>601</v>
      </c>
      <c r="C199" s="13" t="str">
        <f>C191</f>
        <v>6685 · Nomination &amp; Election Committee- Conference</v>
      </c>
      <c r="D199" s="4">
        <f t="shared" si="58"/>
        <v>600</v>
      </c>
      <c r="E199" s="4">
        <f t="shared" si="62"/>
        <v>1500</v>
      </c>
      <c r="H199" s="4">
        <f t="shared" si="59"/>
        <v>85</v>
      </c>
      <c r="I199" s="4">
        <f t="shared" si="60"/>
        <v>45</v>
      </c>
      <c r="J199" s="4">
        <f t="shared" si="63"/>
        <v>100</v>
      </c>
      <c r="K199" s="4">
        <f t="shared" si="61"/>
        <v>175</v>
      </c>
      <c r="L199" s="4">
        <v>675</v>
      </c>
      <c r="P199" s="4">
        <v>-25</v>
      </c>
      <c r="Q199" s="10"/>
      <c r="R199" s="14">
        <f t="shared" si="55"/>
        <v>3155</v>
      </c>
      <c r="U199" s="32"/>
      <c r="AG199" s="3">
        <f t="shared" si="29"/>
        <v>3</v>
      </c>
      <c r="AH199" s="3">
        <f t="shared" si="30"/>
        <v>4</v>
      </c>
      <c r="AI199" s="3">
        <f t="shared" si="31"/>
        <v>5</v>
      </c>
    </row>
    <row r="200" spans="1:38" ht="16" thickBot="1" x14ac:dyDescent="0.4">
      <c r="A200" s="3">
        <v>10</v>
      </c>
      <c r="B200" s="12" t="s">
        <v>601</v>
      </c>
      <c r="C200" s="13" t="str">
        <f>C192</f>
        <v>6685 · Nomination &amp; Election Committee- Conference</v>
      </c>
      <c r="D200" s="4">
        <f t="shared" si="58"/>
        <v>600</v>
      </c>
      <c r="E200" s="4">
        <f t="shared" si="62"/>
        <v>1500</v>
      </c>
      <c r="H200" s="4">
        <f t="shared" si="59"/>
        <v>85</v>
      </c>
      <c r="I200" s="4">
        <f t="shared" si="60"/>
        <v>45</v>
      </c>
      <c r="J200" s="4">
        <f t="shared" si="63"/>
        <v>100</v>
      </c>
      <c r="K200" s="4">
        <f t="shared" si="61"/>
        <v>175</v>
      </c>
      <c r="L200" s="4">
        <v>675</v>
      </c>
      <c r="P200" s="4">
        <v>-25</v>
      </c>
      <c r="Q200" s="10"/>
      <c r="R200" s="14">
        <f t="shared" si="55"/>
        <v>3155</v>
      </c>
      <c r="T200" s="21">
        <f>SUM(R181:R200)</f>
        <v>46550</v>
      </c>
      <c r="U200" s="14"/>
      <c r="V200" s="320" t="s">
        <v>767</v>
      </c>
      <c r="W200" s="321"/>
      <c r="X200" s="321"/>
      <c r="Y200" s="322"/>
      <c r="AA200" s="320" t="s">
        <v>768</v>
      </c>
      <c r="AB200" s="321"/>
      <c r="AC200" s="321"/>
      <c r="AD200" s="322"/>
      <c r="AG200" s="3">
        <f t="shared" si="29"/>
        <v>3</v>
      </c>
      <c r="AH200" s="3">
        <f t="shared" si="30"/>
        <v>4</v>
      </c>
      <c r="AI200" s="3">
        <f t="shared" si="31"/>
        <v>5</v>
      </c>
      <c r="AL200" s="14"/>
    </row>
    <row r="201" spans="1:38" x14ac:dyDescent="0.3">
      <c r="A201" s="3">
        <v>1</v>
      </c>
      <c r="B201" s="12" t="s">
        <v>601</v>
      </c>
      <c r="C201" s="33" t="s">
        <v>769</v>
      </c>
      <c r="D201" s="4">
        <f t="shared" si="58"/>
        <v>600</v>
      </c>
      <c r="E201" s="4">
        <f>($T$6+$P$2)*$H$2</f>
        <v>900</v>
      </c>
      <c r="H201" s="4">
        <f t="shared" si="59"/>
        <v>85</v>
      </c>
      <c r="I201" s="4">
        <f>($T$7+$P$2)*$I$3</f>
        <v>60</v>
      </c>
      <c r="J201" s="4">
        <f>($T$8)*$J$3</f>
        <v>100</v>
      </c>
      <c r="K201" s="4">
        <f>($T$8)*$K$3</f>
        <v>140</v>
      </c>
      <c r="P201" s="4">
        <v>-25</v>
      </c>
      <c r="Q201" s="10"/>
      <c r="R201" s="14">
        <f t="shared" si="55"/>
        <v>1860</v>
      </c>
      <c r="S201" s="113"/>
      <c r="V201" s="3">
        <v>1</v>
      </c>
      <c r="W201" s="3">
        <v>1</v>
      </c>
      <c r="X201" s="3">
        <v>1</v>
      </c>
      <c r="Y201" s="2" t="s">
        <v>613</v>
      </c>
      <c r="AA201" s="3">
        <v>1</v>
      </c>
      <c r="AB201" s="3">
        <v>1</v>
      </c>
      <c r="AC201" s="3">
        <v>1</v>
      </c>
      <c r="AD201" s="2" t="s">
        <v>613</v>
      </c>
      <c r="AG201" s="3">
        <f t="shared" si="29"/>
        <v>4</v>
      </c>
      <c r="AH201" s="3">
        <f t="shared" si="30"/>
        <v>4</v>
      </c>
      <c r="AI201" s="3">
        <f t="shared" si="31"/>
        <v>4</v>
      </c>
    </row>
    <row r="202" spans="1:38" x14ac:dyDescent="0.3">
      <c r="A202" s="3">
        <v>2</v>
      </c>
      <c r="B202" s="12" t="s">
        <v>601</v>
      </c>
      <c r="C202" s="33" t="s">
        <v>770</v>
      </c>
      <c r="D202" s="4">
        <f t="shared" si="58"/>
        <v>600</v>
      </c>
      <c r="E202" s="4">
        <f t="shared" ref="E202:E212" si="64">($T$6+$P$2)*$H$2</f>
        <v>900</v>
      </c>
      <c r="H202" s="4">
        <f t="shared" si="59"/>
        <v>85</v>
      </c>
      <c r="I202" s="4">
        <f t="shared" ref="I202:I212" si="65">($T$7+$P$2)*$I$3</f>
        <v>60</v>
      </c>
      <c r="J202" s="4">
        <f t="shared" ref="J202:J212" si="66">($T$8)*$J$3</f>
        <v>100</v>
      </c>
      <c r="K202" s="4">
        <f t="shared" ref="K202:K212" si="67">($T$8)*$K$3</f>
        <v>140</v>
      </c>
      <c r="P202" s="4">
        <v>-25</v>
      </c>
      <c r="Q202" s="10"/>
      <c r="R202" s="14">
        <f t="shared" si="55"/>
        <v>1860</v>
      </c>
      <c r="V202" s="3">
        <v>1</v>
      </c>
      <c r="W202" s="3">
        <v>1</v>
      </c>
      <c r="X202" s="3">
        <v>1</v>
      </c>
      <c r="Y202" s="2" t="s">
        <v>603</v>
      </c>
      <c r="AA202" s="3">
        <v>1</v>
      </c>
      <c r="AB202" s="3">
        <v>1</v>
      </c>
      <c r="AC202" s="3">
        <v>1</v>
      </c>
      <c r="AD202" s="2" t="s">
        <v>603</v>
      </c>
      <c r="AG202" s="3">
        <f t="shared" si="29"/>
        <v>4</v>
      </c>
      <c r="AH202" s="3">
        <f t="shared" si="30"/>
        <v>4</v>
      </c>
      <c r="AI202" s="3">
        <f t="shared" si="31"/>
        <v>4</v>
      </c>
    </row>
    <row r="203" spans="1:38" x14ac:dyDescent="0.3">
      <c r="A203" s="3">
        <v>3</v>
      </c>
      <c r="B203" s="12" t="s">
        <v>601</v>
      </c>
      <c r="C203" s="33" t="s">
        <v>770</v>
      </c>
      <c r="D203" s="4">
        <f t="shared" si="58"/>
        <v>600</v>
      </c>
      <c r="E203" s="4">
        <f t="shared" si="64"/>
        <v>900</v>
      </c>
      <c r="H203" s="4">
        <f t="shared" si="59"/>
        <v>85</v>
      </c>
      <c r="I203" s="4">
        <f t="shared" si="65"/>
        <v>60</v>
      </c>
      <c r="J203" s="4">
        <f t="shared" si="66"/>
        <v>100</v>
      </c>
      <c r="K203" s="4">
        <f t="shared" si="67"/>
        <v>140</v>
      </c>
      <c r="P203" s="4">
        <v>-25</v>
      </c>
      <c r="Q203" s="10"/>
      <c r="R203" s="14">
        <f t="shared" si="55"/>
        <v>1860</v>
      </c>
      <c r="V203" s="3">
        <v>1</v>
      </c>
      <c r="W203" s="3">
        <v>1</v>
      </c>
      <c r="X203" s="3">
        <v>1</v>
      </c>
      <c r="Y203" s="2" t="s">
        <v>606</v>
      </c>
      <c r="AA203" s="3">
        <v>1</v>
      </c>
      <c r="AB203" s="3">
        <v>1</v>
      </c>
      <c r="AC203" s="3">
        <v>1</v>
      </c>
      <c r="AD203" s="2" t="s">
        <v>606</v>
      </c>
      <c r="AG203" s="3">
        <f t="shared" si="29"/>
        <v>4</v>
      </c>
      <c r="AH203" s="3">
        <f t="shared" si="30"/>
        <v>4</v>
      </c>
      <c r="AI203" s="3">
        <f t="shared" si="31"/>
        <v>4</v>
      </c>
    </row>
    <row r="204" spans="1:38" x14ac:dyDescent="0.3">
      <c r="A204" s="3">
        <v>4</v>
      </c>
      <c r="B204" s="12" t="s">
        <v>601</v>
      </c>
      <c r="C204" s="33" t="s">
        <v>770</v>
      </c>
      <c r="D204" s="4">
        <f t="shared" si="58"/>
        <v>600</v>
      </c>
      <c r="E204" s="4">
        <f t="shared" si="64"/>
        <v>900</v>
      </c>
      <c r="H204" s="4">
        <f t="shared" si="59"/>
        <v>85</v>
      </c>
      <c r="I204" s="4">
        <f t="shared" si="65"/>
        <v>60</v>
      </c>
      <c r="J204" s="4">
        <f t="shared" si="66"/>
        <v>100</v>
      </c>
      <c r="K204" s="4">
        <f t="shared" si="67"/>
        <v>140</v>
      </c>
      <c r="P204" s="4">
        <v>-25</v>
      </c>
      <c r="Q204" s="10"/>
      <c r="R204" s="14">
        <f t="shared" si="55"/>
        <v>1860</v>
      </c>
      <c r="V204" s="3">
        <v>1</v>
      </c>
      <c r="W204" s="3">
        <v>1</v>
      </c>
      <c r="X204" s="3">
        <v>1</v>
      </c>
      <c r="Y204" s="2" t="s">
        <v>608</v>
      </c>
      <c r="AA204" s="3">
        <v>1</v>
      </c>
      <c r="AB204" s="3">
        <v>1</v>
      </c>
      <c r="AC204" s="3">
        <v>1</v>
      </c>
      <c r="AD204" s="2" t="s">
        <v>608</v>
      </c>
      <c r="AG204" s="3">
        <f t="shared" si="29"/>
        <v>4</v>
      </c>
      <c r="AH204" s="3">
        <f t="shared" si="30"/>
        <v>4</v>
      </c>
      <c r="AI204" s="3">
        <f t="shared" si="31"/>
        <v>4</v>
      </c>
    </row>
    <row r="205" spans="1:38" x14ac:dyDescent="0.3">
      <c r="A205" s="3">
        <v>5</v>
      </c>
      <c r="B205" s="12" t="s">
        <v>601</v>
      </c>
      <c r="C205" s="33" t="s">
        <v>771</v>
      </c>
      <c r="D205" s="4">
        <f t="shared" si="58"/>
        <v>600</v>
      </c>
      <c r="E205" s="4">
        <f t="shared" si="64"/>
        <v>900</v>
      </c>
      <c r="H205" s="4">
        <f t="shared" si="59"/>
        <v>85</v>
      </c>
      <c r="I205" s="4">
        <f t="shared" si="65"/>
        <v>60</v>
      </c>
      <c r="J205" s="4">
        <f t="shared" si="66"/>
        <v>100</v>
      </c>
      <c r="K205" s="4">
        <f t="shared" si="67"/>
        <v>140</v>
      </c>
      <c r="P205" s="4">
        <v>-25</v>
      </c>
      <c r="Q205" s="10"/>
      <c r="R205" s="14">
        <f t="shared" si="55"/>
        <v>1860</v>
      </c>
      <c r="V205" s="3">
        <v>0</v>
      </c>
      <c r="W205" s="3">
        <v>0</v>
      </c>
      <c r="X205" s="3">
        <v>1</v>
      </c>
      <c r="Y205" s="2" t="s">
        <v>609</v>
      </c>
      <c r="AA205" s="3"/>
      <c r="AB205" s="3"/>
      <c r="AC205" s="3"/>
      <c r="AD205" s="2" t="s">
        <v>609</v>
      </c>
      <c r="AG205" s="3">
        <f t="shared" si="29"/>
        <v>4</v>
      </c>
      <c r="AH205" s="3">
        <f t="shared" si="30"/>
        <v>4</v>
      </c>
      <c r="AI205" s="3">
        <f t="shared" si="31"/>
        <v>4</v>
      </c>
    </row>
    <row r="206" spans="1:38" x14ac:dyDescent="0.3">
      <c r="A206" s="3">
        <v>6</v>
      </c>
      <c r="B206" s="12" t="s">
        <v>601</v>
      </c>
      <c r="C206" s="33" t="s">
        <v>771</v>
      </c>
      <c r="D206" s="4">
        <f t="shared" si="58"/>
        <v>600</v>
      </c>
      <c r="E206" s="4">
        <f t="shared" si="64"/>
        <v>900</v>
      </c>
      <c r="H206" s="4">
        <f t="shared" si="59"/>
        <v>85</v>
      </c>
      <c r="I206" s="4">
        <f t="shared" si="65"/>
        <v>60</v>
      </c>
      <c r="J206" s="4">
        <f t="shared" si="66"/>
        <v>100</v>
      </c>
      <c r="K206" s="4">
        <f t="shared" si="67"/>
        <v>140</v>
      </c>
      <c r="P206" s="4">
        <v>-25</v>
      </c>
      <c r="Q206" s="10"/>
      <c r="R206" s="14">
        <f t="shared" si="55"/>
        <v>1860</v>
      </c>
      <c r="V206" s="3">
        <v>0</v>
      </c>
      <c r="W206" s="3">
        <v>1</v>
      </c>
      <c r="X206" s="3">
        <v>1</v>
      </c>
      <c r="Y206" s="2" t="s">
        <v>610</v>
      </c>
      <c r="AA206" s="3"/>
      <c r="AB206" s="3"/>
      <c r="AC206" s="3"/>
      <c r="AD206" s="2" t="s">
        <v>610</v>
      </c>
      <c r="AG206" s="3">
        <f t="shared" si="29"/>
        <v>4</v>
      </c>
      <c r="AH206" s="3">
        <f t="shared" si="30"/>
        <v>4</v>
      </c>
      <c r="AI206" s="3">
        <f t="shared" si="31"/>
        <v>4</v>
      </c>
    </row>
    <row r="207" spans="1:38" x14ac:dyDescent="0.3">
      <c r="A207" s="3">
        <v>7</v>
      </c>
      <c r="B207" s="12" t="s">
        <v>601</v>
      </c>
      <c r="C207" s="33" t="s">
        <v>771</v>
      </c>
      <c r="D207" s="4">
        <f t="shared" si="58"/>
        <v>600</v>
      </c>
      <c r="E207" s="4">
        <f t="shared" si="64"/>
        <v>900</v>
      </c>
      <c r="H207" s="4">
        <f t="shared" si="59"/>
        <v>85</v>
      </c>
      <c r="I207" s="4">
        <f t="shared" si="65"/>
        <v>60</v>
      </c>
      <c r="J207" s="4">
        <f t="shared" si="66"/>
        <v>100</v>
      </c>
      <c r="K207" s="4">
        <f t="shared" si="67"/>
        <v>140</v>
      </c>
      <c r="P207" s="4">
        <v>-25</v>
      </c>
      <c r="Q207" s="10"/>
      <c r="R207" s="14">
        <f t="shared" si="55"/>
        <v>1860</v>
      </c>
      <c r="V207" s="3"/>
      <c r="W207" s="3"/>
      <c r="X207" s="3"/>
      <c r="AA207" s="3"/>
      <c r="AB207" s="3"/>
      <c r="AC207" s="3"/>
      <c r="AG207" s="3">
        <f t="shared" ref="AG207:AG271" si="68">I207/$AG$3</f>
        <v>4</v>
      </c>
      <c r="AH207" s="3">
        <f t="shared" ref="AH207:AH271" si="69">J207/$AH$3</f>
        <v>4</v>
      </c>
      <c r="AI207" s="3">
        <f t="shared" ref="AI207:AI271" si="70">K207/$AI$3</f>
        <v>4</v>
      </c>
    </row>
    <row r="208" spans="1:38" x14ac:dyDescent="0.3">
      <c r="A208" s="3">
        <v>8</v>
      </c>
      <c r="B208" s="12" t="s">
        <v>601</v>
      </c>
      <c r="C208" s="33" t="s">
        <v>771</v>
      </c>
      <c r="D208" s="4">
        <f t="shared" si="58"/>
        <v>600</v>
      </c>
      <c r="E208" s="4">
        <f t="shared" si="64"/>
        <v>900</v>
      </c>
      <c r="H208" s="4">
        <f t="shared" si="59"/>
        <v>85</v>
      </c>
      <c r="I208" s="4">
        <f t="shared" si="65"/>
        <v>60</v>
      </c>
      <c r="J208" s="4">
        <f t="shared" si="66"/>
        <v>100</v>
      </c>
      <c r="K208" s="4">
        <f t="shared" si="67"/>
        <v>140</v>
      </c>
      <c r="P208" s="4">
        <v>-25</v>
      </c>
      <c r="Q208" s="10"/>
      <c r="R208" s="14">
        <f t="shared" si="55"/>
        <v>1860</v>
      </c>
      <c r="V208" s="3">
        <v>0</v>
      </c>
      <c r="W208" s="3">
        <v>1</v>
      </c>
      <c r="X208" s="3">
        <v>0</v>
      </c>
      <c r="Y208" s="2" t="s">
        <v>611</v>
      </c>
      <c r="AA208" s="3"/>
      <c r="AB208" s="3"/>
      <c r="AC208" s="3"/>
      <c r="AD208" s="2" t="s">
        <v>611</v>
      </c>
      <c r="AG208" s="3">
        <f t="shared" si="68"/>
        <v>4</v>
      </c>
      <c r="AH208" s="3">
        <f t="shared" si="69"/>
        <v>4</v>
      </c>
      <c r="AI208" s="3">
        <f t="shared" si="70"/>
        <v>4</v>
      </c>
    </row>
    <row r="209" spans="1:39" ht="14.5" thickBot="1" x14ac:dyDescent="0.35">
      <c r="A209" s="3">
        <v>9</v>
      </c>
      <c r="B209" s="12" t="s">
        <v>601</v>
      </c>
      <c r="C209" s="33" t="s">
        <v>771</v>
      </c>
      <c r="D209" s="4">
        <f t="shared" si="58"/>
        <v>600</v>
      </c>
      <c r="E209" s="4">
        <f t="shared" si="64"/>
        <v>900</v>
      </c>
      <c r="H209" s="4">
        <f t="shared" si="59"/>
        <v>85</v>
      </c>
      <c r="I209" s="4">
        <f t="shared" si="65"/>
        <v>60</v>
      </c>
      <c r="J209" s="4">
        <f t="shared" si="66"/>
        <v>100</v>
      </c>
      <c r="K209" s="4">
        <f t="shared" si="67"/>
        <v>140</v>
      </c>
      <c r="P209" s="4">
        <v>-25</v>
      </c>
      <c r="Q209" s="10"/>
      <c r="R209" s="14">
        <f t="shared" si="55"/>
        <v>1860</v>
      </c>
      <c r="V209" s="3">
        <v>1</v>
      </c>
      <c r="W209" s="3">
        <v>1</v>
      </c>
      <c r="X209" s="3">
        <v>1</v>
      </c>
      <c r="Y209" s="2" t="s">
        <v>613</v>
      </c>
      <c r="AA209" s="3"/>
      <c r="AB209" s="3"/>
      <c r="AC209" s="3"/>
      <c r="AD209" s="2" t="s">
        <v>613</v>
      </c>
      <c r="AG209" s="3">
        <f t="shared" si="68"/>
        <v>4</v>
      </c>
      <c r="AH209" s="3">
        <f t="shared" si="69"/>
        <v>4</v>
      </c>
      <c r="AI209" s="3">
        <f t="shared" si="70"/>
        <v>4</v>
      </c>
    </row>
    <row r="210" spans="1:39" ht="16" thickBot="1" x14ac:dyDescent="0.4">
      <c r="A210" s="3">
        <v>10</v>
      </c>
      <c r="B210" s="12" t="s">
        <v>601</v>
      </c>
      <c r="C210" s="33" t="s">
        <v>771</v>
      </c>
      <c r="D210" s="4">
        <f t="shared" si="58"/>
        <v>600</v>
      </c>
      <c r="E210" s="4">
        <f t="shared" si="64"/>
        <v>900</v>
      </c>
      <c r="H210" s="4">
        <f t="shared" si="59"/>
        <v>85</v>
      </c>
      <c r="I210" s="4">
        <f t="shared" si="65"/>
        <v>60</v>
      </c>
      <c r="J210" s="4">
        <f t="shared" si="66"/>
        <v>100</v>
      </c>
      <c r="K210" s="4">
        <f t="shared" si="67"/>
        <v>140</v>
      </c>
      <c r="P210" s="4">
        <v>-25</v>
      </c>
      <c r="Q210" s="10"/>
      <c r="R210" s="14">
        <f t="shared" si="55"/>
        <v>1860</v>
      </c>
      <c r="V210" s="17">
        <f>SUM(V201:V209)</f>
        <v>5</v>
      </c>
      <c r="W210" s="18">
        <f t="shared" ref="W210:X210" si="71">SUM(W201:W209)</f>
        <v>7</v>
      </c>
      <c r="X210" s="19">
        <f t="shared" si="71"/>
        <v>7</v>
      </c>
      <c r="AA210" s="17">
        <f>SUM(AA201:AA209)</f>
        <v>4</v>
      </c>
      <c r="AB210" s="18">
        <f t="shared" ref="AB210:AC210" si="72">SUM(AB201:AB209)</f>
        <v>4</v>
      </c>
      <c r="AC210" s="19">
        <f t="shared" si="72"/>
        <v>4</v>
      </c>
      <c r="AG210" s="3">
        <f t="shared" si="68"/>
        <v>4</v>
      </c>
      <c r="AH210" s="3">
        <f t="shared" si="69"/>
        <v>4</v>
      </c>
      <c r="AI210" s="3">
        <f t="shared" si="70"/>
        <v>4</v>
      </c>
    </row>
    <row r="211" spans="1:39" x14ac:dyDescent="0.3">
      <c r="A211" s="3">
        <v>11</v>
      </c>
      <c r="B211" s="12" t="s">
        <v>601</v>
      </c>
      <c r="C211" s="33" t="s">
        <v>771</v>
      </c>
      <c r="D211" s="4">
        <f t="shared" si="58"/>
        <v>600</v>
      </c>
      <c r="E211" s="4">
        <f t="shared" si="64"/>
        <v>900</v>
      </c>
      <c r="H211" s="4">
        <f t="shared" si="59"/>
        <v>85</v>
      </c>
      <c r="I211" s="4">
        <f t="shared" si="65"/>
        <v>60</v>
      </c>
      <c r="J211" s="4">
        <f t="shared" si="66"/>
        <v>100</v>
      </c>
      <c r="K211" s="4">
        <f t="shared" si="67"/>
        <v>140</v>
      </c>
      <c r="P211" s="4">
        <v>-25</v>
      </c>
      <c r="Q211" s="10"/>
      <c r="R211" s="14">
        <f t="shared" si="55"/>
        <v>1860</v>
      </c>
      <c r="AG211" s="3">
        <f t="shared" si="68"/>
        <v>4</v>
      </c>
      <c r="AH211" s="3">
        <f t="shared" si="69"/>
        <v>4</v>
      </c>
      <c r="AI211" s="3">
        <f t="shared" si="70"/>
        <v>4</v>
      </c>
    </row>
    <row r="212" spans="1:39" ht="14.5" thickBot="1" x14ac:dyDescent="0.35">
      <c r="A212" s="3">
        <v>12</v>
      </c>
      <c r="B212" s="12" t="s">
        <v>601</v>
      </c>
      <c r="C212" s="33" t="s">
        <v>771</v>
      </c>
      <c r="D212" s="4">
        <f t="shared" si="58"/>
        <v>600</v>
      </c>
      <c r="E212" s="4">
        <f t="shared" si="64"/>
        <v>900</v>
      </c>
      <c r="H212" s="4">
        <f t="shared" si="59"/>
        <v>85</v>
      </c>
      <c r="I212" s="4">
        <f t="shared" si="65"/>
        <v>60</v>
      </c>
      <c r="J212" s="4">
        <f t="shared" si="66"/>
        <v>100</v>
      </c>
      <c r="K212" s="4">
        <f t="shared" si="67"/>
        <v>140</v>
      </c>
      <c r="P212" s="4">
        <v>-25</v>
      </c>
      <c r="Q212" s="10"/>
      <c r="R212" s="14">
        <f t="shared" si="55"/>
        <v>1860</v>
      </c>
      <c r="S212" s="2">
        <f>10620/12</f>
        <v>885</v>
      </c>
      <c r="T212" s="14"/>
      <c r="AG212" s="3">
        <f t="shared" si="68"/>
        <v>4</v>
      </c>
      <c r="AH212" s="3">
        <f t="shared" si="69"/>
        <v>4</v>
      </c>
      <c r="AI212" s="3">
        <f t="shared" si="70"/>
        <v>4</v>
      </c>
    </row>
    <row r="213" spans="1:39" ht="16" thickBot="1" x14ac:dyDescent="0.4">
      <c r="A213" s="3">
        <v>1</v>
      </c>
      <c r="C213" s="20" t="s">
        <v>457</v>
      </c>
      <c r="D213" s="4">
        <f t="shared" si="58"/>
        <v>600</v>
      </c>
      <c r="E213" s="4">
        <f t="shared" ref="E213:E224" si="73">($T$6+$P$2)*$E$3</f>
        <v>675</v>
      </c>
      <c r="H213" s="4">
        <f t="shared" si="59"/>
        <v>85</v>
      </c>
      <c r="I213" s="4">
        <f t="shared" ref="I213:I224" si="74">($T$6+$P$2)*$I$3</f>
        <v>45</v>
      </c>
      <c r="J213" s="4">
        <f>($T$6)*$J$3</f>
        <v>50</v>
      </c>
      <c r="K213" s="4">
        <f>($T$6)*$K$3</f>
        <v>70</v>
      </c>
      <c r="P213" s="4">
        <v>-885</v>
      </c>
      <c r="Q213" s="10"/>
      <c r="R213" s="14">
        <f t="shared" si="55"/>
        <v>640</v>
      </c>
      <c r="S213" s="2">
        <f>S212+25</f>
        <v>910</v>
      </c>
      <c r="V213" s="320" t="s">
        <v>772</v>
      </c>
      <c r="W213" s="321"/>
      <c r="X213" s="321"/>
      <c r="Y213" s="322"/>
      <c r="AG213" s="3">
        <f t="shared" si="68"/>
        <v>3</v>
      </c>
      <c r="AH213" s="3">
        <f t="shared" si="69"/>
        <v>2</v>
      </c>
      <c r="AI213" s="3">
        <f t="shared" si="70"/>
        <v>2</v>
      </c>
    </row>
    <row r="214" spans="1:39" x14ac:dyDescent="0.3">
      <c r="A214" s="3">
        <v>2</v>
      </c>
      <c r="C214" s="20" t="s">
        <v>457</v>
      </c>
      <c r="D214" s="4">
        <f t="shared" si="58"/>
        <v>600</v>
      </c>
      <c r="E214" s="4">
        <f t="shared" si="73"/>
        <v>675</v>
      </c>
      <c r="H214" s="4">
        <f t="shared" si="59"/>
        <v>85</v>
      </c>
      <c r="I214" s="4">
        <f t="shared" si="74"/>
        <v>45</v>
      </c>
      <c r="J214" s="4">
        <f t="shared" ref="J214:J224" si="75">($T$6)*$J$3</f>
        <v>50</v>
      </c>
      <c r="K214" s="4">
        <f t="shared" ref="K214:K224" si="76">($T$6)*$K$3</f>
        <v>70</v>
      </c>
      <c r="P214" s="4">
        <v>-885</v>
      </c>
      <c r="Q214" s="10"/>
      <c r="R214" s="14">
        <f t="shared" si="55"/>
        <v>640</v>
      </c>
      <c r="V214" s="3">
        <v>1</v>
      </c>
      <c r="W214" s="3">
        <v>1</v>
      </c>
      <c r="X214" s="3">
        <v>1</v>
      </c>
      <c r="Y214" s="2" t="s">
        <v>613</v>
      </c>
      <c r="AG214" s="3">
        <f t="shared" si="68"/>
        <v>3</v>
      </c>
      <c r="AH214" s="3">
        <f t="shared" si="69"/>
        <v>2</v>
      </c>
      <c r="AI214" s="3">
        <f t="shared" si="70"/>
        <v>2</v>
      </c>
    </row>
    <row r="215" spans="1:39" x14ac:dyDescent="0.3">
      <c r="A215" s="3">
        <v>3</v>
      </c>
      <c r="C215" s="20" t="s">
        <v>457</v>
      </c>
      <c r="D215" s="4">
        <f t="shared" si="58"/>
        <v>600</v>
      </c>
      <c r="E215" s="4">
        <f t="shared" si="73"/>
        <v>675</v>
      </c>
      <c r="H215" s="4">
        <f t="shared" si="59"/>
        <v>85</v>
      </c>
      <c r="I215" s="4">
        <f t="shared" si="74"/>
        <v>45</v>
      </c>
      <c r="J215" s="4">
        <f t="shared" si="75"/>
        <v>50</v>
      </c>
      <c r="K215" s="4">
        <f t="shared" si="76"/>
        <v>70</v>
      </c>
      <c r="P215" s="4">
        <v>-885</v>
      </c>
      <c r="Q215" s="10"/>
      <c r="R215" s="14">
        <f t="shared" si="55"/>
        <v>640</v>
      </c>
      <c r="V215" s="3">
        <v>1</v>
      </c>
      <c r="W215" s="3">
        <v>1</v>
      </c>
      <c r="X215" s="3">
        <v>1</v>
      </c>
      <c r="Y215" s="2" t="s">
        <v>603</v>
      </c>
      <c r="AG215" s="3">
        <f t="shared" si="68"/>
        <v>3</v>
      </c>
      <c r="AH215" s="3">
        <f t="shared" si="69"/>
        <v>2</v>
      </c>
      <c r="AI215" s="3">
        <f t="shared" si="70"/>
        <v>2</v>
      </c>
    </row>
    <row r="216" spans="1:39" x14ac:dyDescent="0.3">
      <c r="A216" s="3">
        <v>4</v>
      </c>
      <c r="C216" s="20" t="s">
        <v>457</v>
      </c>
      <c r="D216" s="4">
        <f t="shared" si="58"/>
        <v>600</v>
      </c>
      <c r="E216" s="4">
        <f t="shared" si="73"/>
        <v>675</v>
      </c>
      <c r="H216" s="4">
        <f t="shared" si="59"/>
        <v>85</v>
      </c>
      <c r="I216" s="4">
        <f t="shared" si="74"/>
        <v>45</v>
      </c>
      <c r="J216" s="4">
        <f t="shared" si="75"/>
        <v>50</v>
      </c>
      <c r="K216" s="4">
        <f t="shared" si="76"/>
        <v>70</v>
      </c>
      <c r="P216" s="4">
        <v>-885</v>
      </c>
      <c r="Q216" s="10"/>
      <c r="R216" s="14">
        <f t="shared" si="55"/>
        <v>640</v>
      </c>
      <c r="V216" s="3">
        <v>1</v>
      </c>
      <c r="W216" s="3">
        <v>1</v>
      </c>
      <c r="X216" s="3">
        <v>1</v>
      </c>
      <c r="Y216" s="2" t="s">
        <v>606</v>
      </c>
      <c r="AG216" s="3">
        <f t="shared" si="68"/>
        <v>3</v>
      </c>
      <c r="AH216" s="3">
        <f t="shared" si="69"/>
        <v>2</v>
      </c>
      <c r="AI216" s="3">
        <f t="shared" si="70"/>
        <v>2</v>
      </c>
    </row>
    <row r="217" spans="1:39" x14ac:dyDescent="0.3">
      <c r="A217" s="3">
        <v>5</v>
      </c>
      <c r="C217" s="20" t="s">
        <v>457</v>
      </c>
      <c r="D217" s="4">
        <f t="shared" si="58"/>
        <v>600</v>
      </c>
      <c r="E217" s="4">
        <f t="shared" si="73"/>
        <v>675</v>
      </c>
      <c r="H217" s="4">
        <f t="shared" si="59"/>
        <v>85</v>
      </c>
      <c r="I217" s="4">
        <f t="shared" si="74"/>
        <v>45</v>
      </c>
      <c r="J217" s="4">
        <f t="shared" si="75"/>
        <v>50</v>
      </c>
      <c r="K217" s="4">
        <f t="shared" si="76"/>
        <v>70</v>
      </c>
      <c r="P217" s="4">
        <v>-885</v>
      </c>
      <c r="Q217" s="10"/>
      <c r="R217" s="14">
        <f t="shared" si="55"/>
        <v>640</v>
      </c>
      <c r="V217" s="3">
        <v>1</v>
      </c>
      <c r="W217" s="3">
        <v>1</v>
      </c>
      <c r="X217" s="3">
        <v>1</v>
      </c>
      <c r="Y217" s="2" t="s">
        <v>608</v>
      </c>
      <c r="AG217" s="3">
        <f t="shared" si="68"/>
        <v>3</v>
      </c>
      <c r="AH217" s="3">
        <f t="shared" si="69"/>
        <v>2</v>
      </c>
      <c r="AI217" s="3">
        <f t="shared" si="70"/>
        <v>2</v>
      </c>
    </row>
    <row r="218" spans="1:39" x14ac:dyDescent="0.3">
      <c r="A218" s="3">
        <v>6</v>
      </c>
      <c r="C218" s="20" t="s">
        <v>457</v>
      </c>
      <c r="D218" s="4">
        <f t="shared" si="58"/>
        <v>600</v>
      </c>
      <c r="E218" s="4">
        <f t="shared" si="73"/>
        <v>675</v>
      </c>
      <c r="H218" s="4">
        <f t="shared" si="59"/>
        <v>85</v>
      </c>
      <c r="I218" s="4">
        <f t="shared" si="74"/>
        <v>45</v>
      </c>
      <c r="J218" s="4">
        <f t="shared" si="75"/>
        <v>50</v>
      </c>
      <c r="K218" s="4">
        <f t="shared" si="76"/>
        <v>70</v>
      </c>
      <c r="P218" s="4">
        <v>-885</v>
      </c>
      <c r="Q218" s="10"/>
      <c r="R218" s="14">
        <f t="shared" si="55"/>
        <v>640</v>
      </c>
      <c r="V218" s="3">
        <v>0</v>
      </c>
      <c r="W218" s="3">
        <v>0</v>
      </c>
      <c r="X218" s="3">
        <v>1</v>
      </c>
      <c r="Y218" s="2" t="s">
        <v>609</v>
      </c>
      <c r="AG218" s="3">
        <f t="shared" si="68"/>
        <v>3</v>
      </c>
      <c r="AH218" s="3">
        <f t="shared" si="69"/>
        <v>2</v>
      </c>
      <c r="AI218" s="3">
        <f t="shared" si="70"/>
        <v>2</v>
      </c>
    </row>
    <row r="219" spans="1:39" x14ac:dyDescent="0.3">
      <c r="A219" s="3">
        <v>7</v>
      </c>
      <c r="C219" s="20" t="s">
        <v>457</v>
      </c>
      <c r="D219" s="4">
        <f t="shared" si="58"/>
        <v>600</v>
      </c>
      <c r="E219" s="4">
        <f t="shared" si="73"/>
        <v>675</v>
      </c>
      <c r="H219" s="4">
        <f t="shared" si="59"/>
        <v>85</v>
      </c>
      <c r="I219" s="4">
        <f t="shared" si="74"/>
        <v>45</v>
      </c>
      <c r="J219" s="4">
        <f t="shared" si="75"/>
        <v>50</v>
      </c>
      <c r="K219" s="4">
        <f t="shared" si="76"/>
        <v>70</v>
      </c>
      <c r="P219" s="4">
        <v>-885</v>
      </c>
      <c r="Q219" s="10"/>
      <c r="R219" s="14">
        <f t="shared" si="55"/>
        <v>640</v>
      </c>
      <c r="V219" s="3"/>
      <c r="W219" s="3"/>
      <c r="X219" s="3"/>
      <c r="AG219" s="3">
        <f t="shared" si="68"/>
        <v>3</v>
      </c>
      <c r="AH219" s="3">
        <f t="shared" si="69"/>
        <v>2</v>
      </c>
      <c r="AI219" s="3">
        <f t="shared" si="70"/>
        <v>2</v>
      </c>
    </row>
    <row r="220" spans="1:39" x14ac:dyDescent="0.3">
      <c r="A220" s="3">
        <v>8</v>
      </c>
      <c r="C220" s="20" t="s">
        <v>457</v>
      </c>
      <c r="D220" s="4">
        <f t="shared" si="58"/>
        <v>600</v>
      </c>
      <c r="E220" s="4">
        <f t="shared" si="73"/>
        <v>675</v>
      </c>
      <c r="H220" s="4">
        <f t="shared" si="59"/>
        <v>85</v>
      </c>
      <c r="I220" s="4">
        <f t="shared" si="74"/>
        <v>45</v>
      </c>
      <c r="J220" s="4">
        <f t="shared" si="75"/>
        <v>50</v>
      </c>
      <c r="K220" s="4">
        <f t="shared" si="76"/>
        <v>70</v>
      </c>
      <c r="P220" s="4">
        <v>-885</v>
      </c>
      <c r="Q220" s="10"/>
      <c r="R220" s="14">
        <f t="shared" si="55"/>
        <v>640</v>
      </c>
      <c r="V220" s="3">
        <v>0</v>
      </c>
      <c r="W220" s="3">
        <v>1</v>
      </c>
      <c r="X220" s="3">
        <v>1</v>
      </c>
      <c r="Y220" s="2" t="s">
        <v>610</v>
      </c>
      <c r="AG220" s="3">
        <f t="shared" si="68"/>
        <v>3</v>
      </c>
      <c r="AH220" s="3">
        <f t="shared" si="69"/>
        <v>2</v>
      </c>
      <c r="AI220" s="3">
        <f t="shared" si="70"/>
        <v>2</v>
      </c>
    </row>
    <row r="221" spans="1:39" x14ac:dyDescent="0.3">
      <c r="A221" s="3">
        <v>9</v>
      </c>
      <c r="C221" s="20" t="s">
        <v>457</v>
      </c>
      <c r="D221" s="4">
        <f t="shared" si="58"/>
        <v>600</v>
      </c>
      <c r="E221" s="4">
        <f t="shared" si="73"/>
        <v>675</v>
      </c>
      <c r="H221" s="4">
        <f t="shared" si="59"/>
        <v>85</v>
      </c>
      <c r="I221" s="4">
        <f t="shared" si="74"/>
        <v>45</v>
      </c>
      <c r="J221" s="4">
        <f t="shared" si="75"/>
        <v>50</v>
      </c>
      <c r="K221" s="4">
        <f t="shared" si="76"/>
        <v>70</v>
      </c>
      <c r="P221" s="4">
        <v>-885</v>
      </c>
      <c r="Q221" s="10"/>
      <c r="R221" s="14">
        <f t="shared" si="55"/>
        <v>640</v>
      </c>
      <c r="V221" s="3">
        <v>0</v>
      </c>
      <c r="W221" s="3">
        <v>1</v>
      </c>
      <c r="X221" s="3">
        <v>0</v>
      </c>
      <c r="Y221" s="2" t="s">
        <v>611</v>
      </c>
      <c r="AG221" s="3">
        <f t="shared" si="68"/>
        <v>3</v>
      </c>
      <c r="AH221" s="3">
        <f t="shared" si="69"/>
        <v>2</v>
      </c>
      <c r="AI221" s="3">
        <f t="shared" si="70"/>
        <v>2</v>
      </c>
    </row>
    <row r="222" spans="1:39" ht="14.5" thickBot="1" x14ac:dyDescent="0.35">
      <c r="A222" s="3">
        <v>10</v>
      </c>
      <c r="C222" s="20" t="s">
        <v>457</v>
      </c>
      <c r="D222" s="4">
        <f t="shared" si="58"/>
        <v>600</v>
      </c>
      <c r="E222" s="4">
        <f t="shared" si="73"/>
        <v>675</v>
      </c>
      <c r="H222" s="4">
        <f t="shared" si="59"/>
        <v>85</v>
      </c>
      <c r="I222" s="4">
        <f t="shared" si="74"/>
        <v>45</v>
      </c>
      <c r="J222" s="4">
        <f t="shared" si="75"/>
        <v>50</v>
      </c>
      <c r="K222" s="4">
        <f t="shared" si="76"/>
        <v>70</v>
      </c>
      <c r="P222" s="4">
        <v>-885</v>
      </c>
      <c r="Q222" s="10"/>
      <c r="R222" s="14">
        <f t="shared" si="55"/>
        <v>640</v>
      </c>
      <c r="V222" s="3">
        <v>1</v>
      </c>
      <c r="W222" s="3">
        <v>1</v>
      </c>
      <c r="X222" s="3">
        <v>1</v>
      </c>
      <c r="Y222" s="2" t="s">
        <v>613</v>
      </c>
      <c r="AG222" s="3">
        <f t="shared" si="68"/>
        <v>3</v>
      </c>
      <c r="AH222" s="3">
        <f t="shared" si="69"/>
        <v>2</v>
      </c>
      <c r="AI222" s="3">
        <f t="shared" si="70"/>
        <v>2</v>
      </c>
    </row>
    <row r="223" spans="1:39" ht="16" thickBot="1" x14ac:dyDescent="0.4">
      <c r="A223" s="3">
        <v>11</v>
      </c>
      <c r="C223" s="20" t="s">
        <v>457</v>
      </c>
      <c r="D223" s="4">
        <f t="shared" si="58"/>
        <v>600</v>
      </c>
      <c r="E223" s="4">
        <f t="shared" si="73"/>
        <v>675</v>
      </c>
      <c r="H223" s="4">
        <f t="shared" si="59"/>
        <v>85</v>
      </c>
      <c r="I223" s="4">
        <f t="shared" si="74"/>
        <v>45</v>
      </c>
      <c r="J223" s="4">
        <f t="shared" si="75"/>
        <v>50</v>
      </c>
      <c r="K223" s="4">
        <f t="shared" si="76"/>
        <v>70</v>
      </c>
      <c r="P223" s="4">
        <v>-885</v>
      </c>
      <c r="Q223" s="10"/>
      <c r="R223" s="14">
        <f t="shared" si="55"/>
        <v>640</v>
      </c>
      <c r="U223" s="32"/>
      <c r="V223" s="17">
        <f>SUM(V214:V222)</f>
        <v>5</v>
      </c>
      <c r="W223" s="18">
        <f t="shared" ref="W223:X223" si="77">SUM(W214:W222)</f>
        <v>7</v>
      </c>
      <c r="X223" s="19">
        <f t="shared" si="77"/>
        <v>7</v>
      </c>
      <c r="AG223" s="3">
        <f t="shared" si="68"/>
        <v>3</v>
      </c>
      <c r="AH223" s="3">
        <f t="shared" si="69"/>
        <v>2</v>
      </c>
      <c r="AI223" s="3">
        <f t="shared" si="70"/>
        <v>2</v>
      </c>
    </row>
    <row r="224" spans="1:39" ht="16" thickBot="1" x14ac:dyDescent="0.4">
      <c r="A224" s="3">
        <v>12</v>
      </c>
      <c r="C224" s="20" t="s">
        <v>457</v>
      </c>
      <c r="D224" s="4">
        <f t="shared" si="58"/>
        <v>600</v>
      </c>
      <c r="E224" s="4">
        <f t="shared" si="73"/>
        <v>675</v>
      </c>
      <c r="H224" s="4">
        <f t="shared" si="59"/>
        <v>85</v>
      </c>
      <c r="I224" s="4">
        <f t="shared" si="74"/>
        <v>45</v>
      </c>
      <c r="J224" s="4">
        <f t="shared" si="75"/>
        <v>50</v>
      </c>
      <c r="K224" s="4">
        <f t="shared" si="76"/>
        <v>70</v>
      </c>
      <c r="P224" s="4">
        <v>-885</v>
      </c>
      <c r="Q224" s="10"/>
      <c r="R224" s="14">
        <f t="shared" si="55"/>
        <v>640</v>
      </c>
      <c r="S224" s="14"/>
      <c r="T224" s="21">
        <f>SUM(R201:R224)</f>
        <v>30000</v>
      </c>
      <c r="U224" s="14"/>
      <c r="AG224" s="3">
        <f t="shared" si="68"/>
        <v>3</v>
      </c>
      <c r="AH224" s="3">
        <f t="shared" si="69"/>
        <v>2</v>
      </c>
      <c r="AI224" s="3">
        <f t="shared" si="70"/>
        <v>2</v>
      </c>
      <c r="AM224" s="14"/>
    </row>
    <row r="225" spans="2:38" ht="14.5" thickBot="1" x14ac:dyDescent="0.35">
      <c r="B225" s="12" t="s">
        <v>601</v>
      </c>
      <c r="C225" s="20" t="s">
        <v>773</v>
      </c>
      <c r="D225" s="4">
        <f t="shared" si="58"/>
        <v>600</v>
      </c>
      <c r="E225" s="4">
        <f t="shared" ref="E225:E226" si="78">($T$5+$P$2)*$H$2</f>
        <v>600</v>
      </c>
      <c r="H225" s="4">
        <f t="shared" si="59"/>
        <v>85</v>
      </c>
      <c r="I225" s="4">
        <f>($T$24+$P$2)*$I$3</f>
        <v>45</v>
      </c>
      <c r="J225" s="4">
        <f t="shared" ref="J225:J226" si="79">($T$7)*$J$3</f>
        <v>75</v>
      </c>
      <c r="K225" s="4">
        <f t="shared" ref="K225:K226" si="80">($T$7)*$K$3</f>
        <v>105</v>
      </c>
      <c r="P225" s="4">
        <f>$L$3+265</f>
        <v>340</v>
      </c>
      <c r="Q225" s="10"/>
      <c r="R225" s="14">
        <f t="shared" si="55"/>
        <v>1850</v>
      </c>
      <c r="T225" s="14"/>
      <c r="AG225" s="3">
        <f t="shared" si="68"/>
        <v>3</v>
      </c>
      <c r="AH225" s="3">
        <f t="shared" si="69"/>
        <v>3</v>
      </c>
      <c r="AI225" s="3">
        <f t="shared" si="70"/>
        <v>3</v>
      </c>
      <c r="AL225" s="14"/>
    </row>
    <row r="226" spans="2:38" ht="16" thickBot="1" x14ac:dyDescent="0.4">
      <c r="B226" s="12" t="s">
        <v>601</v>
      </c>
      <c r="C226" s="20" t="str">
        <f>C225</f>
        <v>6695 · Young Professional- Conference</v>
      </c>
      <c r="D226" s="4">
        <f t="shared" si="58"/>
        <v>600</v>
      </c>
      <c r="E226" s="4">
        <f t="shared" si="78"/>
        <v>600</v>
      </c>
      <c r="H226" s="4">
        <f t="shared" si="59"/>
        <v>85</v>
      </c>
      <c r="I226" s="4">
        <f>($T$24+$P$2)*$I$3</f>
        <v>45</v>
      </c>
      <c r="J226" s="4">
        <f t="shared" si="79"/>
        <v>75</v>
      </c>
      <c r="K226" s="4">
        <f t="shared" si="80"/>
        <v>105</v>
      </c>
      <c r="P226" s="4">
        <f>$L$3+265</f>
        <v>340</v>
      </c>
      <c r="Q226" s="10"/>
      <c r="R226" s="14">
        <f t="shared" si="55"/>
        <v>1850</v>
      </c>
      <c r="T226" s="21">
        <f>SUM(R225:R226)</f>
        <v>3700</v>
      </c>
      <c r="AG226" s="3">
        <f t="shared" si="68"/>
        <v>3</v>
      </c>
      <c r="AH226" s="3">
        <f t="shared" si="69"/>
        <v>3</v>
      </c>
      <c r="AI226" s="3">
        <f t="shared" si="70"/>
        <v>3</v>
      </c>
    </row>
    <row r="227" spans="2:38" ht="16" thickBot="1" x14ac:dyDescent="0.4">
      <c r="C227" s="30" t="s">
        <v>461</v>
      </c>
      <c r="Q227" s="10"/>
      <c r="S227" s="22">
        <f>SUM(T164:T226)</f>
        <v>123150</v>
      </c>
      <c r="AG227" s="3">
        <f t="shared" si="68"/>
        <v>0</v>
      </c>
      <c r="AH227" s="3">
        <f t="shared" si="69"/>
        <v>0</v>
      </c>
      <c r="AI227" s="3">
        <f t="shared" si="70"/>
        <v>0</v>
      </c>
    </row>
    <row r="228" spans="2:38" ht="16" thickBot="1" x14ac:dyDescent="0.4">
      <c r="C228" s="20" t="s">
        <v>462</v>
      </c>
      <c r="D228" s="4">
        <f t="shared" si="58"/>
        <v>600</v>
      </c>
      <c r="E228" s="4">
        <f>($T$25+$P$2)*$E$3</f>
        <v>450</v>
      </c>
      <c r="H228" s="4">
        <f t="shared" si="59"/>
        <v>85</v>
      </c>
      <c r="I228" s="4">
        <f>($T$28+$P$2)*$I$3</f>
        <v>45</v>
      </c>
      <c r="J228" s="4">
        <f>($T$28)*$J$3</f>
        <v>50</v>
      </c>
      <c r="K228" s="4">
        <f>($T$28)*$K$3</f>
        <v>70</v>
      </c>
      <c r="Q228" s="10"/>
      <c r="R228" s="14">
        <f t="shared" si="55"/>
        <v>1300</v>
      </c>
      <c r="T228" s="21">
        <f>R228</f>
        <v>1300</v>
      </c>
      <c r="AG228" s="3">
        <f t="shared" si="68"/>
        <v>3</v>
      </c>
      <c r="AH228" s="3">
        <f t="shared" si="69"/>
        <v>2</v>
      </c>
      <c r="AI228" s="3">
        <f t="shared" si="70"/>
        <v>2</v>
      </c>
    </row>
    <row r="229" spans="2:38" x14ac:dyDescent="0.3">
      <c r="C229" s="20" t="s">
        <v>463</v>
      </c>
      <c r="D229" s="4">
        <f t="shared" si="58"/>
        <v>600</v>
      </c>
      <c r="E229" s="4">
        <f>($T$25+$P$2)*$E$3</f>
        <v>450</v>
      </c>
      <c r="H229" s="4">
        <f t="shared" si="59"/>
        <v>85</v>
      </c>
      <c r="I229" s="4">
        <f>($T$28+$P$2)*$I$3</f>
        <v>45</v>
      </c>
      <c r="J229" s="4">
        <f>($T$28)*$J$3</f>
        <v>50</v>
      </c>
      <c r="K229" s="4">
        <f>($T$28)*$K$3</f>
        <v>70</v>
      </c>
      <c r="Q229" s="10"/>
      <c r="R229" s="14">
        <f t="shared" si="55"/>
        <v>1300</v>
      </c>
      <c r="AG229" s="3">
        <f t="shared" si="68"/>
        <v>3</v>
      </c>
      <c r="AH229" s="3">
        <f t="shared" si="69"/>
        <v>2</v>
      </c>
      <c r="AI229" s="3">
        <f t="shared" si="70"/>
        <v>2</v>
      </c>
    </row>
    <row r="230" spans="2:38" x14ac:dyDescent="0.3">
      <c r="C230" s="20" t="s">
        <v>774</v>
      </c>
      <c r="D230" s="4">
        <f t="shared" si="58"/>
        <v>600</v>
      </c>
      <c r="E230" s="4">
        <f>($T$25+$P$2)*$E$3</f>
        <v>450</v>
      </c>
      <c r="H230" s="4">
        <f t="shared" si="59"/>
        <v>85</v>
      </c>
      <c r="I230" s="4">
        <f>($T$28+$P$2)*$I$3</f>
        <v>45</v>
      </c>
      <c r="J230" s="4">
        <f>($T$28)*$J$3</f>
        <v>50</v>
      </c>
      <c r="K230" s="4">
        <f>($T$28)*$K$3</f>
        <v>70</v>
      </c>
      <c r="P230" s="4">
        <v>5000</v>
      </c>
      <c r="Q230" s="10"/>
      <c r="R230" s="14">
        <f t="shared" si="55"/>
        <v>6300</v>
      </c>
      <c r="AG230" s="3">
        <f t="shared" si="68"/>
        <v>3</v>
      </c>
      <c r="AH230" s="3">
        <f t="shared" si="69"/>
        <v>2</v>
      </c>
      <c r="AI230" s="3">
        <f t="shared" si="70"/>
        <v>2</v>
      </c>
    </row>
    <row r="231" spans="2:38" x14ac:dyDescent="0.3">
      <c r="C231" s="20" t="s">
        <v>774</v>
      </c>
      <c r="D231" s="4">
        <f t="shared" si="58"/>
        <v>600</v>
      </c>
      <c r="E231" s="4">
        <f>($T$25+$P$2)*$E$3</f>
        <v>450</v>
      </c>
      <c r="H231" s="4">
        <f t="shared" si="59"/>
        <v>85</v>
      </c>
      <c r="I231" s="4">
        <f>($T$28+$P$2)*$I$3</f>
        <v>45</v>
      </c>
      <c r="J231" s="4">
        <f>($T$28)*$J$3</f>
        <v>50</v>
      </c>
      <c r="K231" s="4">
        <f>($T$28)*$K$3</f>
        <v>70</v>
      </c>
      <c r="Q231" s="10"/>
      <c r="R231" s="14">
        <f t="shared" si="55"/>
        <v>1300</v>
      </c>
      <c r="AG231" s="3">
        <f t="shared" si="68"/>
        <v>3</v>
      </c>
      <c r="AH231" s="3">
        <f t="shared" si="69"/>
        <v>2</v>
      </c>
      <c r="AI231" s="3">
        <f t="shared" si="70"/>
        <v>2</v>
      </c>
    </row>
    <row r="232" spans="2:38" ht="14.5" thickBot="1" x14ac:dyDescent="0.35">
      <c r="C232" s="20" t="s">
        <v>965</v>
      </c>
      <c r="P232" s="4">
        <v>6000</v>
      </c>
      <c r="Q232" s="10"/>
      <c r="R232" s="14">
        <f t="shared" si="55"/>
        <v>6000</v>
      </c>
      <c r="AG232" s="3"/>
      <c r="AH232" s="3"/>
      <c r="AI232" s="3"/>
    </row>
    <row r="233" spans="2:38" ht="16" thickBot="1" x14ac:dyDescent="0.4">
      <c r="C233" s="20" t="s">
        <v>463</v>
      </c>
      <c r="D233" s="4">
        <f t="shared" si="58"/>
        <v>600</v>
      </c>
      <c r="E233" s="4">
        <f>($T$25+$P$2)*$E$3</f>
        <v>450</v>
      </c>
      <c r="H233" s="4">
        <f t="shared" si="59"/>
        <v>85</v>
      </c>
      <c r="I233" s="4">
        <f>($T$28+$P$2)*$I$3</f>
        <v>45</v>
      </c>
      <c r="J233" s="4">
        <f>($T$28)*$J$3</f>
        <v>50</v>
      </c>
      <c r="K233" s="4">
        <f>($T$28)*$K$3</f>
        <v>70</v>
      </c>
      <c r="L233" s="4">
        <v>1800</v>
      </c>
      <c r="Q233" s="10"/>
      <c r="R233" s="14">
        <f t="shared" si="55"/>
        <v>3100</v>
      </c>
      <c r="T233" s="21">
        <f>SUM(R229:R233)</f>
        <v>18000</v>
      </c>
      <c r="AG233" s="3">
        <f t="shared" si="68"/>
        <v>3</v>
      </c>
      <c r="AH233" s="3">
        <f t="shared" si="69"/>
        <v>2</v>
      </c>
      <c r="AI233" s="3">
        <f t="shared" si="70"/>
        <v>2</v>
      </c>
    </row>
    <row r="234" spans="2:38" x14ac:dyDescent="0.3">
      <c r="C234" s="20" t="s">
        <v>775</v>
      </c>
      <c r="Q234" s="10"/>
      <c r="R234" s="14">
        <f t="shared" si="55"/>
        <v>0</v>
      </c>
      <c r="AG234" s="3">
        <f t="shared" si="68"/>
        <v>0</v>
      </c>
      <c r="AH234" s="3">
        <f t="shared" si="69"/>
        <v>0</v>
      </c>
      <c r="AI234" s="3">
        <f t="shared" si="70"/>
        <v>0</v>
      </c>
    </row>
    <row r="235" spans="2:38" x14ac:dyDescent="0.3">
      <c r="C235" s="20" t="s">
        <v>776</v>
      </c>
      <c r="Q235" s="10"/>
      <c r="R235" s="14">
        <f t="shared" si="55"/>
        <v>0</v>
      </c>
      <c r="AG235" s="3">
        <f t="shared" si="68"/>
        <v>0</v>
      </c>
      <c r="AH235" s="3">
        <f t="shared" si="69"/>
        <v>0</v>
      </c>
      <c r="AI235" s="3">
        <f t="shared" si="70"/>
        <v>0</v>
      </c>
    </row>
    <row r="236" spans="2:38" ht="14.5" thickBot="1" x14ac:dyDescent="0.35">
      <c r="C236" s="20" t="s">
        <v>464</v>
      </c>
      <c r="Q236" s="10"/>
      <c r="R236" s="14">
        <f t="shared" si="55"/>
        <v>0</v>
      </c>
      <c r="AG236" s="3">
        <f t="shared" si="68"/>
        <v>0</v>
      </c>
      <c r="AH236" s="3">
        <f t="shared" si="69"/>
        <v>0</v>
      </c>
      <c r="AI236" s="3">
        <f t="shared" si="70"/>
        <v>0</v>
      </c>
    </row>
    <row r="237" spans="2:38" ht="16" thickBot="1" x14ac:dyDescent="0.4">
      <c r="C237" s="20" t="s">
        <v>464</v>
      </c>
      <c r="Q237" s="10"/>
      <c r="R237" s="14">
        <f t="shared" si="55"/>
        <v>0</v>
      </c>
      <c r="T237" s="21">
        <f>SUM(R236:R237)</f>
        <v>0</v>
      </c>
      <c r="AG237" s="3">
        <f t="shared" si="68"/>
        <v>0</v>
      </c>
      <c r="AH237" s="3">
        <f t="shared" si="69"/>
        <v>0</v>
      </c>
      <c r="AI237" s="3">
        <f t="shared" si="70"/>
        <v>0</v>
      </c>
    </row>
    <row r="238" spans="2:38" x14ac:dyDescent="0.3">
      <c r="C238" s="20" t="s">
        <v>777</v>
      </c>
      <c r="Q238" s="10"/>
      <c r="R238" s="14">
        <f t="shared" si="55"/>
        <v>0</v>
      </c>
      <c r="AG238" s="3">
        <f t="shared" si="68"/>
        <v>0</v>
      </c>
      <c r="AH238" s="3">
        <f t="shared" si="69"/>
        <v>0</v>
      </c>
      <c r="AI238" s="3">
        <f t="shared" si="70"/>
        <v>0</v>
      </c>
    </row>
    <row r="239" spans="2:38" x14ac:dyDescent="0.3">
      <c r="C239" s="20" t="s">
        <v>778</v>
      </c>
      <c r="Q239" s="10"/>
      <c r="R239" s="14">
        <f t="shared" si="55"/>
        <v>0</v>
      </c>
      <c r="AG239" s="3">
        <f t="shared" si="68"/>
        <v>0</v>
      </c>
      <c r="AH239" s="3">
        <f t="shared" si="69"/>
        <v>0</v>
      </c>
      <c r="AI239" s="3">
        <f t="shared" si="70"/>
        <v>0</v>
      </c>
    </row>
    <row r="240" spans="2:38" ht="14.5" thickBot="1" x14ac:dyDescent="0.35">
      <c r="C240" s="20" t="s">
        <v>779</v>
      </c>
      <c r="Q240" s="10"/>
      <c r="R240" s="14">
        <f t="shared" si="55"/>
        <v>0</v>
      </c>
      <c r="AG240" s="3">
        <f t="shared" si="68"/>
        <v>0</v>
      </c>
      <c r="AH240" s="3">
        <f t="shared" si="69"/>
        <v>0</v>
      </c>
      <c r="AI240" s="3">
        <f t="shared" si="70"/>
        <v>0</v>
      </c>
    </row>
    <row r="241" spans="1:38" ht="16" thickBot="1" x14ac:dyDescent="0.4">
      <c r="C241" s="30" t="s">
        <v>466</v>
      </c>
      <c r="Q241" s="10"/>
      <c r="S241" s="22">
        <f>SUM(T228:T240)</f>
        <v>19300</v>
      </c>
      <c r="AG241" s="3">
        <f t="shared" si="68"/>
        <v>0</v>
      </c>
      <c r="AH241" s="3">
        <f t="shared" si="69"/>
        <v>0</v>
      </c>
      <c r="AI241" s="3">
        <f t="shared" si="70"/>
        <v>0</v>
      </c>
    </row>
    <row r="242" spans="1:38" x14ac:dyDescent="0.3">
      <c r="A242" s="25">
        <v>1</v>
      </c>
      <c r="B242" s="25" t="s">
        <v>780</v>
      </c>
      <c r="C242" s="26" t="s">
        <v>781</v>
      </c>
      <c r="D242" s="4">
        <f>$D$2</f>
        <v>600</v>
      </c>
      <c r="E242" s="4">
        <f>($T$5+$L$2)*$H$2</f>
        <v>900</v>
      </c>
      <c r="H242" s="4">
        <f t="shared" ref="H242:H289" si="81">$H$3</f>
        <v>85</v>
      </c>
      <c r="I242" s="4">
        <f t="shared" ref="I242:I262" si="82">($T$5+$P$2)*$I$3</f>
        <v>30</v>
      </c>
      <c r="J242" s="4">
        <f t="shared" ref="J242:J289" si="83">($T$5)*$J$3</f>
        <v>25</v>
      </c>
      <c r="K242" s="4">
        <f t="shared" ref="K242:K289" si="84">($T$5)*$K$3</f>
        <v>35</v>
      </c>
      <c r="P242" s="4">
        <v>1446.43</v>
      </c>
      <c r="Q242" s="10"/>
      <c r="R242" s="14">
        <f t="shared" ref="R242:R279" si="85">SUM(D242:Q242)</f>
        <v>3121.4300000000003</v>
      </c>
      <c r="AG242" s="3">
        <f t="shared" si="68"/>
        <v>2</v>
      </c>
      <c r="AH242" s="3">
        <f t="shared" si="69"/>
        <v>1</v>
      </c>
      <c r="AI242" s="3">
        <f t="shared" si="70"/>
        <v>1</v>
      </c>
    </row>
    <row r="243" spans="1:38" x14ac:dyDescent="0.3">
      <c r="A243" s="25">
        <v>2</v>
      </c>
      <c r="B243" s="25" t="s">
        <v>780</v>
      </c>
      <c r="C243" s="26" t="s">
        <v>782</v>
      </c>
      <c r="D243" s="4">
        <f t="shared" ref="D243:D262" si="86">$D$2</f>
        <v>600</v>
      </c>
      <c r="E243" s="4">
        <f t="shared" ref="E243:E248" si="87">($T$5+$L$2)*$H$2</f>
        <v>900</v>
      </c>
      <c r="H243" s="4">
        <f t="shared" si="81"/>
        <v>85</v>
      </c>
      <c r="I243" s="4">
        <f t="shared" si="82"/>
        <v>30</v>
      </c>
      <c r="J243" s="4">
        <f t="shared" si="83"/>
        <v>25</v>
      </c>
      <c r="K243" s="4">
        <f t="shared" si="84"/>
        <v>35</v>
      </c>
      <c r="P243" s="4">
        <v>1446.43</v>
      </c>
      <c r="Q243" s="10"/>
      <c r="R243" s="14">
        <f t="shared" si="85"/>
        <v>3121.4300000000003</v>
      </c>
      <c r="AG243" s="3">
        <f t="shared" si="68"/>
        <v>2</v>
      </c>
      <c r="AH243" s="3">
        <f t="shared" si="69"/>
        <v>1</v>
      </c>
      <c r="AI243" s="3">
        <f t="shared" si="70"/>
        <v>1</v>
      </c>
    </row>
    <row r="244" spans="1:38" x14ac:dyDescent="0.3">
      <c r="A244" s="25">
        <v>3</v>
      </c>
      <c r="B244" s="25" t="s">
        <v>780</v>
      </c>
      <c r="C244" s="26" t="s">
        <v>783</v>
      </c>
      <c r="D244" s="4">
        <f t="shared" si="86"/>
        <v>600</v>
      </c>
      <c r="E244" s="4">
        <f t="shared" si="87"/>
        <v>900</v>
      </c>
      <c r="H244" s="4">
        <f t="shared" si="81"/>
        <v>85</v>
      </c>
      <c r="I244" s="4">
        <f t="shared" si="82"/>
        <v>30</v>
      </c>
      <c r="J244" s="4">
        <f t="shared" si="83"/>
        <v>25</v>
      </c>
      <c r="K244" s="4">
        <f t="shared" si="84"/>
        <v>35</v>
      </c>
      <c r="P244" s="4">
        <v>1446.43</v>
      </c>
      <c r="Q244" s="10"/>
      <c r="R244" s="14">
        <f t="shared" si="85"/>
        <v>3121.4300000000003</v>
      </c>
      <c r="AG244" s="3">
        <f t="shared" si="68"/>
        <v>2</v>
      </c>
      <c r="AH244" s="3">
        <f t="shared" si="69"/>
        <v>1</v>
      </c>
      <c r="AI244" s="3">
        <f t="shared" si="70"/>
        <v>1</v>
      </c>
    </row>
    <row r="245" spans="1:38" x14ac:dyDescent="0.3">
      <c r="A245" s="25">
        <v>4</v>
      </c>
      <c r="B245" s="25" t="s">
        <v>780</v>
      </c>
      <c r="C245" s="26" t="s">
        <v>784</v>
      </c>
      <c r="D245" s="4">
        <f t="shared" si="86"/>
        <v>600</v>
      </c>
      <c r="E245" s="4">
        <f t="shared" si="87"/>
        <v>900</v>
      </c>
      <c r="H245" s="4">
        <f t="shared" si="81"/>
        <v>85</v>
      </c>
      <c r="I245" s="4">
        <f t="shared" si="82"/>
        <v>30</v>
      </c>
      <c r="J245" s="4">
        <f t="shared" si="83"/>
        <v>25</v>
      </c>
      <c r="K245" s="4">
        <f t="shared" si="84"/>
        <v>35</v>
      </c>
      <c r="P245" s="4">
        <v>1446.43</v>
      </c>
      <c r="Q245" s="10"/>
      <c r="R245" s="14">
        <f t="shared" si="85"/>
        <v>3121.4300000000003</v>
      </c>
      <c r="AG245" s="3">
        <f t="shared" si="68"/>
        <v>2</v>
      </c>
      <c r="AH245" s="3">
        <f t="shared" si="69"/>
        <v>1</v>
      </c>
      <c r="AI245" s="3">
        <f t="shared" si="70"/>
        <v>1</v>
      </c>
    </row>
    <row r="246" spans="1:38" x14ac:dyDescent="0.3">
      <c r="A246" s="25">
        <v>5</v>
      </c>
      <c r="B246" s="25" t="s">
        <v>780</v>
      </c>
      <c r="C246" s="26" t="s">
        <v>785</v>
      </c>
      <c r="D246" s="4">
        <f t="shared" si="86"/>
        <v>600</v>
      </c>
      <c r="E246" s="4">
        <f t="shared" si="87"/>
        <v>900</v>
      </c>
      <c r="H246" s="4">
        <f t="shared" si="81"/>
        <v>85</v>
      </c>
      <c r="I246" s="4">
        <f t="shared" si="82"/>
        <v>30</v>
      </c>
      <c r="J246" s="4">
        <f t="shared" si="83"/>
        <v>25</v>
      </c>
      <c r="K246" s="4">
        <f t="shared" si="84"/>
        <v>35</v>
      </c>
      <c r="P246" s="4">
        <v>1446.43</v>
      </c>
      <c r="Q246" s="10"/>
      <c r="R246" s="14">
        <f t="shared" si="85"/>
        <v>3121.4300000000003</v>
      </c>
      <c r="AG246" s="3">
        <f t="shared" si="68"/>
        <v>2</v>
      </c>
      <c r="AH246" s="3">
        <f t="shared" si="69"/>
        <v>1</v>
      </c>
      <c r="AI246" s="3">
        <f t="shared" si="70"/>
        <v>1</v>
      </c>
    </row>
    <row r="247" spans="1:38" ht="14.5" thickBot="1" x14ac:dyDescent="0.35">
      <c r="A247" s="25">
        <v>6</v>
      </c>
      <c r="B247" s="25" t="s">
        <v>780</v>
      </c>
      <c r="C247" s="26" t="s">
        <v>786</v>
      </c>
      <c r="D247" s="4">
        <f t="shared" si="86"/>
        <v>600</v>
      </c>
      <c r="E247" s="4">
        <f t="shared" si="87"/>
        <v>900</v>
      </c>
      <c r="H247" s="4">
        <f t="shared" si="81"/>
        <v>85</v>
      </c>
      <c r="I247" s="4">
        <f t="shared" si="82"/>
        <v>30</v>
      </c>
      <c r="J247" s="4">
        <f t="shared" si="83"/>
        <v>25</v>
      </c>
      <c r="K247" s="4">
        <f t="shared" si="84"/>
        <v>35</v>
      </c>
      <c r="L247" s="4">
        <v>-3850</v>
      </c>
      <c r="P247" s="4">
        <v>1446.43</v>
      </c>
      <c r="Q247" s="10"/>
      <c r="R247" s="14">
        <f t="shared" si="85"/>
        <v>-728.56999999999994</v>
      </c>
      <c r="U247" s="14"/>
      <c r="AG247" s="3">
        <f t="shared" si="68"/>
        <v>2</v>
      </c>
      <c r="AH247" s="3">
        <f t="shared" si="69"/>
        <v>1</v>
      </c>
      <c r="AI247" s="3">
        <f t="shared" si="70"/>
        <v>1</v>
      </c>
      <c r="AL247" s="14"/>
    </row>
    <row r="248" spans="1:38" ht="16" thickBot="1" x14ac:dyDescent="0.4">
      <c r="A248" s="25">
        <v>7</v>
      </c>
      <c r="B248" s="25" t="s">
        <v>780</v>
      </c>
      <c r="C248" s="26" t="s">
        <v>787</v>
      </c>
      <c r="D248" s="4">
        <f t="shared" si="86"/>
        <v>600</v>
      </c>
      <c r="E248" s="4">
        <f t="shared" si="87"/>
        <v>900</v>
      </c>
      <c r="H248" s="4">
        <f t="shared" si="81"/>
        <v>85</v>
      </c>
      <c r="I248" s="4">
        <f t="shared" si="82"/>
        <v>30</v>
      </c>
      <c r="J248" s="4">
        <f t="shared" si="83"/>
        <v>25</v>
      </c>
      <c r="K248" s="4">
        <f t="shared" si="84"/>
        <v>35</v>
      </c>
      <c r="P248" s="4">
        <v>1446.42</v>
      </c>
      <c r="Q248" s="10"/>
      <c r="R248" s="14">
        <f t="shared" si="85"/>
        <v>3121.42</v>
      </c>
      <c r="S248" s="14"/>
      <c r="T248" s="21">
        <f>SUM(R242:R248)</f>
        <v>18000</v>
      </c>
      <c r="AG248" s="3">
        <f t="shared" si="68"/>
        <v>2</v>
      </c>
      <c r="AH248" s="3">
        <f t="shared" si="69"/>
        <v>1</v>
      </c>
      <c r="AI248" s="3">
        <f t="shared" si="70"/>
        <v>1</v>
      </c>
    </row>
    <row r="249" spans="1:38" x14ac:dyDescent="0.3">
      <c r="A249" s="23">
        <v>1</v>
      </c>
      <c r="B249" s="23" t="s">
        <v>620</v>
      </c>
      <c r="C249" s="24" t="s">
        <v>788</v>
      </c>
      <c r="D249" s="4">
        <f t="shared" si="86"/>
        <v>600</v>
      </c>
      <c r="E249" s="4">
        <f t="shared" ref="E249:E262" si="88">($T$21+$P$2)*$E$3</f>
        <v>675</v>
      </c>
      <c r="H249" s="4">
        <f t="shared" si="81"/>
        <v>85</v>
      </c>
      <c r="I249" s="4">
        <f t="shared" si="82"/>
        <v>30</v>
      </c>
      <c r="J249" s="4">
        <f t="shared" si="83"/>
        <v>25</v>
      </c>
      <c r="K249" s="4">
        <f t="shared" si="84"/>
        <v>35</v>
      </c>
      <c r="P249" s="4">
        <f>$P$3+357.14</f>
        <v>457.14</v>
      </c>
      <c r="Q249" s="10"/>
      <c r="R249" s="14">
        <f t="shared" si="85"/>
        <v>1907.1399999999999</v>
      </c>
      <c r="AG249" s="3">
        <f t="shared" si="68"/>
        <v>2</v>
      </c>
      <c r="AH249" s="3">
        <f t="shared" si="69"/>
        <v>1</v>
      </c>
      <c r="AI249" s="3">
        <f t="shared" si="70"/>
        <v>1</v>
      </c>
    </row>
    <row r="250" spans="1:38" x14ac:dyDescent="0.3">
      <c r="A250" s="23">
        <v>2</v>
      </c>
      <c r="B250" s="23" t="s">
        <v>620</v>
      </c>
      <c r="C250" s="24" t="s">
        <v>789</v>
      </c>
      <c r="D250" s="4">
        <f t="shared" si="86"/>
        <v>600</v>
      </c>
      <c r="E250" s="4">
        <f t="shared" si="88"/>
        <v>675</v>
      </c>
      <c r="H250" s="4">
        <f t="shared" si="81"/>
        <v>85</v>
      </c>
      <c r="I250" s="4">
        <f t="shared" si="82"/>
        <v>30</v>
      </c>
      <c r="J250" s="4">
        <f t="shared" si="83"/>
        <v>25</v>
      </c>
      <c r="K250" s="4">
        <f t="shared" si="84"/>
        <v>35</v>
      </c>
      <c r="P250" s="4">
        <f t="shared" ref="P250:P261" si="89">$P$3+357.14</f>
        <v>457.14</v>
      </c>
      <c r="Q250" s="10"/>
      <c r="R250" s="14">
        <f t="shared" si="85"/>
        <v>1907.1399999999999</v>
      </c>
      <c r="AG250" s="3">
        <f t="shared" si="68"/>
        <v>2</v>
      </c>
      <c r="AH250" s="3">
        <f t="shared" si="69"/>
        <v>1</v>
      </c>
      <c r="AI250" s="3">
        <f t="shared" si="70"/>
        <v>1</v>
      </c>
    </row>
    <row r="251" spans="1:38" x14ac:dyDescent="0.3">
      <c r="A251" s="23">
        <v>3</v>
      </c>
      <c r="B251" s="23" t="s">
        <v>620</v>
      </c>
      <c r="C251" s="24" t="s">
        <v>790</v>
      </c>
      <c r="D251" s="4">
        <f t="shared" si="86"/>
        <v>600</v>
      </c>
      <c r="E251" s="4">
        <f t="shared" si="88"/>
        <v>675</v>
      </c>
      <c r="H251" s="4">
        <f t="shared" si="81"/>
        <v>85</v>
      </c>
      <c r="I251" s="4">
        <f t="shared" si="82"/>
        <v>30</v>
      </c>
      <c r="J251" s="4">
        <f t="shared" si="83"/>
        <v>25</v>
      </c>
      <c r="K251" s="4">
        <f t="shared" si="84"/>
        <v>35</v>
      </c>
      <c r="P251" s="4">
        <f t="shared" si="89"/>
        <v>457.14</v>
      </c>
      <c r="Q251" s="10"/>
      <c r="R251" s="14">
        <f t="shared" si="85"/>
        <v>1907.1399999999999</v>
      </c>
      <c r="AG251" s="3">
        <f t="shared" si="68"/>
        <v>2</v>
      </c>
      <c r="AH251" s="3">
        <f t="shared" si="69"/>
        <v>1</v>
      </c>
      <c r="AI251" s="3">
        <f t="shared" si="70"/>
        <v>1</v>
      </c>
    </row>
    <row r="252" spans="1:38" x14ac:dyDescent="0.3">
      <c r="A252" s="23">
        <v>4</v>
      </c>
      <c r="B252" s="23" t="s">
        <v>620</v>
      </c>
      <c r="C252" s="24" t="s">
        <v>791</v>
      </c>
      <c r="D252" s="4">
        <f t="shared" si="86"/>
        <v>600</v>
      </c>
      <c r="E252" s="4">
        <f t="shared" si="88"/>
        <v>675</v>
      </c>
      <c r="H252" s="4">
        <f t="shared" si="81"/>
        <v>85</v>
      </c>
      <c r="I252" s="4">
        <f t="shared" si="82"/>
        <v>30</v>
      </c>
      <c r="J252" s="4">
        <f t="shared" si="83"/>
        <v>25</v>
      </c>
      <c r="K252" s="4">
        <f t="shared" si="84"/>
        <v>35</v>
      </c>
      <c r="P252" s="4">
        <f t="shared" si="89"/>
        <v>457.14</v>
      </c>
      <c r="Q252" s="10"/>
      <c r="R252" s="14">
        <f t="shared" si="85"/>
        <v>1907.1399999999999</v>
      </c>
      <c r="AG252" s="3">
        <f t="shared" si="68"/>
        <v>2</v>
      </c>
      <c r="AH252" s="3">
        <f t="shared" si="69"/>
        <v>1</v>
      </c>
      <c r="AI252" s="3">
        <f t="shared" si="70"/>
        <v>1</v>
      </c>
    </row>
    <row r="253" spans="1:38" x14ac:dyDescent="0.3">
      <c r="A253" s="23">
        <v>5</v>
      </c>
      <c r="B253" s="23" t="s">
        <v>620</v>
      </c>
      <c r="C253" s="24" t="s">
        <v>792</v>
      </c>
      <c r="D253" s="4">
        <f t="shared" si="86"/>
        <v>600</v>
      </c>
      <c r="E253" s="4">
        <f t="shared" si="88"/>
        <v>675</v>
      </c>
      <c r="H253" s="4">
        <f t="shared" si="81"/>
        <v>85</v>
      </c>
      <c r="I253" s="4">
        <f t="shared" si="82"/>
        <v>30</v>
      </c>
      <c r="J253" s="4">
        <f t="shared" si="83"/>
        <v>25</v>
      </c>
      <c r="K253" s="4">
        <f t="shared" si="84"/>
        <v>35</v>
      </c>
      <c r="P253" s="4">
        <f t="shared" si="89"/>
        <v>457.14</v>
      </c>
      <c r="Q253" s="10"/>
      <c r="R253" s="14">
        <f t="shared" si="85"/>
        <v>1907.1399999999999</v>
      </c>
      <c r="AG253" s="3">
        <f t="shared" si="68"/>
        <v>2</v>
      </c>
      <c r="AH253" s="3">
        <f t="shared" si="69"/>
        <v>1</v>
      </c>
      <c r="AI253" s="3">
        <f t="shared" si="70"/>
        <v>1</v>
      </c>
    </row>
    <row r="254" spans="1:38" x14ac:dyDescent="0.3">
      <c r="A254" s="23">
        <v>6</v>
      </c>
      <c r="B254" s="23" t="s">
        <v>620</v>
      </c>
      <c r="C254" s="24" t="s">
        <v>793</v>
      </c>
      <c r="D254" s="4">
        <f t="shared" si="86"/>
        <v>600</v>
      </c>
      <c r="E254" s="4">
        <f t="shared" si="88"/>
        <v>675</v>
      </c>
      <c r="H254" s="4">
        <f t="shared" si="81"/>
        <v>85</v>
      </c>
      <c r="I254" s="4">
        <f t="shared" si="82"/>
        <v>30</v>
      </c>
      <c r="J254" s="4">
        <f t="shared" si="83"/>
        <v>25</v>
      </c>
      <c r="K254" s="4">
        <f t="shared" si="84"/>
        <v>35</v>
      </c>
      <c r="P254" s="4">
        <f t="shared" si="89"/>
        <v>457.14</v>
      </c>
      <c r="Q254" s="10"/>
      <c r="R254" s="14">
        <f t="shared" si="85"/>
        <v>1907.1399999999999</v>
      </c>
      <c r="AG254" s="3">
        <f t="shared" si="68"/>
        <v>2</v>
      </c>
      <c r="AH254" s="3">
        <f t="shared" si="69"/>
        <v>1</v>
      </c>
      <c r="AI254" s="3">
        <f t="shared" si="70"/>
        <v>1</v>
      </c>
    </row>
    <row r="255" spans="1:38" x14ac:dyDescent="0.3">
      <c r="A255" s="23">
        <v>7</v>
      </c>
      <c r="B255" s="23" t="s">
        <v>620</v>
      </c>
      <c r="C255" s="24" t="s">
        <v>794</v>
      </c>
      <c r="D255" s="4">
        <f t="shared" si="86"/>
        <v>600</v>
      </c>
      <c r="E255" s="4">
        <f t="shared" si="88"/>
        <v>675</v>
      </c>
      <c r="H255" s="4">
        <f t="shared" si="81"/>
        <v>85</v>
      </c>
      <c r="I255" s="4">
        <f t="shared" si="82"/>
        <v>30</v>
      </c>
      <c r="J255" s="4">
        <f t="shared" si="83"/>
        <v>25</v>
      </c>
      <c r="K255" s="4">
        <f t="shared" si="84"/>
        <v>35</v>
      </c>
      <c r="P255" s="4">
        <f t="shared" si="89"/>
        <v>457.14</v>
      </c>
      <c r="Q255" s="10"/>
      <c r="R255" s="14">
        <f t="shared" si="85"/>
        <v>1907.1399999999999</v>
      </c>
      <c r="AG255" s="3">
        <f t="shared" si="68"/>
        <v>2</v>
      </c>
      <c r="AH255" s="3">
        <f t="shared" si="69"/>
        <v>1</v>
      </c>
      <c r="AI255" s="3">
        <f t="shared" si="70"/>
        <v>1</v>
      </c>
    </row>
    <row r="256" spans="1:38" x14ac:dyDescent="0.3">
      <c r="A256" s="23">
        <v>8</v>
      </c>
      <c r="B256" s="23" t="s">
        <v>620</v>
      </c>
      <c r="C256" s="24" t="s">
        <v>795</v>
      </c>
      <c r="D256" s="4">
        <f t="shared" si="86"/>
        <v>600</v>
      </c>
      <c r="E256" s="4">
        <f t="shared" si="88"/>
        <v>675</v>
      </c>
      <c r="H256" s="4">
        <f t="shared" si="81"/>
        <v>85</v>
      </c>
      <c r="I256" s="4">
        <f t="shared" si="82"/>
        <v>30</v>
      </c>
      <c r="J256" s="4">
        <f t="shared" si="83"/>
        <v>25</v>
      </c>
      <c r="K256" s="4">
        <f t="shared" si="84"/>
        <v>35</v>
      </c>
      <c r="P256" s="4">
        <f t="shared" si="89"/>
        <v>457.14</v>
      </c>
      <c r="Q256" s="10"/>
      <c r="R256" s="14">
        <f t="shared" si="85"/>
        <v>1907.1399999999999</v>
      </c>
      <c r="AG256" s="3">
        <f t="shared" si="68"/>
        <v>2</v>
      </c>
      <c r="AH256" s="3">
        <f t="shared" si="69"/>
        <v>1</v>
      </c>
      <c r="AI256" s="3">
        <f t="shared" si="70"/>
        <v>1</v>
      </c>
    </row>
    <row r="257" spans="1:35" x14ac:dyDescent="0.3">
      <c r="A257" s="23">
        <v>9</v>
      </c>
      <c r="B257" s="23" t="s">
        <v>620</v>
      </c>
      <c r="C257" s="24" t="s">
        <v>796</v>
      </c>
      <c r="D257" s="4">
        <f t="shared" si="86"/>
        <v>600</v>
      </c>
      <c r="E257" s="4">
        <f t="shared" si="88"/>
        <v>675</v>
      </c>
      <c r="H257" s="4">
        <f t="shared" si="81"/>
        <v>85</v>
      </c>
      <c r="I257" s="4">
        <f t="shared" si="82"/>
        <v>30</v>
      </c>
      <c r="J257" s="4">
        <f t="shared" si="83"/>
        <v>25</v>
      </c>
      <c r="K257" s="4">
        <f t="shared" si="84"/>
        <v>35</v>
      </c>
      <c r="P257" s="4">
        <f t="shared" si="89"/>
        <v>457.14</v>
      </c>
      <c r="Q257" s="10"/>
      <c r="R257" s="14">
        <f t="shared" si="85"/>
        <v>1907.1399999999999</v>
      </c>
      <c r="AG257" s="3">
        <f t="shared" si="68"/>
        <v>2</v>
      </c>
      <c r="AH257" s="3">
        <f t="shared" si="69"/>
        <v>1</v>
      </c>
      <c r="AI257" s="3">
        <f t="shared" si="70"/>
        <v>1</v>
      </c>
    </row>
    <row r="258" spans="1:35" x14ac:dyDescent="0.3">
      <c r="A258" s="23">
        <v>10</v>
      </c>
      <c r="B258" s="23" t="s">
        <v>620</v>
      </c>
      <c r="C258" s="24" t="s">
        <v>797</v>
      </c>
      <c r="D258" s="4">
        <f t="shared" si="86"/>
        <v>600</v>
      </c>
      <c r="E258" s="4">
        <f t="shared" si="88"/>
        <v>675</v>
      </c>
      <c r="H258" s="4">
        <f t="shared" si="81"/>
        <v>85</v>
      </c>
      <c r="I258" s="4">
        <f t="shared" si="82"/>
        <v>30</v>
      </c>
      <c r="J258" s="4">
        <f t="shared" si="83"/>
        <v>25</v>
      </c>
      <c r="K258" s="4">
        <f t="shared" si="84"/>
        <v>35</v>
      </c>
      <c r="P258" s="4">
        <f t="shared" si="89"/>
        <v>457.14</v>
      </c>
      <c r="Q258" s="10"/>
      <c r="R258" s="14">
        <f t="shared" si="85"/>
        <v>1907.1399999999999</v>
      </c>
      <c r="AG258" s="3">
        <f t="shared" si="68"/>
        <v>2</v>
      </c>
      <c r="AH258" s="3">
        <f t="shared" si="69"/>
        <v>1</v>
      </c>
      <c r="AI258" s="3">
        <f t="shared" si="70"/>
        <v>1</v>
      </c>
    </row>
    <row r="259" spans="1:35" x14ac:dyDescent="0.3">
      <c r="A259" s="23">
        <v>11</v>
      </c>
      <c r="B259" s="23" t="s">
        <v>620</v>
      </c>
      <c r="C259" s="24" t="s">
        <v>798</v>
      </c>
      <c r="D259" s="4">
        <f t="shared" si="86"/>
        <v>600</v>
      </c>
      <c r="E259" s="4">
        <f t="shared" si="88"/>
        <v>675</v>
      </c>
      <c r="H259" s="4">
        <f t="shared" si="81"/>
        <v>85</v>
      </c>
      <c r="I259" s="4">
        <f t="shared" si="82"/>
        <v>30</v>
      </c>
      <c r="J259" s="4">
        <f t="shared" si="83"/>
        <v>25</v>
      </c>
      <c r="K259" s="4">
        <f t="shared" si="84"/>
        <v>35</v>
      </c>
      <c r="P259" s="4">
        <f t="shared" si="89"/>
        <v>457.14</v>
      </c>
      <c r="Q259" s="10"/>
      <c r="R259" s="14">
        <f t="shared" si="85"/>
        <v>1907.1399999999999</v>
      </c>
      <c r="AG259" s="3">
        <f t="shared" si="68"/>
        <v>2</v>
      </c>
      <c r="AH259" s="3">
        <f t="shared" si="69"/>
        <v>1</v>
      </c>
      <c r="AI259" s="3">
        <f t="shared" si="70"/>
        <v>1</v>
      </c>
    </row>
    <row r="260" spans="1:35" x14ac:dyDescent="0.3">
      <c r="A260" s="23">
        <v>12</v>
      </c>
      <c r="B260" s="23" t="s">
        <v>620</v>
      </c>
      <c r="C260" s="24" t="s">
        <v>799</v>
      </c>
      <c r="D260" s="4">
        <f t="shared" si="86"/>
        <v>600</v>
      </c>
      <c r="E260" s="4">
        <f t="shared" si="88"/>
        <v>675</v>
      </c>
      <c r="H260" s="4">
        <f t="shared" si="81"/>
        <v>85</v>
      </c>
      <c r="I260" s="4">
        <f t="shared" si="82"/>
        <v>30</v>
      </c>
      <c r="J260" s="4">
        <f t="shared" si="83"/>
        <v>25</v>
      </c>
      <c r="K260" s="4">
        <f t="shared" si="84"/>
        <v>35</v>
      </c>
      <c r="L260" s="4">
        <v>300</v>
      </c>
      <c r="P260" s="4">
        <f t="shared" si="89"/>
        <v>457.14</v>
      </c>
      <c r="Q260" s="10"/>
      <c r="R260" s="14">
        <f t="shared" si="85"/>
        <v>2207.14</v>
      </c>
      <c r="U260" s="14"/>
      <c r="AG260" s="3">
        <f t="shared" si="68"/>
        <v>2</v>
      </c>
      <c r="AH260" s="3">
        <f t="shared" si="69"/>
        <v>1</v>
      </c>
      <c r="AI260" s="3">
        <f t="shared" si="70"/>
        <v>1</v>
      </c>
    </row>
    <row r="261" spans="1:35" ht="14.5" thickBot="1" x14ac:dyDescent="0.35">
      <c r="A261" s="23">
        <v>13</v>
      </c>
      <c r="B261" s="23" t="s">
        <v>620</v>
      </c>
      <c r="C261" s="24" t="s">
        <v>800</v>
      </c>
      <c r="D261" s="4">
        <f t="shared" si="86"/>
        <v>600</v>
      </c>
      <c r="E261" s="4">
        <f t="shared" si="88"/>
        <v>675</v>
      </c>
      <c r="H261" s="4">
        <f t="shared" si="81"/>
        <v>85</v>
      </c>
      <c r="I261" s="4">
        <f t="shared" si="82"/>
        <v>30</v>
      </c>
      <c r="J261" s="4">
        <f t="shared" si="83"/>
        <v>25</v>
      </c>
      <c r="K261" s="4">
        <f t="shared" si="84"/>
        <v>35</v>
      </c>
      <c r="P261" s="4">
        <f t="shared" si="89"/>
        <v>457.14</v>
      </c>
      <c r="Q261" s="10"/>
      <c r="R261" s="14">
        <f t="shared" si="85"/>
        <v>1907.1399999999999</v>
      </c>
      <c r="AG261" s="3">
        <f t="shared" si="68"/>
        <v>2</v>
      </c>
      <c r="AH261" s="3">
        <f t="shared" si="69"/>
        <v>1</v>
      </c>
      <c r="AI261" s="3">
        <f t="shared" si="70"/>
        <v>1</v>
      </c>
    </row>
    <row r="262" spans="1:35" ht="16" thickBot="1" x14ac:dyDescent="0.4">
      <c r="A262" s="23">
        <v>14</v>
      </c>
      <c r="B262" s="23" t="s">
        <v>620</v>
      </c>
      <c r="C262" s="24" t="s">
        <v>801</v>
      </c>
      <c r="D262" s="4">
        <f t="shared" si="86"/>
        <v>600</v>
      </c>
      <c r="E262" s="4">
        <f t="shared" si="88"/>
        <v>675</v>
      </c>
      <c r="H262" s="4">
        <f t="shared" si="81"/>
        <v>85</v>
      </c>
      <c r="I262" s="4">
        <f t="shared" si="82"/>
        <v>30</v>
      </c>
      <c r="J262" s="4">
        <f t="shared" si="83"/>
        <v>25</v>
      </c>
      <c r="K262" s="4">
        <f t="shared" si="84"/>
        <v>35</v>
      </c>
      <c r="L262" s="4">
        <v>3000</v>
      </c>
      <c r="P262" s="4">
        <f>$P$3+357.18</f>
        <v>457.18</v>
      </c>
      <c r="Q262" s="10"/>
      <c r="R262" s="14">
        <f t="shared" si="85"/>
        <v>4907.18</v>
      </c>
      <c r="T262" s="21">
        <f>SUM(R249:R262)+SUM(R35:R74)</f>
        <v>92000</v>
      </c>
      <c r="AG262" s="3">
        <f t="shared" si="68"/>
        <v>2</v>
      </c>
      <c r="AH262" s="3">
        <f t="shared" si="69"/>
        <v>1</v>
      </c>
      <c r="AI262" s="3">
        <f t="shared" si="70"/>
        <v>1</v>
      </c>
    </row>
    <row r="263" spans="1:35" ht="16" thickBot="1" x14ac:dyDescent="0.35">
      <c r="A263" s="12">
        <v>1</v>
      </c>
      <c r="B263" s="12" t="s">
        <v>601</v>
      </c>
      <c r="C263" s="13" t="s">
        <v>802</v>
      </c>
      <c r="D263" s="4">
        <f t="shared" ref="D263:D289" si="90">$D$3</f>
        <v>600</v>
      </c>
      <c r="E263" s="4">
        <f>($T$10+$P$2)*$E$2</f>
        <v>1960</v>
      </c>
      <c r="H263" s="4">
        <f t="shared" si="81"/>
        <v>85</v>
      </c>
      <c r="I263" s="4">
        <f t="shared" ref="I263:I269" si="91">($T$6+$P$2)*$I$3</f>
        <v>45</v>
      </c>
      <c r="J263" s="4">
        <f>($T$9)*$J$3</f>
        <v>125</v>
      </c>
      <c r="K263" s="4">
        <f t="shared" ref="K263:K269" si="92">($T$16)*$K$3</f>
        <v>245</v>
      </c>
      <c r="L263" s="4">
        <v>675</v>
      </c>
      <c r="P263" s="4">
        <f>$L$3</f>
        <v>75</v>
      </c>
      <c r="Q263" s="10"/>
      <c r="R263" s="14">
        <f t="shared" si="85"/>
        <v>3810</v>
      </c>
      <c r="V263" s="327" t="s">
        <v>780</v>
      </c>
      <c r="W263" s="328"/>
      <c r="X263" s="328"/>
      <c r="Y263" s="329"/>
      <c r="AG263" s="3">
        <f t="shared" si="68"/>
        <v>3</v>
      </c>
      <c r="AH263" s="3">
        <f t="shared" si="69"/>
        <v>5</v>
      </c>
      <c r="AI263" s="3">
        <f t="shared" si="70"/>
        <v>7</v>
      </c>
    </row>
    <row r="264" spans="1:35" x14ac:dyDescent="0.3">
      <c r="A264" s="12">
        <v>2</v>
      </c>
      <c r="B264" s="12" t="s">
        <v>601</v>
      </c>
      <c r="C264" s="13" t="s">
        <v>803</v>
      </c>
      <c r="D264" s="4">
        <f t="shared" si="90"/>
        <v>600</v>
      </c>
      <c r="E264" s="4">
        <f t="shared" ref="E264:E269" si="93">($T$10+$P$2)*$E$2</f>
        <v>1960</v>
      </c>
      <c r="H264" s="4">
        <f t="shared" si="81"/>
        <v>85</v>
      </c>
      <c r="I264" s="4">
        <f t="shared" si="91"/>
        <v>45</v>
      </c>
      <c r="J264" s="4">
        <f t="shared" ref="J264:J269" si="94">($T$9)*$J$3</f>
        <v>125</v>
      </c>
      <c r="K264" s="4">
        <f t="shared" si="92"/>
        <v>245</v>
      </c>
      <c r="L264" s="4">
        <v>675</v>
      </c>
      <c r="P264" s="4">
        <f t="shared" ref="P264:P269" si="95">$L$3</f>
        <v>75</v>
      </c>
      <c r="Q264" s="10"/>
      <c r="R264" s="14">
        <f t="shared" si="85"/>
        <v>3810</v>
      </c>
      <c r="V264" s="3">
        <v>1</v>
      </c>
      <c r="W264" s="3">
        <v>1</v>
      </c>
      <c r="X264" s="3">
        <v>1</v>
      </c>
      <c r="Y264" s="2" t="s">
        <v>613</v>
      </c>
      <c r="AG264" s="3">
        <f t="shared" si="68"/>
        <v>3</v>
      </c>
      <c r="AH264" s="3">
        <f t="shared" si="69"/>
        <v>5</v>
      </c>
      <c r="AI264" s="3">
        <f t="shared" si="70"/>
        <v>7</v>
      </c>
    </row>
    <row r="265" spans="1:35" x14ac:dyDescent="0.3">
      <c r="A265" s="12">
        <v>3</v>
      </c>
      <c r="B265" s="12" t="s">
        <v>601</v>
      </c>
      <c r="C265" s="13" t="s">
        <v>804</v>
      </c>
      <c r="D265" s="4">
        <f t="shared" si="90"/>
        <v>600</v>
      </c>
      <c r="E265" s="4">
        <f t="shared" si="93"/>
        <v>1960</v>
      </c>
      <c r="H265" s="4">
        <f t="shared" si="81"/>
        <v>85</v>
      </c>
      <c r="I265" s="4">
        <f t="shared" si="91"/>
        <v>45</v>
      </c>
      <c r="J265" s="4">
        <f t="shared" si="94"/>
        <v>125</v>
      </c>
      <c r="K265" s="4">
        <f t="shared" si="92"/>
        <v>245</v>
      </c>
      <c r="L265" s="4">
        <v>675</v>
      </c>
      <c r="P265" s="4">
        <f t="shared" si="95"/>
        <v>75</v>
      </c>
      <c r="Q265" s="10"/>
      <c r="R265" s="14">
        <f t="shared" si="85"/>
        <v>3810</v>
      </c>
      <c r="V265" s="3">
        <v>1</v>
      </c>
      <c r="W265" s="3">
        <v>1</v>
      </c>
      <c r="X265" s="3">
        <v>1</v>
      </c>
      <c r="Y265" s="2" t="s">
        <v>603</v>
      </c>
      <c r="AG265" s="3">
        <f t="shared" si="68"/>
        <v>3</v>
      </c>
      <c r="AH265" s="3">
        <f t="shared" si="69"/>
        <v>5</v>
      </c>
      <c r="AI265" s="3">
        <f t="shared" si="70"/>
        <v>7</v>
      </c>
    </row>
    <row r="266" spans="1:35" x14ac:dyDescent="0.3">
      <c r="A266" s="12">
        <v>4</v>
      </c>
      <c r="B266" s="12" t="s">
        <v>601</v>
      </c>
      <c r="C266" s="13" t="s">
        <v>805</v>
      </c>
      <c r="D266" s="4">
        <f t="shared" si="90"/>
        <v>600</v>
      </c>
      <c r="E266" s="4">
        <f t="shared" si="93"/>
        <v>1960</v>
      </c>
      <c r="H266" s="4">
        <f t="shared" si="81"/>
        <v>85</v>
      </c>
      <c r="I266" s="4">
        <f t="shared" si="91"/>
        <v>45</v>
      </c>
      <c r="J266" s="4">
        <f t="shared" si="94"/>
        <v>125</v>
      </c>
      <c r="K266" s="4">
        <f t="shared" si="92"/>
        <v>245</v>
      </c>
      <c r="L266" s="4">
        <v>675</v>
      </c>
      <c r="P266" s="4">
        <f t="shared" si="95"/>
        <v>75</v>
      </c>
      <c r="Q266" s="10"/>
      <c r="R266" s="14">
        <f t="shared" si="85"/>
        <v>3810</v>
      </c>
      <c r="V266" s="3">
        <v>0</v>
      </c>
      <c r="W266" s="3">
        <v>0</v>
      </c>
      <c r="X266" s="3">
        <v>1</v>
      </c>
      <c r="Y266" s="2" t="s">
        <v>606</v>
      </c>
      <c r="AG266" s="3">
        <f t="shared" si="68"/>
        <v>3</v>
      </c>
      <c r="AH266" s="3">
        <f t="shared" si="69"/>
        <v>5</v>
      </c>
      <c r="AI266" s="3">
        <f t="shared" si="70"/>
        <v>7</v>
      </c>
    </row>
    <row r="267" spans="1:35" x14ac:dyDescent="0.3">
      <c r="A267" s="12">
        <v>5</v>
      </c>
      <c r="B267" s="12" t="s">
        <v>601</v>
      </c>
      <c r="C267" s="13" t="s">
        <v>806</v>
      </c>
      <c r="D267" s="4">
        <f t="shared" si="90"/>
        <v>600</v>
      </c>
      <c r="E267" s="4">
        <f t="shared" si="93"/>
        <v>1960</v>
      </c>
      <c r="H267" s="4">
        <f t="shared" si="81"/>
        <v>85</v>
      </c>
      <c r="I267" s="4">
        <f t="shared" si="91"/>
        <v>45</v>
      </c>
      <c r="J267" s="4">
        <f t="shared" si="94"/>
        <v>125</v>
      </c>
      <c r="K267" s="4">
        <f t="shared" si="92"/>
        <v>245</v>
      </c>
      <c r="L267" s="4">
        <v>675</v>
      </c>
      <c r="P267" s="4">
        <f t="shared" si="95"/>
        <v>75</v>
      </c>
      <c r="Q267" s="10"/>
      <c r="R267" s="14">
        <f t="shared" si="85"/>
        <v>3810</v>
      </c>
      <c r="V267" s="3">
        <v>1</v>
      </c>
      <c r="W267" s="3">
        <v>1</v>
      </c>
      <c r="X267" s="3">
        <v>1</v>
      </c>
      <c r="Y267" s="2" t="s">
        <v>608</v>
      </c>
      <c r="AG267" s="3">
        <f t="shared" si="68"/>
        <v>3</v>
      </c>
      <c r="AH267" s="3">
        <f t="shared" si="69"/>
        <v>5</v>
      </c>
      <c r="AI267" s="3">
        <f t="shared" si="70"/>
        <v>7</v>
      </c>
    </row>
    <row r="268" spans="1:35" ht="14.5" thickBot="1" x14ac:dyDescent="0.35">
      <c r="A268" s="12">
        <v>6</v>
      </c>
      <c r="B268" s="12" t="s">
        <v>601</v>
      </c>
      <c r="C268" s="13" t="s">
        <v>807</v>
      </c>
      <c r="D268" s="4">
        <f t="shared" si="90"/>
        <v>600</v>
      </c>
      <c r="E268" s="4">
        <f>($T$10+$P$2)*$E$2</f>
        <v>1960</v>
      </c>
      <c r="H268" s="4">
        <f t="shared" si="81"/>
        <v>85</v>
      </c>
      <c r="I268" s="4">
        <f t="shared" si="91"/>
        <v>45</v>
      </c>
      <c r="J268" s="4">
        <f t="shared" si="94"/>
        <v>125</v>
      </c>
      <c r="K268" s="4">
        <f t="shared" si="92"/>
        <v>245</v>
      </c>
      <c r="L268" s="4">
        <v>675</v>
      </c>
      <c r="P268" s="4">
        <f t="shared" si="95"/>
        <v>75</v>
      </c>
      <c r="Q268" s="10"/>
      <c r="R268" s="14">
        <f t="shared" si="85"/>
        <v>3810</v>
      </c>
      <c r="U268" s="14">
        <f>T269+T34</f>
        <v>138650</v>
      </c>
      <c r="V268" s="3">
        <v>0</v>
      </c>
      <c r="W268" s="3">
        <v>0</v>
      </c>
      <c r="X268" s="3">
        <v>1</v>
      </c>
      <c r="Y268" s="2" t="s">
        <v>609</v>
      </c>
      <c r="AG268" s="3">
        <f t="shared" si="68"/>
        <v>3</v>
      </c>
      <c r="AH268" s="3">
        <f t="shared" si="69"/>
        <v>5</v>
      </c>
      <c r="AI268" s="3">
        <f t="shared" si="70"/>
        <v>7</v>
      </c>
    </row>
    <row r="269" spans="1:35" ht="16" thickBot="1" x14ac:dyDescent="0.4">
      <c r="A269" s="12">
        <v>7</v>
      </c>
      <c r="B269" s="12" t="s">
        <v>601</v>
      </c>
      <c r="C269" s="13" t="s">
        <v>808</v>
      </c>
      <c r="D269" s="4">
        <f t="shared" si="90"/>
        <v>600</v>
      </c>
      <c r="E269" s="4">
        <f t="shared" si="93"/>
        <v>1960</v>
      </c>
      <c r="H269" s="4">
        <f t="shared" si="81"/>
        <v>85</v>
      </c>
      <c r="I269" s="4">
        <f t="shared" si="91"/>
        <v>45</v>
      </c>
      <c r="J269" s="4">
        <f t="shared" si="94"/>
        <v>125</v>
      </c>
      <c r="K269" s="4">
        <f t="shared" si="92"/>
        <v>245</v>
      </c>
      <c r="L269" s="4">
        <v>675</v>
      </c>
      <c r="P269" s="4">
        <f t="shared" si="95"/>
        <v>75</v>
      </c>
      <c r="Q269" s="10"/>
      <c r="R269" s="14">
        <f t="shared" si="85"/>
        <v>3810</v>
      </c>
      <c r="T269" s="21">
        <f>SUM(R263:R269)</f>
        <v>26670</v>
      </c>
      <c r="U269" s="14">
        <f>U268-97440</f>
        <v>41210</v>
      </c>
      <c r="V269" s="3">
        <v>0</v>
      </c>
      <c r="W269" s="3">
        <v>1</v>
      </c>
      <c r="X269" s="3">
        <v>1</v>
      </c>
      <c r="Y269" s="2" t="s">
        <v>610</v>
      </c>
      <c r="AG269" s="3">
        <f t="shared" si="68"/>
        <v>3</v>
      </c>
      <c r="AH269" s="3">
        <f t="shared" si="69"/>
        <v>5</v>
      </c>
      <c r="AI269" s="3">
        <f t="shared" si="70"/>
        <v>7</v>
      </c>
    </row>
    <row r="270" spans="1:35" x14ac:dyDescent="0.3">
      <c r="A270" s="25">
        <v>1</v>
      </c>
      <c r="B270" s="25" t="s">
        <v>682</v>
      </c>
      <c r="C270" s="26" t="s">
        <v>809</v>
      </c>
      <c r="D270" s="4">
        <f t="shared" si="90"/>
        <v>600</v>
      </c>
      <c r="E270" s="4">
        <f t="shared" ref="E270:E289" si="96">($T$5+$P$2)*$E$3</f>
        <v>450</v>
      </c>
      <c r="H270" s="4">
        <f t="shared" si="81"/>
        <v>85</v>
      </c>
      <c r="I270" s="4">
        <f t="shared" ref="I270:I289" si="97">($T$5+$P$2)*$I$3</f>
        <v>30</v>
      </c>
      <c r="J270" s="4">
        <f t="shared" si="83"/>
        <v>25</v>
      </c>
      <c r="K270" s="4">
        <f t="shared" si="84"/>
        <v>35</v>
      </c>
      <c r="L270" s="4">
        <v>150</v>
      </c>
      <c r="P270" s="4">
        <f t="shared" ref="P270:P289" si="98">$P$3</f>
        <v>100</v>
      </c>
      <c r="Q270" s="10"/>
      <c r="R270" s="14">
        <f t="shared" si="85"/>
        <v>1475</v>
      </c>
      <c r="U270" s="14">
        <f>U269/32</f>
        <v>1287.8125</v>
      </c>
      <c r="V270" s="3">
        <v>0</v>
      </c>
      <c r="W270" s="3">
        <v>0</v>
      </c>
      <c r="X270" s="3">
        <v>0</v>
      </c>
      <c r="Y270" s="2" t="s">
        <v>611</v>
      </c>
      <c r="AG270" s="3">
        <f t="shared" si="68"/>
        <v>2</v>
      </c>
      <c r="AH270" s="3">
        <f t="shared" si="69"/>
        <v>1</v>
      </c>
      <c r="AI270" s="3">
        <f t="shared" si="70"/>
        <v>1</v>
      </c>
    </row>
    <row r="271" spans="1:35" ht="14.5" thickBot="1" x14ac:dyDescent="0.35">
      <c r="A271" s="25">
        <v>2</v>
      </c>
      <c r="B271" s="25" t="s">
        <v>682</v>
      </c>
      <c r="C271" s="26" t="s">
        <v>810</v>
      </c>
      <c r="D271" s="4">
        <f t="shared" si="90"/>
        <v>600</v>
      </c>
      <c r="E271" s="4">
        <f t="shared" si="96"/>
        <v>450</v>
      </c>
      <c r="H271" s="4">
        <f t="shared" si="81"/>
        <v>85</v>
      </c>
      <c r="I271" s="4">
        <f t="shared" si="97"/>
        <v>30</v>
      </c>
      <c r="J271" s="4">
        <f t="shared" si="83"/>
        <v>25</v>
      </c>
      <c r="K271" s="4">
        <f t="shared" si="84"/>
        <v>35</v>
      </c>
      <c r="L271" s="4">
        <v>150</v>
      </c>
      <c r="P271" s="4">
        <f t="shared" si="98"/>
        <v>100</v>
      </c>
      <c r="Q271" s="10"/>
      <c r="R271" s="14">
        <f t="shared" si="85"/>
        <v>1475</v>
      </c>
      <c r="U271" s="14"/>
      <c r="V271" s="3">
        <v>0</v>
      </c>
      <c r="W271" s="3">
        <v>1</v>
      </c>
      <c r="X271" s="3">
        <v>1</v>
      </c>
      <c r="Y271" s="2" t="s">
        <v>613</v>
      </c>
      <c r="AG271" s="3">
        <f t="shared" si="68"/>
        <v>2</v>
      </c>
      <c r="AH271" s="3">
        <f t="shared" si="69"/>
        <v>1</v>
      </c>
      <c r="AI271" s="3">
        <f t="shared" si="70"/>
        <v>1</v>
      </c>
    </row>
    <row r="272" spans="1:35" ht="16" thickBot="1" x14ac:dyDescent="0.4">
      <c r="A272" s="25">
        <v>3</v>
      </c>
      <c r="B272" s="25" t="s">
        <v>682</v>
      </c>
      <c r="C272" s="26" t="s">
        <v>811</v>
      </c>
      <c r="D272" s="4">
        <f t="shared" si="90"/>
        <v>600</v>
      </c>
      <c r="E272" s="4">
        <f t="shared" si="96"/>
        <v>450</v>
      </c>
      <c r="H272" s="4">
        <f t="shared" si="81"/>
        <v>85</v>
      </c>
      <c r="I272" s="4">
        <f t="shared" si="97"/>
        <v>30</v>
      </c>
      <c r="J272" s="4">
        <f t="shared" si="83"/>
        <v>25</v>
      </c>
      <c r="K272" s="4">
        <f t="shared" si="84"/>
        <v>35</v>
      </c>
      <c r="L272" s="4">
        <v>150</v>
      </c>
      <c r="P272" s="4">
        <f t="shared" si="98"/>
        <v>100</v>
      </c>
      <c r="Q272" s="10"/>
      <c r="R272" s="14">
        <f t="shared" si="85"/>
        <v>1475</v>
      </c>
      <c r="U272" s="14"/>
      <c r="V272" s="17">
        <f>SUM(V264:V271)</f>
        <v>3</v>
      </c>
      <c r="W272" s="18">
        <f t="shared" ref="W272:X272" si="99">SUM(W264:W271)</f>
        <v>5</v>
      </c>
      <c r="X272" s="19">
        <f t="shared" si="99"/>
        <v>7</v>
      </c>
      <c r="AG272" s="3">
        <f t="shared" ref="AG272:AG336" si="100">I272/$AG$3</f>
        <v>2</v>
      </c>
      <c r="AH272" s="3">
        <f t="shared" ref="AH272:AH336" si="101">J272/$AH$3</f>
        <v>1</v>
      </c>
      <c r="AI272" s="3">
        <f t="shared" ref="AI272:AI336" si="102">K272/$AI$3</f>
        <v>1</v>
      </c>
    </row>
    <row r="273" spans="1:35" x14ac:dyDescent="0.3">
      <c r="A273" s="25">
        <v>4</v>
      </c>
      <c r="B273" s="25" t="s">
        <v>682</v>
      </c>
      <c r="C273" s="26" t="s">
        <v>812</v>
      </c>
      <c r="D273" s="4">
        <f t="shared" si="90"/>
        <v>600</v>
      </c>
      <c r="E273" s="4">
        <f t="shared" si="96"/>
        <v>450</v>
      </c>
      <c r="H273" s="4">
        <f t="shared" si="81"/>
        <v>85</v>
      </c>
      <c r="I273" s="4">
        <f t="shared" si="97"/>
        <v>30</v>
      </c>
      <c r="J273" s="4">
        <f t="shared" si="83"/>
        <v>25</v>
      </c>
      <c r="K273" s="4">
        <f t="shared" si="84"/>
        <v>35</v>
      </c>
      <c r="L273" s="4">
        <v>150</v>
      </c>
      <c r="P273" s="4">
        <f t="shared" si="98"/>
        <v>100</v>
      </c>
      <c r="Q273" s="10"/>
      <c r="R273" s="14">
        <f t="shared" si="85"/>
        <v>1475</v>
      </c>
      <c r="AG273" s="3">
        <f t="shared" si="100"/>
        <v>2</v>
      </c>
      <c r="AH273" s="3">
        <f t="shared" si="101"/>
        <v>1</v>
      </c>
      <c r="AI273" s="3">
        <f t="shared" si="102"/>
        <v>1</v>
      </c>
    </row>
    <row r="274" spans="1:35" x14ac:dyDescent="0.3">
      <c r="A274" s="25">
        <v>5</v>
      </c>
      <c r="B274" s="25" t="s">
        <v>682</v>
      </c>
      <c r="C274" s="26" t="s">
        <v>813</v>
      </c>
      <c r="D274" s="4">
        <f t="shared" si="90"/>
        <v>600</v>
      </c>
      <c r="E274" s="4">
        <f t="shared" si="96"/>
        <v>450</v>
      </c>
      <c r="H274" s="4">
        <f t="shared" si="81"/>
        <v>85</v>
      </c>
      <c r="I274" s="4">
        <f t="shared" si="97"/>
        <v>30</v>
      </c>
      <c r="J274" s="4">
        <f t="shared" si="83"/>
        <v>25</v>
      </c>
      <c r="K274" s="4">
        <f t="shared" si="84"/>
        <v>35</v>
      </c>
      <c r="L274" s="4">
        <v>150</v>
      </c>
      <c r="P274" s="4">
        <f t="shared" si="98"/>
        <v>100</v>
      </c>
      <c r="Q274" s="10"/>
      <c r="R274" s="14">
        <f t="shared" si="85"/>
        <v>1475</v>
      </c>
      <c r="AG274" s="3">
        <f t="shared" si="100"/>
        <v>2</v>
      </c>
      <c r="AH274" s="3">
        <f t="shared" si="101"/>
        <v>1</v>
      </c>
      <c r="AI274" s="3">
        <f t="shared" si="102"/>
        <v>1</v>
      </c>
    </row>
    <row r="275" spans="1:35" x14ac:dyDescent="0.3">
      <c r="A275" s="25">
        <v>6</v>
      </c>
      <c r="B275" s="25" t="s">
        <v>682</v>
      </c>
      <c r="C275" s="26" t="s">
        <v>809</v>
      </c>
      <c r="D275" s="4">
        <f t="shared" si="90"/>
        <v>600</v>
      </c>
      <c r="E275" s="4">
        <f t="shared" si="96"/>
        <v>450</v>
      </c>
      <c r="H275" s="4">
        <f t="shared" si="81"/>
        <v>85</v>
      </c>
      <c r="I275" s="4">
        <f t="shared" si="97"/>
        <v>30</v>
      </c>
      <c r="J275" s="4">
        <f t="shared" si="83"/>
        <v>25</v>
      </c>
      <c r="K275" s="4">
        <f t="shared" si="84"/>
        <v>35</v>
      </c>
      <c r="L275" s="4">
        <v>150</v>
      </c>
      <c r="P275" s="4">
        <f t="shared" si="98"/>
        <v>100</v>
      </c>
      <c r="Q275" s="10"/>
      <c r="R275" s="14">
        <f t="shared" si="85"/>
        <v>1475</v>
      </c>
      <c r="AG275" s="3">
        <f t="shared" si="100"/>
        <v>2</v>
      </c>
      <c r="AH275" s="3">
        <f t="shared" si="101"/>
        <v>1</v>
      </c>
      <c r="AI275" s="3">
        <f t="shared" si="102"/>
        <v>1</v>
      </c>
    </row>
    <row r="276" spans="1:35" x14ac:dyDescent="0.3">
      <c r="A276" s="25">
        <v>7</v>
      </c>
      <c r="B276" s="25" t="s">
        <v>682</v>
      </c>
      <c r="C276" s="26" t="s">
        <v>810</v>
      </c>
      <c r="D276" s="4">
        <f t="shared" si="90"/>
        <v>600</v>
      </c>
      <c r="E276" s="4">
        <f t="shared" si="96"/>
        <v>450</v>
      </c>
      <c r="H276" s="4">
        <f t="shared" si="81"/>
        <v>85</v>
      </c>
      <c r="I276" s="4">
        <f t="shared" si="97"/>
        <v>30</v>
      </c>
      <c r="J276" s="4">
        <f t="shared" si="83"/>
        <v>25</v>
      </c>
      <c r="K276" s="4">
        <f t="shared" si="84"/>
        <v>35</v>
      </c>
      <c r="L276" s="4">
        <v>150</v>
      </c>
      <c r="P276" s="4">
        <f t="shared" si="98"/>
        <v>100</v>
      </c>
      <c r="Q276" s="10"/>
      <c r="R276" s="14">
        <f t="shared" si="85"/>
        <v>1475</v>
      </c>
      <c r="AG276" s="3">
        <f t="shared" si="100"/>
        <v>2</v>
      </c>
      <c r="AH276" s="3">
        <f t="shared" si="101"/>
        <v>1</v>
      </c>
      <c r="AI276" s="3">
        <f t="shared" si="102"/>
        <v>1</v>
      </c>
    </row>
    <row r="277" spans="1:35" x14ac:dyDescent="0.3">
      <c r="A277" s="25">
        <v>8</v>
      </c>
      <c r="B277" s="25" t="s">
        <v>682</v>
      </c>
      <c r="C277" s="26" t="s">
        <v>811</v>
      </c>
      <c r="D277" s="4">
        <f t="shared" si="90"/>
        <v>600</v>
      </c>
      <c r="E277" s="4">
        <f t="shared" si="96"/>
        <v>450</v>
      </c>
      <c r="H277" s="4">
        <f t="shared" si="81"/>
        <v>85</v>
      </c>
      <c r="I277" s="4">
        <f t="shared" si="97"/>
        <v>30</v>
      </c>
      <c r="J277" s="4">
        <f t="shared" si="83"/>
        <v>25</v>
      </c>
      <c r="K277" s="4">
        <f t="shared" si="84"/>
        <v>35</v>
      </c>
      <c r="L277" s="4">
        <v>150</v>
      </c>
      <c r="P277" s="4">
        <f t="shared" si="98"/>
        <v>100</v>
      </c>
      <c r="Q277" s="10"/>
      <c r="R277" s="14">
        <f t="shared" si="85"/>
        <v>1475</v>
      </c>
      <c r="AG277" s="3">
        <f t="shared" si="100"/>
        <v>2</v>
      </c>
      <c r="AH277" s="3">
        <f t="shared" si="101"/>
        <v>1</v>
      </c>
      <c r="AI277" s="3">
        <f t="shared" si="102"/>
        <v>1</v>
      </c>
    </row>
    <row r="278" spans="1:35" x14ac:dyDescent="0.3">
      <c r="A278" s="25">
        <v>9</v>
      </c>
      <c r="B278" s="25" t="s">
        <v>682</v>
      </c>
      <c r="C278" s="26" t="s">
        <v>812</v>
      </c>
      <c r="D278" s="4">
        <f t="shared" si="90"/>
        <v>600</v>
      </c>
      <c r="E278" s="4">
        <f t="shared" si="96"/>
        <v>450</v>
      </c>
      <c r="H278" s="4">
        <f t="shared" si="81"/>
        <v>85</v>
      </c>
      <c r="I278" s="4">
        <f t="shared" si="97"/>
        <v>30</v>
      </c>
      <c r="J278" s="4">
        <f t="shared" si="83"/>
        <v>25</v>
      </c>
      <c r="K278" s="4">
        <f t="shared" si="84"/>
        <v>35</v>
      </c>
      <c r="L278" s="4">
        <v>150</v>
      </c>
      <c r="P278" s="4">
        <f t="shared" si="98"/>
        <v>100</v>
      </c>
      <c r="Q278" s="10"/>
      <c r="R278" s="14">
        <f t="shared" si="85"/>
        <v>1475</v>
      </c>
      <c r="AG278" s="3">
        <f t="shared" si="100"/>
        <v>2</v>
      </c>
      <c r="AH278" s="3">
        <f t="shared" si="101"/>
        <v>1</v>
      </c>
      <c r="AI278" s="3">
        <f t="shared" si="102"/>
        <v>1</v>
      </c>
    </row>
    <row r="279" spans="1:35" x14ac:dyDescent="0.3">
      <c r="A279" s="25">
        <v>10</v>
      </c>
      <c r="B279" s="25" t="s">
        <v>682</v>
      </c>
      <c r="C279" s="26" t="s">
        <v>813</v>
      </c>
      <c r="D279" s="4">
        <f t="shared" si="90"/>
        <v>600</v>
      </c>
      <c r="E279" s="4">
        <f t="shared" si="96"/>
        <v>450</v>
      </c>
      <c r="H279" s="4">
        <f t="shared" si="81"/>
        <v>85</v>
      </c>
      <c r="I279" s="4">
        <f t="shared" si="97"/>
        <v>30</v>
      </c>
      <c r="J279" s="4">
        <f t="shared" si="83"/>
        <v>25</v>
      </c>
      <c r="K279" s="4">
        <f t="shared" si="84"/>
        <v>35</v>
      </c>
      <c r="L279" s="4">
        <v>150</v>
      </c>
      <c r="P279" s="4">
        <f t="shared" si="98"/>
        <v>100</v>
      </c>
      <c r="Q279" s="10"/>
      <c r="R279" s="14">
        <f t="shared" si="85"/>
        <v>1475</v>
      </c>
      <c r="AG279" s="3">
        <f t="shared" si="100"/>
        <v>2</v>
      </c>
      <c r="AH279" s="3">
        <f t="shared" si="101"/>
        <v>1</v>
      </c>
      <c r="AI279" s="3">
        <f t="shared" si="102"/>
        <v>1</v>
      </c>
    </row>
    <row r="280" spans="1:35" x14ac:dyDescent="0.3">
      <c r="A280" s="25">
        <v>1</v>
      </c>
      <c r="B280" s="25" t="s">
        <v>684</v>
      </c>
      <c r="C280" s="26" t="s">
        <v>809</v>
      </c>
      <c r="D280" s="4">
        <f t="shared" si="90"/>
        <v>600</v>
      </c>
      <c r="E280" s="4">
        <f t="shared" si="96"/>
        <v>450</v>
      </c>
      <c r="H280" s="4">
        <f t="shared" si="81"/>
        <v>85</v>
      </c>
      <c r="I280" s="4">
        <f t="shared" si="97"/>
        <v>30</v>
      </c>
      <c r="J280" s="4">
        <f t="shared" si="83"/>
        <v>25</v>
      </c>
      <c r="K280" s="4">
        <f t="shared" si="84"/>
        <v>35</v>
      </c>
      <c r="L280" s="4">
        <v>150</v>
      </c>
      <c r="P280" s="4">
        <f t="shared" si="98"/>
        <v>100</v>
      </c>
      <c r="Q280" s="10"/>
      <c r="R280" s="14">
        <f t="shared" ref="R280:R293" si="103">SUM(D280:Q280)</f>
        <v>1475</v>
      </c>
      <c r="AG280" s="3">
        <f t="shared" si="100"/>
        <v>2</v>
      </c>
      <c r="AH280" s="3">
        <f t="shared" si="101"/>
        <v>1</v>
      </c>
      <c r="AI280" s="3">
        <f t="shared" si="102"/>
        <v>1</v>
      </c>
    </row>
    <row r="281" spans="1:35" x14ac:dyDescent="0.3">
      <c r="A281" s="25">
        <v>2</v>
      </c>
      <c r="B281" s="25" t="s">
        <v>684</v>
      </c>
      <c r="C281" s="26" t="s">
        <v>810</v>
      </c>
      <c r="D281" s="4">
        <f t="shared" si="90"/>
        <v>600</v>
      </c>
      <c r="E281" s="4">
        <f t="shared" si="96"/>
        <v>450</v>
      </c>
      <c r="H281" s="4">
        <f t="shared" si="81"/>
        <v>85</v>
      </c>
      <c r="I281" s="4">
        <f t="shared" si="97"/>
        <v>30</v>
      </c>
      <c r="J281" s="4">
        <f t="shared" si="83"/>
        <v>25</v>
      </c>
      <c r="K281" s="4">
        <f t="shared" si="84"/>
        <v>35</v>
      </c>
      <c r="L281" s="4">
        <v>150</v>
      </c>
      <c r="P281" s="4">
        <f t="shared" si="98"/>
        <v>100</v>
      </c>
      <c r="Q281" s="10"/>
      <c r="R281" s="14">
        <f t="shared" si="103"/>
        <v>1475</v>
      </c>
      <c r="AG281" s="3">
        <f t="shared" si="100"/>
        <v>2</v>
      </c>
      <c r="AH281" s="3">
        <f t="shared" si="101"/>
        <v>1</v>
      </c>
      <c r="AI281" s="3">
        <f t="shared" si="102"/>
        <v>1</v>
      </c>
    </row>
    <row r="282" spans="1:35" x14ac:dyDescent="0.3">
      <c r="A282" s="25">
        <v>3</v>
      </c>
      <c r="B282" s="25" t="s">
        <v>684</v>
      </c>
      <c r="C282" s="26" t="s">
        <v>811</v>
      </c>
      <c r="D282" s="4">
        <f t="shared" si="90"/>
        <v>600</v>
      </c>
      <c r="E282" s="4">
        <f t="shared" si="96"/>
        <v>450</v>
      </c>
      <c r="H282" s="4">
        <f t="shared" si="81"/>
        <v>85</v>
      </c>
      <c r="I282" s="4">
        <f t="shared" si="97"/>
        <v>30</v>
      </c>
      <c r="J282" s="4">
        <f t="shared" si="83"/>
        <v>25</v>
      </c>
      <c r="K282" s="4">
        <f t="shared" si="84"/>
        <v>35</v>
      </c>
      <c r="L282" s="4">
        <v>150</v>
      </c>
      <c r="P282" s="4">
        <f t="shared" si="98"/>
        <v>100</v>
      </c>
      <c r="Q282" s="10"/>
      <c r="R282" s="14">
        <f t="shared" si="103"/>
        <v>1475</v>
      </c>
      <c r="S282" s="14"/>
      <c r="AG282" s="3">
        <f t="shared" si="100"/>
        <v>2</v>
      </c>
      <c r="AH282" s="3">
        <f t="shared" si="101"/>
        <v>1</v>
      </c>
      <c r="AI282" s="3">
        <f t="shared" si="102"/>
        <v>1</v>
      </c>
    </row>
    <row r="283" spans="1:35" x14ac:dyDescent="0.3">
      <c r="A283" s="25">
        <v>4</v>
      </c>
      <c r="B283" s="25" t="s">
        <v>684</v>
      </c>
      <c r="C283" s="26" t="s">
        <v>812</v>
      </c>
      <c r="D283" s="4">
        <f t="shared" si="90"/>
        <v>600</v>
      </c>
      <c r="E283" s="4">
        <f t="shared" si="96"/>
        <v>450</v>
      </c>
      <c r="H283" s="4">
        <f t="shared" si="81"/>
        <v>85</v>
      </c>
      <c r="I283" s="4">
        <f t="shared" si="97"/>
        <v>30</v>
      </c>
      <c r="J283" s="4">
        <f t="shared" si="83"/>
        <v>25</v>
      </c>
      <c r="K283" s="4">
        <f t="shared" si="84"/>
        <v>35</v>
      </c>
      <c r="L283" s="4">
        <v>150</v>
      </c>
      <c r="P283" s="4">
        <f t="shared" si="98"/>
        <v>100</v>
      </c>
      <c r="Q283" s="10"/>
      <c r="R283" s="14">
        <f t="shared" si="103"/>
        <v>1475</v>
      </c>
      <c r="S283" s="14"/>
      <c r="AG283" s="3">
        <f t="shared" si="100"/>
        <v>2</v>
      </c>
      <c r="AH283" s="3">
        <f t="shared" si="101"/>
        <v>1</v>
      </c>
      <c r="AI283" s="3">
        <f t="shared" si="102"/>
        <v>1</v>
      </c>
    </row>
    <row r="284" spans="1:35" x14ac:dyDescent="0.3">
      <c r="A284" s="25">
        <v>5</v>
      </c>
      <c r="B284" s="25" t="s">
        <v>684</v>
      </c>
      <c r="C284" s="26" t="s">
        <v>813</v>
      </c>
      <c r="D284" s="4">
        <f t="shared" si="90"/>
        <v>600</v>
      </c>
      <c r="E284" s="4">
        <f t="shared" si="96"/>
        <v>450</v>
      </c>
      <c r="H284" s="4">
        <f t="shared" si="81"/>
        <v>85</v>
      </c>
      <c r="I284" s="4">
        <f t="shared" si="97"/>
        <v>30</v>
      </c>
      <c r="J284" s="4">
        <f t="shared" si="83"/>
        <v>25</v>
      </c>
      <c r="K284" s="4">
        <f t="shared" si="84"/>
        <v>35</v>
      </c>
      <c r="L284" s="4">
        <v>150</v>
      </c>
      <c r="P284" s="4">
        <f t="shared" si="98"/>
        <v>100</v>
      </c>
      <c r="Q284" s="10"/>
      <c r="R284" s="14">
        <f t="shared" si="103"/>
        <v>1475</v>
      </c>
      <c r="AG284" s="3">
        <f t="shared" si="100"/>
        <v>2</v>
      </c>
      <c r="AH284" s="3">
        <f t="shared" si="101"/>
        <v>1</v>
      </c>
      <c r="AI284" s="3">
        <f t="shared" si="102"/>
        <v>1</v>
      </c>
    </row>
    <row r="285" spans="1:35" x14ac:dyDescent="0.3">
      <c r="A285" s="25">
        <v>6</v>
      </c>
      <c r="B285" s="25" t="s">
        <v>684</v>
      </c>
      <c r="C285" s="26" t="s">
        <v>809</v>
      </c>
      <c r="D285" s="4">
        <f t="shared" si="90"/>
        <v>600</v>
      </c>
      <c r="E285" s="4">
        <f t="shared" si="96"/>
        <v>450</v>
      </c>
      <c r="H285" s="4">
        <f t="shared" si="81"/>
        <v>85</v>
      </c>
      <c r="I285" s="4">
        <f t="shared" si="97"/>
        <v>30</v>
      </c>
      <c r="J285" s="4">
        <f t="shared" si="83"/>
        <v>25</v>
      </c>
      <c r="K285" s="4">
        <f t="shared" si="84"/>
        <v>35</v>
      </c>
      <c r="L285" s="4">
        <v>150</v>
      </c>
      <c r="P285" s="4">
        <f t="shared" si="98"/>
        <v>100</v>
      </c>
      <c r="Q285" s="10"/>
      <c r="R285" s="14">
        <f t="shared" si="103"/>
        <v>1475</v>
      </c>
      <c r="AG285" s="3">
        <f t="shared" si="100"/>
        <v>2</v>
      </c>
      <c r="AH285" s="3">
        <f t="shared" si="101"/>
        <v>1</v>
      </c>
      <c r="AI285" s="3">
        <f t="shared" si="102"/>
        <v>1</v>
      </c>
    </row>
    <row r="286" spans="1:35" x14ac:dyDescent="0.3">
      <c r="A286" s="25">
        <v>7</v>
      </c>
      <c r="B286" s="25" t="s">
        <v>684</v>
      </c>
      <c r="C286" s="26" t="s">
        <v>810</v>
      </c>
      <c r="D286" s="4">
        <f t="shared" si="90"/>
        <v>600</v>
      </c>
      <c r="E286" s="4">
        <f t="shared" si="96"/>
        <v>450</v>
      </c>
      <c r="H286" s="4">
        <f t="shared" si="81"/>
        <v>85</v>
      </c>
      <c r="I286" s="4">
        <f t="shared" si="97"/>
        <v>30</v>
      </c>
      <c r="J286" s="4">
        <f t="shared" si="83"/>
        <v>25</v>
      </c>
      <c r="K286" s="4">
        <f t="shared" si="84"/>
        <v>35</v>
      </c>
      <c r="L286" s="4">
        <v>150</v>
      </c>
      <c r="P286" s="4">
        <f t="shared" si="98"/>
        <v>100</v>
      </c>
      <c r="Q286" s="10"/>
      <c r="R286" s="14">
        <f t="shared" si="103"/>
        <v>1475</v>
      </c>
      <c r="AG286" s="3">
        <f t="shared" si="100"/>
        <v>2</v>
      </c>
      <c r="AH286" s="3">
        <f t="shared" si="101"/>
        <v>1</v>
      </c>
      <c r="AI286" s="3">
        <f t="shared" si="102"/>
        <v>1</v>
      </c>
    </row>
    <row r="287" spans="1:35" x14ac:dyDescent="0.3">
      <c r="A287" s="25">
        <v>8</v>
      </c>
      <c r="B287" s="25" t="s">
        <v>684</v>
      </c>
      <c r="C287" s="26" t="s">
        <v>811</v>
      </c>
      <c r="D287" s="4">
        <f t="shared" si="90"/>
        <v>600</v>
      </c>
      <c r="E287" s="4">
        <f t="shared" si="96"/>
        <v>450</v>
      </c>
      <c r="H287" s="4">
        <f t="shared" si="81"/>
        <v>85</v>
      </c>
      <c r="I287" s="4">
        <f t="shared" si="97"/>
        <v>30</v>
      </c>
      <c r="J287" s="4">
        <f t="shared" si="83"/>
        <v>25</v>
      </c>
      <c r="K287" s="4">
        <f t="shared" si="84"/>
        <v>35</v>
      </c>
      <c r="L287" s="4">
        <v>150</v>
      </c>
      <c r="P287" s="4">
        <f t="shared" si="98"/>
        <v>100</v>
      </c>
      <c r="Q287" s="10"/>
      <c r="R287" s="14">
        <f t="shared" si="103"/>
        <v>1475</v>
      </c>
      <c r="AG287" s="3">
        <f t="shared" si="100"/>
        <v>2</v>
      </c>
      <c r="AH287" s="3">
        <f t="shared" si="101"/>
        <v>1</v>
      </c>
      <c r="AI287" s="3">
        <f t="shared" si="102"/>
        <v>1</v>
      </c>
    </row>
    <row r="288" spans="1:35" ht="14.5" thickBot="1" x14ac:dyDescent="0.35">
      <c r="A288" s="25">
        <v>9</v>
      </c>
      <c r="B288" s="25" t="s">
        <v>684</v>
      </c>
      <c r="C288" s="26" t="s">
        <v>812</v>
      </c>
      <c r="D288" s="4">
        <f t="shared" si="90"/>
        <v>600</v>
      </c>
      <c r="E288" s="4">
        <f t="shared" si="96"/>
        <v>450</v>
      </c>
      <c r="H288" s="4">
        <f t="shared" si="81"/>
        <v>85</v>
      </c>
      <c r="I288" s="4">
        <f t="shared" si="97"/>
        <v>30</v>
      </c>
      <c r="J288" s="4">
        <f t="shared" si="83"/>
        <v>25</v>
      </c>
      <c r="K288" s="4">
        <f t="shared" si="84"/>
        <v>35</v>
      </c>
      <c r="L288" s="4">
        <v>150</v>
      </c>
      <c r="P288" s="4">
        <f t="shared" si="98"/>
        <v>100</v>
      </c>
      <c r="Q288" s="10"/>
      <c r="R288" s="14">
        <f t="shared" si="103"/>
        <v>1475</v>
      </c>
      <c r="AG288" s="3">
        <f t="shared" si="100"/>
        <v>2</v>
      </c>
      <c r="AH288" s="3">
        <f t="shared" si="101"/>
        <v>1</v>
      </c>
      <c r="AI288" s="3">
        <f t="shared" si="102"/>
        <v>1</v>
      </c>
    </row>
    <row r="289" spans="1:35" ht="16" thickBot="1" x14ac:dyDescent="0.4">
      <c r="A289" s="25">
        <v>10</v>
      </c>
      <c r="B289" s="25" t="s">
        <v>684</v>
      </c>
      <c r="C289" s="26" t="s">
        <v>813</v>
      </c>
      <c r="D289" s="4">
        <f t="shared" si="90"/>
        <v>600</v>
      </c>
      <c r="E289" s="4">
        <f t="shared" si="96"/>
        <v>450</v>
      </c>
      <c r="H289" s="4">
        <f t="shared" si="81"/>
        <v>85</v>
      </c>
      <c r="I289" s="4">
        <f t="shared" si="97"/>
        <v>30</v>
      </c>
      <c r="J289" s="4">
        <f t="shared" si="83"/>
        <v>25</v>
      </c>
      <c r="K289" s="4">
        <f t="shared" si="84"/>
        <v>35</v>
      </c>
      <c r="L289" s="4">
        <v>150</v>
      </c>
      <c r="P289" s="4">
        <f t="shared" si="98"/>
        <v>100</v>
      </c>
      <c r="Q289" s="10"/>
      <c r="R289" s="14">
        <f t="shared" si="103"/>
        <v>1475</v>
      </c>
      <c r="T289" s="21">
        <f>SUM(R270:R289)</f>
        <v>29500</v>
      </c>
      <c r="AG289" s="3">
        <f t="shared" si="100"/>
        <v>2</v>
      </c>
      <c r="AH289" s="3">
        <f t="shared" si="101"/>
        <v>1</v>
      </c>
      <c r="AI289" s="3">
        <f t="shared" si="102"/>
        <v>1</v>
      </c>
    </row>
    <row r="290" spans="1:35" ht="16" thickBot="1" x14ac:dyDescent="0.4">
      <c r="B290" s="3" t="s">
        <v>814</v>
      </c>
      <c r="C290" s="20" t="s">
        <v>470</v>
      </c>
      <c r="P290" s="4">
        <v>3000</v>
      </c>
      <c r="Q290" s="10"/>
      <c r="R290" s="14">
        <f t="shared" si="103"/>
        <v>3000</v>
      </c>
      <c r="T290" s="21">
        <f>SUM(R290)</f>
        <v>3000</v>
      </c>
      <c r="AG290" s="3">
        <f t="shared" si="100"/>
        <v>0</v>
      </c>
      <c r="AH290" s="3">
        <f t="shared" si="101"/>
        <v>0</v>
      </c>
      <c r="AI290" s="3">
        <f t="shared" si="102"/>
        <v>0</v>
      </c>
    </row>
    <row r="291" spans="1:35" ht="16" thickBot="1" x14ac:dyDescent="0.4">
      <c r="C291" s="20" t="s">
        <v>471</v>
      </c>
      <c r="L291" s="4">
        <v>6000</v>
      </c>
      <c r="P291" s="4">
        <v>3000</v>
      </c>
      <c r="Q291" s="10"/>
      <c r="R291" s="14">
        <f t="shared" si="103"/>
        <v>9000</v>
      </c>
      <c r="T291" s="21">
        <f>SUM(R291)</f>
        <v>9000</v>
      </c>
      <c r="AG291" s="3">
        <f t="shared" si="100"/>
        <v>0</v>
      </c>
      <c r="AH291" s="3">
        <f t="shared" si="101"/>
        <v>0</v>
      </c>
      <c r="AI291" s="3">
        <f t="shared" si="102"/>
        <v>0</v>
      </c>
    </row>
    <row r="292" spans="1:35" ht="16" thickBot="1" x14ac:dyDescent="0.4">
      <c r="C292" s="20" t="s">
        <v>473</v>
      </c>
      <c r="P292" s="4">
        <f>7500-1300-1300+5100+7500</f>
        <v>17500</v>
      </c>
      <c r="Q292" s="10"/>
      <c r="R292" s="14">
        <f t="shared" si="103"/>
        <v>17500</v>
      </c>
      <c r="T292" s="21">
        <f>SUM(R292)</f>
        <v>17500</v>
      </c>
      <c r="AG292" s="3">
        <f t="shared" si="100"/>
        <v>0</v>
      </c>
      <c r="AH292" s="3">
        <f t="shared" si="101"/>
        <v>0</v>
      </c>
      <c r="AI292" s="3">
        <f t="shared" si="102"/>
        <v>0</v>
      </c>
    </row>
    <row r="293" spans="1:35" ht="16" thickBot="1" x14ac:dyDescent="0.4">
      <c r="C293" s="20" t="s">
        <v>474</v>
      </c>
      <c r="P293" s="4">
        <v>5000</v>
      </c>
      <c r="Q293" s="10"/>
      <c r="R293" s="14">
        <f t="shared" si="103"/>
        <v>5000</v>
      </c>
      <c r="T293" s="21">
        <f>SUM(R293)</f>
        <v>5000</v>
      </c>
      <c r="AG293" s="3">
        <f t="shared" si="100"/>
        <v>0</v>
      </c>
      <c r="AH293" s="3">
        <f t="shared" si="101"/>
        <v>0</v>
      </c>
      <c r="AI293" s="3">
        <f t="shared" si="102"/>
        <v>0</v>
      </c>
    </row>
    <row r="294" spans="1:35" ht="16" thickBot="1" x14ac:dyDescent="0.4">
      <c r="C294" s="30" t="s">
        <v>476</v>
      </c>
      <c r="Q294" s="10"/>
      <c r="S294" s="22">
        <f>SUM(T242:T294)+T34</f>
        <v>312650</v>
      </c>
      <c r="AG294" s="3">
        <f t="shared" si="100"/>
        <v>0</v>
      </c>
      <c r="AH294" s="3">
        <f t="shared" si="101"/>
        <v>0</v>
      </c>
      <c r="AI294" s="3">
        <f t="shared" si="102"/>
        <v>0</v>
      </c>
    </row>
    <row r="295" spans="1:35" x14ac:dyDescent="0.3">
      <c r="A295" s="25">
        <v>1</v>
      </c>
      <c r="B295" s="25" t="s">
        <v>780</v>
      </c>
      <c r="C295" s="26" t="s">
        <v>815</v>
      </c>
      <c r="D295" s="4">
        <f>$D$2</f>
        <v>600</v>
      </c>
      <c r="E295" s="4">
        <f>($T$5+$L$2)*$H$2</f>
        <v>900</v>
      </c>
      <c r="H295" s="4">
        <f t="shared" ref="H295:H335" si="104">$H$3</f>
        <v>85</v>
      </c>
      <c r="I295" s="4">
        <f t="shared" ref="I295:I312" si="105">($T$5+$P$2)*$I$3</f>
        <v>30</v>
      </c>
      <c r="J295" s="4">
        <f t="shared" ref="J295:J352" si="106">($T$5)*$J$3</f>
        <v>25</v>
      </c>
      <c r="K295" s="4">
        <f t="shared" ref="K295:K352" si="107">($T$5)*$K$3</f>
        <v>35</v>
      </c>
      <c r="P295" s="4">
        <f>$L$3</f>
        <v>75</v>
      </c>
      <c r="Q295" s="10"/>
      <c r="R295" s="14">
        <f t="shared" ref="R295:R359" si="108">SUM(D295:Q295)</f>
        <v>1750</v>
      </c>
      <c r="AG295" s="3">
        <f t="shared" si="100"/>
        <v>2</v>
      </c>
      <c r="AH295" s="3">
        <f t="shared" si="101"/>
        <v>1</v>
      </c>
      <c r="AI295" s="3">
        <f t="shared" si="102"/>
        <v>1</v>
      </c>
    </row>
    <row r="296" spans="1:35" x14ac:dyDescent="0.3">
      <c r="A296" s="25">
        <v>2</v>
      </c>
      <c r="B296" s="25" t="s">
        <v>780</v>
      </c>
      <c r="C296" s="26" t="s">
        <v>816</v>
      </c>
      <c r="D296" s="4">
        <f t="shared" ref="D296:D312" si="109">$D$2</f>
        <v>600</v>
      </c>
      <c r="E296" s="4">
        <f t="shared" ref="E296:E300" si="110">($T$5+$L$2)*$H$2</f>
        <v>900</v>
      </c>
      <c r="H296" s="4">
        <f t="shared" si="104"/>
        <v>85</v>
      </c>
      <c r="I296" s="4">
        <f t="shared" si="105"/>
        <v>30</v>
      </c>
      <c r="J296" s="4">
        <f t="shared" si="106"/>
        <v>25</v>
      </c>
      <c r="K296" s="4">
        <f t="shared" si="107"/>
        <v>35</v>
      </c>
      <c r="P296" s="4">
        <f t="shared" ref="P296:P335" si="111">$L$3</f>
        <v>75</v>
      </c>
      <c r="Q296" s="10"/>
      <c r="R296" s="14">
        <f t="shared" si="108"/>
        <v>1750</v>
      </c>
      <c r="AG296" s="3">
        <f t="shared" si="100"/>
        <v>2</v>
      </c>
      <c r="AH296" s="3">
        <f t="shared" si="101"/>
        <v>1</v>
      </c>
      <c r="AI296" s="3">
        <f t="shared" si="102"/>
        <v>1</v>
      </c>
    </row>
    <row r="297" spans="1:35" x14ac:dyDescent="0.3">
      <c r="A297" s="25">
        <v>3</v>
      </c>
      <c r="B297" s="25" t="s">
        <v>780</v>
      </c>
      <c r="C297" s="26" t="s">
        <v>817</v>
      </c>
      <c r="D297" s="4">
        <f t="shared" si="109"/>
        <v>600</v>
      </c>
      <c r="E297" s="4">
        <f t="shared" si="110"/>
        <v>900</v>
      </c>
      <c r="H297" s="4">
        <f t="shared" si="104"/>
        <v>85</v>
      </c>
      <c r="I297" s="4">
        <f t="shared" si="105"/>
        <v>30</v>
      </c>
      <c r="J297" s="4">
        <f t="shared" si="106"/>
        <v>25</v>
      </c>
      <c r="K297" s="4">
        <f t="shared" si="107"/>
        <v>35</v>
      </c>
      <c r="P297" s="4">
        <f t="shared" si="111"/>
        <v>75</v>
      </c>
      <c r="Q297" s="10"/>
      <c r="R297" s="14">
        <f t="shared" si="108"/>
        <v>1750</v>
      </c>
      <c r="AG297" s="3">
        <f t="shared" si="100"/>
        <v>2</v>
      </c>
      <c r="AH297" s="3">
        <f t="shared" si="101"/>
        <v>1</v>
      </c>
      <c r="AI297" s="3">
        <f t="shared" si="102"/>
        <v>1</v>
      </c>
    </row>
    <row r="298" spans="1:35" x14ac:dyDescent="0.3">
      <c r="A298" s="25">
        <v>4</v>
      </c>
      <c r="B298" s="25" t="s">
        <v>780</v>
      </c>
      <c r="C298" s="26" t="s">
        <v>818</v>
      </c>
      <c r="D298" s="4">
        <f t="shared" si="109"/>
        <v>600</v>
      </c>
      <c r="E298" s="4">
        <f t="shared" si="110"/>
        <v>900</v>
      </c>
      <c r="H298" s="4">
        <f t="shared" si="104"/>
        <v>85</v>
      </c>
      <c r="I298" s="4">
        <f t="shared" si="105"/>
        <v>30</v>
      </c>
      <c r="J298" s="4">
        <f t="shared" si="106"/>
        <v>25</v>
      </c>
      <c r="K298" s="4">
        <f t="shared" si="107"/>
        <v>35</v>
      </c>
      <c r="P298" s="4">
        <f t="shared" si="111"/>
        <v>75</v>
      </c>
      <c r="Q298" s="10"/>
      <c r="R298" s="14">
        <f t="shared" si="108"/>
        <v>1750</v>
      </c>
      <c r="AG298" s="3">
        <f t="shared" si="100"/>
        <v>2</v>
      </c>
      <c r="AH298" s="3">
        <f t="shared" si="101"/>
        <v>1</v>
      </c>
      <c r="AI298" s="3">
        <f t="shared" si="102"/>
        <v>1</v>
      </c>
    </row>
    <row r="299" spans="1:35" ht="14.5" thickBot="1" x14ac:dyDescent="0.35">
      <c r="A299" s="25">
        <v>5</v>
      </c>
      <c r="B299" s="25" t="s">
        <v>780</v>
      </c>
      <c r="C299" s="26" t="s">
        <v>819</v>
      </c>
      <c r="D299" s="4">
        <f t="shared" si="109"/>
        <v>600</v>
      </c>
      <c r="E299" s="4">
        <f t="shared" si="110"/>
        <v>900</v>
      </c>
      <c r="H299" s="4">
        <f t="shared" si="104"/>
        <v>85</v>
      </c>
      <c r="I299" s="4">
        <f t="shared" si="105"/>
        <v>30</v>
      </c>
      <c r="J299" s="4">
        <f t="shared" si="106"/>
        <v>25</v>
      </c>
      <c r="K299" s="4">
        <f t="shared" si="107"/>
        <v>35</v>
      </c>
      <c r="P299" s="4">
        <f t="shared" si="111"/>
        <v>75</v>
      </c>
      <c r="Q299" s="10"/>
      <c r="R299" s="14">
        <f t="shared" si="108"/>
        <v>1750</v>
      </c>
      <c r="U299" s="14"/>
      <c r="AG299" s="3">
        <f t="shared" si="100"/>
        <v>2</v>
      </c>
      <c r="AH299" s="3">
        <f t="shared" si="101"/>
        <v>1</v>
      </c>
      <c r="AI299" s="3">
        <f t="shared" si="102"/>
        <v>1</v>
      </c>
    </row>
    <row r="300" spans="1:35" ht="16" thickBot="1" x14ac:dyDescent="0.4">
      <c r="A300" s="25">
        <v>6</v>
      </c>
      <c r="B300" s="25" t="s">
        <v>780</v>
      </c>
      <c r="C300" s="26" t="s">
        <v>819</v>
      </c>
      <c r="D300" s="4">
        <f t="shared" si="109"/>
        <v>600</v>
      </c>
      <c r="E300" s="4">
        <f t="shared" si="110"/>
        <v>900</v>
      </c>
      <c r="H300" s="4">
        <f t="shared" si="104"/>
        <v>85</v>
      </c>
      <c r="I300" s="4">
        <f t="shared" si="105"/>
        <v>30</v>
      </c>
      <c r="J300" s="4">
        <f t="shared" si="106"/>
        <v>25</v>
      </c>
      <c r="K300" s="4">
        <f t="shared" si="107"/>
        <v>35</v>
      </c>
      <c r="P300" s="4">
        <f t="shared" si="111"/>
        <v>75</v>
      </c>
      <c r="Q300" s="10"/>
      <c r="R300" s="14">
        <f t="shared" si="108"/>
        <v>1750</v>
      </c>
      <c r="T300" s="21">
        <f>SUM(R295:R300)</f>
        <v>10500</v>
      </c>
      <c r="U300" s="14"/>
      <c r="AG300" s="3">
        <f t="shared" si="100"/>
        <v>2</v>
      </c>
      <c r="AH300" s="3">
        <f t="shared" si="101"/>
        <v>1</v>
      </c>
      <c r="AI300" s="3">
        <f t="shared" si="102"/>
        <v>1</v>
      </c>
    </row>
    <row r="301" spans="1:35" x14ac:dyDescent="0.3">
      <c r="A301" s="23">
        <v>1</v>
      </c>
      <c r="B301" s="23" t="s">
        <v>620</v>
      </c>
      <c r="C301" s="24" t="s">
        <v>820</v>
      </c>
      <c r="D301" s="4">
        <f t="shared" si="109"/>
        <v>600</v>
      </c>
      <c r="E301" s="4">
        <f t="shared" ref="E301:E312" si="112">($T$21+$P$2)*$E$3</f>
        <v>675</v>
      </c>
      <c r="H301" s="4">
        <f t="shared" si="104"/>
        <v>85</v>
      </c>
      <c r="I301" s="4">
        <f t="shared" si="105"/>
        <v>30</v>
      </c>
      <c r="J301" s="4">
        <f t="shared" si="106"/>
        <v>25</v>
      </c>
      <c r="K301" s="4">
        <f t="shared" si="107"/>
        <v>35</v>
      </c>
      <c r="P301" s="4">
        <f t="shared" si="111"/>
        <v>75</v>
      </c>
      <c r="Q301" s="10"/>
      <c r="R301" s="14">
        <f t="shared" si="108"/>
        <v>1525</v>
      </c>
      <c r="AG301" s="3">
        <f t="shared" si="100"/>
        <v>2</v>
      </c>
      <c r="AH301" s="3">
        <f t="shared" si="101"/>
        <v>1</v>
      </c>
      <c r="AI301" s="3">
        <f t="shared" si="102"/>
        <v>1</v>
      </c>
    </row>
    <row r="302" spans="1:35" x14ac:dyDescent="0.3">
      <c r="A302" s="23">
        <v>2</v>
      </c>
      <c r="B302" s="23" t="s">
        <v>620</v>
      </c>
      <c r="C302" s="24" t="s">
        <v>821</v>
      </c>
      <c r="D302" s="4">
        <f t="shared" si="109"/>
        <v>600</v>
      </c>
      <c r="E302" s="4">
        <f t="shared" si="112"/>
        <v>675</v>
      </c>
      <c r="H302" s="4">
        <f t="shared" si="104"/>
        <v>85</v>
      </c>
      <c r="I302" s="4">
        <f t="shared" si="105"/>
        <v>30</v>
      </c>
      <c r="J302" s="4">
        <f t="shared" si="106"/>
        <v>25</v>
      </c>
      <c r="K302" s="4">
        <f t="shared" si="107"/>
        <v>35</v>
      </c>
      <c r="P302" s="4">
        <f t="shared" si="111"/>
        <v>75</v>
      </c>
      <c r="Q302" s="10"/>
      <c r="R302" s="14">
        <f t="shared" si="108"/>
        <v>1525</v>
      </c>
      <c r="AG302" s="3">
        <f t="shared" si="100"/>
        <v>2</v>
      </c>
      <c r="AH302" s="3">
        <f t="shared" si="101"/>
        <v>1</v>
      </c>
      <c r="AI302" s="3">
        <f t="shared" si="102"/>
        <v>1</v>
      </c>
    </row>
    <row r="303" spans="1:35" x14ac:dyDescent="0.3">
      <c r="A303" s="23">
        <v>3</v>
      </c>
      <c r="B303" s="23" t="s">
        <v>620</v>
      </c>
      <c r="C303" s="24" t="s">
        <v>822</v>
      </c>
      <c r="D303" s="4">
        <f t="shared" si="109"/>
        <v>600</v>
      </c>
      <c r="E303" s="4">
        <f t="shared" si="112"/>
        <v>675</v>
      </c>
      <c r="H303" s="4">
        <f t="shared" si="104"/>
        <v>85</v>
      </c>
      <c r="I303" s="4">
        <f t="shared" si="105"/>
        <v>30</v>
      </c>
      <c r="J303" s="4">
        <f t="shared" si="106"/>
        <v>25</v>
      </c>
      <c r="K303" s="4">
        <f t="shared" si="107"/>
        <v>35</v>
      </c>
      <c r="P303" s="4">
        <f t="shared" si="111"/>
        <v>75</v>
      </c>
      <c r="Q303" s="10"/>
      <c r="R303" s="14">
        <f t="shared" si="108"/>
        <v>1525</v>
      </c>
      <c r="AG303" s="3">
        <f t="shared" si="100"/>
        <v>2</v>
      </c>
      <c r="AH303" s="3">
        <f t="shared" si="101"/>
        <v>1</v>
      </c>
      <c r="AI303" s="3">
        <f t="shared" si="102"/>
        <v>1</v>
      </c>
    </row>
    <row r="304" spans="1:35" x14ac:dyDescent="0.3">
      <c r="A304" s="23">
        <v>4</v>
      </c>
      <c r="B304" s="23" t="s">
        <v>620</v>
      </c>
      <c r="C304" s="24" t="s">
        <v>823</v>
      </c>
      <c r="D304" s="4">
        <f t="shared" si="109"/>
        <v>600</v>
      </c>
      <c r="E304" s="4">
        <f t="shared" si="112"/>
        <v>675</v>
      </c>
      <c r="H304" s="4">
        <f t="shared" si="104"/>
        <v>85</v>
      </c>
      <c r="I304" s="4">
        <f t="shared" si="105"/>
        <v>30</v>
      </c>
      <c r="J304" s="4">
        <f t="shared" si="106"/>
        <v>25</v>
      </c>
      <c r="K304" s="4">
        <f t="shared" si="107"/>
        <v>35</v>
      </c>
      <c r="P304" s="4">
        <f t="shared" si="111"/>
        <v>75</v>
      </c>
      <c r="Q304" s="10"/>
      <c r="R304" s="14">
        <f t="shared" si="108"/>
        <v>1525</v>
      </c>
      <c r="AG304" s="3">
        <f t="shared" si="100"/>
        <v>2</v>
      </c>
      <c r="AH304" s="3">
        <f t="shared" si="101"/>
        <v>1</v>
      </c>
      <c r="AI304" s="3">
        <f t="shared" si="102"/>
        <v>1</v>
      </c>
    </row>
    <row r="305" spans="1:35" x14ac:dyDescent="0.3">
      <c r="A305" s="23">
        <v>5</v>
      </c>
      <c r="B305" s="23" t="s">
        <v>620</v>
      </c>
      <c r="C305" s="24" t="s">
        <v>824</v>
      </c>
      <c r="D305" s="4">
        <f t="shared" si="109"/>
        <v>600</v>
      </c>
      <c r="E305" s="4">
        <f t="shared" si="112"/>
        <v>675</v>
      </c>
      <c r="H305" s="4">
        <f t="shared" si="104"/>
        <v>85</v>
      </c>
      <c r="I305" s="4">
        <f t="shared" si="105"/>
        <v>30</v>
      </c>
      <c r="J305" s="4">
        <f t="shared" si="106"/>
        <v>25</v>
      </c>
      <c r="K305" s="4">
        <f t="shared" si="107"/>
        <v>35</v>
      </c>
      <c r="P305" s="4">
        <f t="shared" si="111"/>
        <v>75</v>
      </c>
      <c r="Q305" s="10"/>
      <c r="R305" s="14">
        <f t="shared" si="108"/>
        <v>1525</v>
      </c>
      <c r="AG305" s="3">
        <f t="shared" si="100"/>
        <v>2</v>
      </c>
      <c r="AH305" s="3">
        <f t="shared" si="101"/>
        <v>1</v>
      </c>
      <c r="AI305" s="3">
        <f t="shared" si="102"/>
        <v>1</v>
      </c>
    </row>
    <row r="306" spans="1:35" x14ac:dyDescent="0.3">
      <c r="A306" s="23">
        <v>6</v>
      </c>
      <c r="B306" s="23" t="s">
        <v>620</v>
      </c>
      <c r="C306" s="24" t="s">
        <v>824</v>
      </c>
      <c r="D306" s="4">
        <f t="shared" si="109"/>
        <v>600</v>
      </c>
      <c r="E306" s="4">
        <f t="shared" si="112"/>
        <v>675</v>
      </c>
      <c r="H306" s="4">
        <f t="shared" si="104"/>
        <v>85</v>
      </c>
      <c r="I306" s="4">
        <f t="shared" si="105"/>
        <v>30</v>
      </c>
      <c r="J306" s="4">
        <f t="shared" si="106"/>
        <v>25</v>
      </c>
      <c r="K306" s="4">
        <f t="shared" si="107"/>
        <v>35</v>
      </c>
      <c r="P306" s="4">
        <f t="shared" si="111"/>
        <v>75</v>
      </c>
      <c r="Q306" s="10"/>
      <c r="R306" s="14">
        <f t="shared" si="108"/>
        <v>1525</v>
      </c>
      <c r="S306" s="14"/>
      <c r="AG306" s="3">
        <f t="shared" si="100"/>
        <v>2</v>
      </c>
      <c r="AH306" s="3">
        <f t="shared" si="101"/>
        <v>1</v>
      </c>
      <c r="AI306" s="3">
        <f t="shared" si="102"/>
        <v>1</v>
      </c>
    </row>
    <row r="307" spans="1:35" x14ac:dyDescent="0.3">
      <c r="A307" s="23">
        <v>7</v>
      </c>
      <c r="B307" s="23" t="s">
        <v>620</v>
      </c>
      <c r="C307" s="24" t="s">
        <v>825</v>
      </c>
      <c r="D307" s="4">
        <f t="shared" si="109"/>
        <v>600</v>
      </c>
      <c r="E307" s="4">
        <f t="shared" si="112"/>
        <v>675</v>
      </c>
      <c r="H307" s="4">
        <f t="shared" si="104"/>
        <v>85</v>
      </c>
      <c r="I307" s="4">
        <f t="shared" si="105"/>
        <v>30</v>
      </c>
      <c r="J307" s="4">
        <f t="shared" si="106"/>
        <v>25</v>
      </c>
      <c r="K307" s="4">
        <f t="shared" si="107"/>
        <v>35</v>
      </c>
      <c r="P307" s="4">
        <f t="shared" si="111"/>
        <v>75</v>
      </c>
      <c r="Q307" s="10"/>
      <c r="R307" s="14">
        <f t="shared" si="108"/>
        <v>1525</v>
      </c>
      <c r="AG307" s="3">
        <f t="shared" si="100"/>
        <v>2</v>
      </c>
      <c r="AH307" s="3">
        <f t="shared" si="101"/>
        <v>1</v>
      </c>
      <c r="AI307" s="3">
        <f t="shared" si="102"/>
        <v>1</v>
      </c>
    </row>
    <row r="308" spans="1:35" x14ac:dyDescent="0.3">
      <c r="A308" s="23">
        <v>8</v>
      </c>
      <c r="B308" s="23" t="s">
        <v>620</v>
      </c>
      <c r="C308" s="24" t="s">
        <v>826</v>
      </c>
      <c r="D308" s="4">
        <f t="shared" si="109"/>
        <v>600</v>
      </c>
      <c r="E308" s="4">
        <f t="shared" si="112"/>
        <v>675</v>
      </c>
      <c r="H308" s="4">
        <f t="shared" si="104"/>
        <v>85</v>
      </c>
      <c r="I308" s="4">
        <f t="shared" si="105"/>
        <v>30</v>
      </c>
      <c r="J308" s="4">
        <f t="shared" si="106"/>
        <v>25</v>
      </c>
      <c r="K308" s="4">
        <f t="shared" si="107"/>
        <v>35</v>
      </c>
      <c r="P308" s="4">
        <f t="shared" si="111"/>
        <v>75</v>
      </c>
      <c r="Q308" s="10"/>
      <c r="R308" s="14">
        <f t="shared" si="108"/>
        <v>1525</v>
      </c>
      <c r="AG308" s="3">
        <f t="shared" si="100"/>
        <v>2</v>
      </c>
      <c r="AH308" s="3">
        <f t="shared" si="101"/>
        <v>1</v>
      </c>
      <c r="AI308" s="3">
        <f t="shared" si="102"/>
        <v>1</v>
      </c>
    </row>
    <row r="309" spans="1:35" x14ac:dyDescent="0.3">
      <c r="A309" s="23">
        <v>9</v>
      </c>
      <c r="B309" s="23" t="s">
        <v>620</v>
      </c>
      <c r="C309" s="24" t="s">
        <v>827</v>
      </c>
      <c r="D309" s="4">
        <f t="shared" si="109"/>
        <v>600</v>
      </c>
      <c r="E309" s="4">
        <f t="shared" si="112"/>
        <v>675</v>
      </c>
      <c r="H309" s="4">
        <f t="shared" si="104"/>
        <v>85</v>
      </c>
      <c r="I309" s="4">
        <f t="shared" si="105"/>
        <v>30</v>
      </c>
      <c r="J309" s="4">
        <f t="shared" si="106"/>
        <v>25</v>
      </c>
      <c r="K309" s="4">
        <f t="shared" si="107"/>
        <v>35</v>
      </c>
      <c r="P309" s="4">
        <f t="shared" si="111"/>
        <v>75</v>
      </c>
      <c r="Q309" s="10"/>
      <c r="R309" s="14">
        <f t="shared" si="108"/>
        <v>1525</v>
      </c>
      <c r="AG309" s="3">
        <f t="shared" si="100"/>
        <v>2</v>
      </c>
      <c r="AH309" s="3">
        <f t="shared" si="101"/>
        <v>1</v>
      </c>
      <c r="AI309" s="3">
        <f t="shared" si="102"/>
        <v>1</v>
      </c>
    </row>
    <row r="310" spans="1:35" x14ac:dyDescent="0.3">
      <c r="A310" s="23">
        <v>10</v>
      </c>
      <c r="B310" s="23" t="s">
        <v>620</v>
      </c>
      <c r="C310" s="24" t="s">
        <v>828</v>
      </c>
      <c r="D310" s="4">
        <f t="shared" si="109"/>
        <v>600</v>
      </c>
      <c r="E310" s="4">
        <f t="shared" si="112"/>
        <v>675</v>
      </c>
      <c r="H310" s="4">
        <f t="shared" si="104"/>
        <v>85</v>
      </c>
      <c r="I310" s="4">
        <f t="shared" si="105"/>
        <v>30</v>
      </c>
      <c r="J310" s="4">
        <f t="shared" si="106"/>
        <v>25</v>
      </c>
      <c r="K310" s="4">
        <f t="shared" si="107"/>
        <v>35</v>
      </c>
      <c r="P310" s="4">
        <f t="shared" si="111"/>
        <v>75</v>
      </c>
      <c r="Q310" s="10"/>
      <c r="R310" s="14">
        <f t="shared" si="108"/>
        <v>1525</v>
      </c>
      <c r="AG310" s="3">
        <f t="shared" si="100"/>
        <v>2</v>
      </c>
      <c r="AH310" s="3">
        <f t="shared" si="101"/>
        <v>1</v>
      </c>
      <c r="AI310" s="3">
        <f t="shared" si="102"/>
        <v>1</v>
      </c>
    </row>
    <row r="311" spans="1:35" ht="14.5" thickBot="1" x14ac:dyDescent="0.35">
      <c r="A311" s="23">
        <v>11</v>
      </c>
      <c r="B311" s="23" t="s">
        <v>620</v>
      </c>
      <c r="C311" s="24" t="s">
        <v>829</v>
      </c>
      <c r="D311" s="4">
        <f t="shared" si="109"/>
        <v>600</v>
      </c>
      <c r="E311" s="4">
        <f t="shared" si="112"/>
        <v>675</v>
      </c>
      <c r="H311" s="4">
        <f t="shared" si="104"/>
        <v>85</v>
      </c>
      <c r="I311" s="4">
        <f t="shared" si="105"/>
        <v>30</v>
      </c>
      <c r="J311" s="4">
        <f t="shared" si="106"/>
        <v>25</v>
      </c>
      <c r="K311" s="4">
        <f t="shared" si="107"/>
        <v>35</v>
      </c>
      <c r="P311" s="4">
        <f t="shared" si="111"/>
        <v>75</v>
      </c>
      <c r="Q311" s="10"/>
      <c r="R311" s="14">
        <f t="shared" si="108"/>
        <v>1525</v>
      </c>
      <c r="U311" s="14"/>
      <c r="AG311" s="3">
        <f t="shared" si="100"/>
        <v>2</v>
      </c>
      <c r="AH311" s="3">
        <f t="shared" si="101"/>
        <v>1</v>
      </c>
      <c r="AI311" s="3">
        <f t="shared" si="102"/>
        <v>1</v>
      </c>
    </row>
    <row r="312" spans="1:35" ht="16" thickBot="1" x14ac:dyDescent="0.4">
      <c r="A312" s="23">
        <v>12</v>
      </c>
      <c r="B312" s="23" t="s">
        <v>620</v>
      </c>
      <c r="C312" s="24" t="s">
        <v>829</v>
      </c>
      <c r="D312" s="4">
        <f t="shared" si="109"/>
        <v>600</v>
      </c>
      <c r="E312" s="4">
        <f t="shared" si="112"/>
        <v>675</v>
      </c>
      <c r="H312" s="4">
        <f t="shared" si="104"/>
        <v>85</v>
      </c>
      <c r="I312" s="4">
        <f t="shared" si="105"/>
        <v>30</v>
      </c>
      <c r="J312" s="4">
        <f t="shared" si="106"/>
        <v>25</v>
      </c>
      <c r="K312" s="4">
        <f t="shared" si="107"/>
        <v>35</v>
      </c>
      <c r="P312" s="4">
        <f t="shared" si="111"/>
        <v>75</v>
      </c>
      <c r="Q312" s="10"/>
      <c r="R312" s="14">
        <f t="shared" si="108"/>
        <v>1525</v>
      </c>
      <c r="T312" s="21">
        <f>SUM(R301:R312)</f>
        <v>18300</v>
      </c>
      <c r="U312" s="14"/>
      <c r="AG312" s="3">
        <f t="shared" si="100"/>
        <v>2</v>
      </c>
      <c r="AH312" s="3">
        <f t="shared" si="101"/>
        <v>1</v>
      </c>
      <c r="AI312" s="3">
        <f t="shared" si="102"/>
        <v>1</v>
      </c>
    </row>
    <row r="313" spans="1:35" x14ac:dyDescent="0.3">
      <c r="A313" s="25">
        <v>1</v>
      </c>
      <c r="B313" s="25" t="s">
        <v>830</v>
      </c>
      <c r="C313" s="26" t="s">
        <v>831</v>
      </c>
      <c r="D313" s="4">
        <f t="shared" ref="D313:D361" si="113">$D$3</f>
        <v>600</v>
      </c>
      <c r="E313" s="4">
        <f t="shared" ref="E313:E332" si="114">($T$23+$L$2)*$E$3</f>
        <v>675</v>
      </c>
      <c r="H313" s="4">
        <f t="shared" si="104"/>
        <v>85</v>
      </c>
      <c r="I313" s="4">
        <f t="shared" ref="I313:I332" si="115">($T$23+$P$2)*$I$3</f>
        <v>30</v>
      </c>
      <c r="J313" s="4">
        <f t="shared" ref="J313:J332" si="116">($T$23)*$J$3</f>
        <v>25</v>
      </c>
      <c r="K313" s="4">
        <f t="shared" ref="K313:K332" si="117">($T$23)*$K$3</f>
        <v>35</v>
      </c>
      <c r="P313" s="4">
        <f t="shared" si="111"/>
        <v>75</v>
      </c>
      <c r="Q313" s="10"/>
      <c r="R313" s="14">
        <f t="shared" si="108"/>
        <v>1525</v>
      </c>
      <c r="AG313" s="3">
        <f t="shared" si="100"/>
        <v>2</v>
      </c>
      <c r="AH313" s="3">
        <f t="shared" si="101"/>
        <v>1</v>
      </c>
      <c r="AI313" s="3">
        <f t="shared" si="102"/>
        <v>1</v>
      </c>
    </row>
    <row r="314" spans="1:35" x14ac:dyDescent="0.3">
      <c r="A314" s="25">
        <v>2</v>
      </c>
      <c r="B314" s="25" t="s">
        <v>830</v>
      </c>
      <c r="C314" s="26" t="s">
        <v>831</v>
      </c>
      <c r="D314" s="4">
        <f t="shared" si="113"/>
        <v>600</v>
      </c>
      <c r="E314" s="4">
        <f t="shared" si="114"/>
        <v>675</v>
      </c>
      <c r="H314" s="4">
        <f t="shared" si="104"/>
        <v>85</v>
      </c>
      <c r="I314" s="4">
        <f t="shared" si="115"/>
        <v>30</v>
      </c>
      <c r="J314" s="4">
        <f t="shared" si="116"/>
        <v>25</v>
      </c>
      <c r="K314" s="4">
        <f t="shared" si="117"/>
        <v>35</v>
      </c>
      <c r="P314" s="4">
        <f t="shared" si="111"/>
        <v>75</v>
      </c>
      <c r="Q314" s="10"/>
      <c r="R314" s="14">
        <f t="shared" si="108"/>
        <v>1525</v>
      </c>
      <c r="AG314" s="3">
        <f t="shared" si="100"/>
        <v>2</v>
      </c>
      <c r="AH314" s="3">
        <f t="shared" si="101"/>
        <v>1</v>
      </c>
      <c r="AI314" s="3">
        <f t="shared" si="102"/>
        <v>1</v>
      </c>
    </row>
    <row r="315" spans="1:35" x14ac:dyDescent="0.3">
      <c r="A315" s="25">
        <v>3</v>
      </c>
      <c r="B315" s="25" t="s">
        <v>830</v>
      </c>
      <c r="C315" s="26" t="s">
        <v>831</v>
      </c>
      <c r="D315" s="4">
        <f t="shared" si="113"/>
        <v>600</v>
      </c>
      <c r="E315" s="4">
        <f t="shared" si="114"/>
        <v>675</v>
      </c>
      <c r="H315" s="4">
        <f t="shared" si="104"/>
        <v>85</v>
      </c>
      <c r="I315" s="4">
        <f t="shared" si="115"/>
        <v>30</v>
      </c>
      <c r="J315" s="4">
        <f t="shared" si="116"/>
        <v>25</v>
      </c>
      <c r="K315" s="4">
        <f t="shared" si="117"/>
        <v>35</v>
      </c>
      <c r="P315" s="4">
        <f t="shared" si="111"/>
        <v>75</v>
      </c>
      <c r="Q315" s="10"/>
      <c r="R315" s="14">
        <f t="shared" si="108"/>
        <v>1525</v>
      </c>
      <c r="AG315" s="3">
        <f t="shared" si="100"/>
        <v>2</v>
      </c>
      <c r="AH315" s="3">
        <f t="shared" si="101"/>
        <v>1</v>
      </c>
      <c r="AI315" s="3">
        <f t="shared" si="102"/>
        <v>1</v>
      </c>
    </row>
    <row r="316" spans="1:35" x14ac:dyDescent="0.3">
      <c r="A316" s="25">
        <v>4</v>
      </c>
      <c r="B316" s="25" t="s">
        <v>830</v>
      </c>
      <c r="C316" s="26" t="s">
        <v>831</v>
      </c>
      <c r="D316" s="4">
        <f t="shared" si="113"/>
        <v>600</v>
      </c>
      <c r="E316" s="4">
        <f t="shared" si="114"/>
        <v>675</v>
      </c>
      <c r="H316" s="4">
        <f t="shared" si="104"/>
        <v>85</v>
      </c>
      <c r="I316" s="4">
        <f t="shared" si="115"/>
        <v>30</v>
      </c>
      <c r="J316" s="4">
        <f t="shared" si="116"/>
        <v>25</v>
      </c>
      <c r="K316" s="4">
        <f t="shared" si="117"/>
        <v>35</v>
      </c>
      <c r="P316" s="4">
        <f t="shared" si="111"/>
        <v>75</v>
      </c>
      <c r="Q316" s="10"/>
      <c r="R316" s="14">
        <f t="shared" si="108"/>
        <v>1525</v>
      </c>
      <c r="AG316" s="3">
        <f t="shared" si="100"/>
        <v>2</v>
      </c>
      <c r="AH316" s="3">
        <f t="shared" si="101"/>
        <v>1</v>
      </c>
      <c r="AI316" s="3">
        <f t="shared" si="102"/>
        <v>1</v>
      </c>
    </row>
    <row r="317" spans="1:35" x14ac:dyDescent="0.3">
      <c r="A317" s="25">
        <v>5</v>
      </c>
      <c r="B317" s="25" t="s">
        <v>830</v>
      </c>
      <c r="C317" s="26" t="s">
        <v>831</v>
      </c>
      <c r="D317" s="4">
        <f t="shared" si="113"/>
        <v>600</v>
      </c>
      <c r="E317" s="4">
        <f t="shared" si="114"/>
        <v>675</v>
      </c>
      <c r="H317" s="4">
        <f t="shared" si="104"/>
        <v>85</v>
      </c>
      <c r="I317" s="4">
        <f t="shared" si="115"/>
        <v>30</v>
      </c>
      <c r="J317" s="4">
        <f t="shared" si="116"/>
        <v>25</v>
      </c>
      <c r="K317" s="4">
        <f t="shared" si="117"/>
        <v>35</v>
      </c>
      <c r="P317" s="4">
        <f t="shared" si="111"/>
        <v>75</v>
      </c>
      <c r="Q317" s="10"/>
      <c r="R317" s="14">
        <f t="shared" si="108"/>
        <v>1525</v>
      </c>
      <c r="AG317" s="3">
        <f t="shared" si="100"/>
        <v>2</v>
      </c>
      <c r="AH317" s="3">
        <f t="shared" si="101"/>
        <v>1</v>
      </c>
      <c r="AI317" s="3">
        <f t="shared" si="102"/>
        <v>1</v>
      </c>
    </row>
    <row r="318" spans="1:35" x14ac:dyDescent="0.3">
      <c r="A318" s="25">
        <v>6</v>
      </c>
      <c r="B318" s="25" t="s">
        <v>830</v>
      </c>
      <c r="C318" s="26" t="s">
        <v>831</v>
      </c>
      <c r="D318" s="4">
        <f t="shared" si="113"/>
        <v>600</v>
      </c>
      <c r="E318" s="4">
        <f t="shared" si="114"/>
        <v>675</v>
      </c>
      <c r="H318" s="4">
        <f t="shared" si="104"/>
        <v>85</v>
      </c>
      <c r="I318" s="4">
        <f t="shared" si="115"/>
        <v>30</v>
      </c>
      <c r="J318" s="4">
        <f t="shared" si="116"/>
        <v>25</v>
      </c>
      <c r="K318" s="4">
        <f t="shared" si="117"/>
        <v>35</v>
      </c>
      <c r="P318" s="4">
        <f t="shared" si="111"/>
        <v>75</v>
      </c>
      <c r="Q318" s="10"/>
      <c r="R318" s="14">
        <f t="shared" si="108"/>
        <v>1525</v>
      </c>
      <c r="AG318" s="3">
        <f t="shared" si="100"/>
        <v>2</v>
      </c>
      <c r="AH318" s="3">
        <f t="shared" si="101"/>
        <v>1</v>
      </c>
      <c r="AI318" s="3">
        <f t="shared" si="102"/>
        <v>1</v>
      </c>
    </row>
    <row r="319" spans="1:35" x14ac:dyDescent="0.3">
      <c r="A319" s="25">
        <v>7</v>
      </c>
      <c r="B319" s="25" t="s">
        <v>830</v>
      </c>
      <c r="C319" s="26" t="s">
        <v>831</v>
      </c>
      <c r="D319" s="4">
        <f t="shared" si="113"/>
        <v>600</v>
      </c>
      <c r="E319" s="4">
        <f t="shared" si="114"/>
        <v>675</v>
      </c>
      <c r="H319" s="4">
        <f t="shared" si="104"/>
        <v>85</v>
      </c>
      <c r="I319" s="4">
        <f t="shared" si="115"/>
        <v>30</v>
      </c>
      <c r="J319" s="4">
        <f t="shared" si="116"/>
        <v>25</v>
      </c>
      <c r="K319" s="4">
        <f t="shared" si="117"/>
        <v>35</v>
      </c>
      <c r="P319" s="4">
        <f t="shared" si="111"/>
        <v>75</v>
      </c>
      <c r="Q319" s="10"/>
      <c r="R319" s="14">
        <f t="shared" si="108"/>
        <v>1525</v>
      </c>
      <c r="AG319" s="3">
        <f t="shared" si="100"/>
        <v>2</v>
      </c>
      <c r="AH319" s="3">
        <f t="shared" si="101"/>
        <v>1</v>
      </c>
      <c r="AI319" s="3">
        <f t="shared" si="102"/>
        <v>1</v>
      </c>
    </row>
    <row r="320" spans="1:35" x14ac:dyDescent="0.3">
      <c r="A320" s="25">
        <v>8</v>
      </c>
      <c r="B320" s="25" t="s">
        <v>830</v>
      </c>
      <c r="C320" s="26" t="s">
        <v>831</v>
      </c>
      <c r="D320" s="4">
        <f t="shared" si="113"/>
        <v>600</v>
      </c>
      <c r="E320" s="4">
        <f t="shared" si="114"/>
        <v>675</v>
      </c>
      <c r="H320" s="4">
        <f t="shared" si="104"/>
        <v>85</v>
      </c>
      <c r="I320" s="4">
        <f t="shared" si="115"/>
        <v>30</v>
      </c>
      <c r="J320" s="4">
        <f t="shared" si="116"/>
        <v>25</v>
      </c>
      <c r="K320" s="4">
        <f t="shared" si="117"/>
        <v>35</v>
      </c>
      <c r="P320" s="4">
        <f t="shared" si="111"/>
        <v>75</v>
      </c>
      <c r="Q320" s="10"/>
      <c r="R320" s="14">
        <f t="shared" si="108"/>
        <v>1525</v>
      </c>
      <c r="AG320" s="3">
        <f t="shared" si="100"/>
        <v>2</v>
      </c>
      <c r="AH320" s="3">
        <f t="shared" si="101"/>
        <v>1</v>
      </c>
      <c r="AI320" s="3">
        <f t="shared" si="102"/>
        <v>1</v>
      </c>
    </row>
    <row r="321" spans="1:35" x14ac:dyDescent="0.3">
      <c r="A321" s="25">
        <v>9</v>
      </c>
      <c r="B321" s="25" t="s">
        <v>830</v>
      </c>
      <c r="C321" s="26" t="s">
        <v>831</v>
      </c>
      <c r="D321" s="4">
        <f t="shared" si="113"/>
        <v>600</v>
      </c>
      <c r="E321" s="4">
        <f t="shared" si="114"/>
        <v>675</v>
      </c>
      <c r="H321" s="4">
        <f t="shared" si="104"/>
        <v>85</v>
      </c>
      <c r="I321" s="4">
        <f t="shared" si="115"/>
        <v>30</v>
      </c>
      <c r="J321" s="4">
        <f t="shared" si="116"/>
        <v>25</v>
      </c>
      <c r="K321" s="4">
        <f t="shared" si="117"/>
        <v>35</v>
      </c>
      <c r="P321" s="4">
        <f t="shared" si="111"/>
        <v>75</v>
      </c>
      <c r="Q321" s="10"/>
      <c r="R321" s="14">
        <f t="shared" si="108"/>
        <v>1525</v>
      </c>
      <c r="AG321" s="3">
        <f t="shared" si="100"/>
        <v>2</v>
      </c>
      <c r="AH321" s="3">
        <f t="shared" si="101"/>
        <v>1</v>
      </c>
      <c r="AI321" s="3">
        <f t="shared" si="102"/>
        <v>1</v>
      </c>
    </row>
    <row r="322" spans="1:35" x14ac:dyDescent="0.3">
      <c r="A322" s="25">
        <v>10</v>
      </c>
      <c r="B322" s="25" t="s">
        <v>830</v>
      </c>
      <c r="C322" s="26" t="s">
        <v>831</v>
      </c>
      <c r="D322" s="4">
        <f t="shared" si="113"/>
        <v>600</v>
      </c>
      <c r="E322" s="4">
        <f t="shared" si="114"/>
        <v>675</v>
      </c>
      <c r="H322" s="4">
        <f t="shared" si="104"/>
        <v>85</v>
      </c>
      <c r="I322" s="4">
        <f t="shared" si="115"/>
        <v>30</v>
      </c>
      <c r="J322" s="4">
        <f t="shared" si="116"/>
        <v>25</v>
      </c>
      <c r="K322" s="4">
        <f t="shared" si="117"/>
        <v>35</v>
      </c>
      <c r="P322" s="4">
        <f t="shared" si="111"/>
        <v>75</v>
      </c>
      <c r="Q322" s="10"/>
      <c r="R322" s="14">
        <f t="shared" si="108"/>
        <v>1525</v>
      </c>
      <c r="AG322" s="3">
        <f t="shared" si="100"/>
        <v>2</v>
      </c>
      <c r="AH322" s="3">
        <f t="shared" si="101"/>
        <v>1</v>
      </c>
      <c r="AI322" s="3">
        <f t="shared" si="102"/>
        <v>1</v>
      </c>
    </row>
    <row r="323" spans="1:35" x14ac:dyDescent="0.3">
      <c r="A323" s="25">
        <v>11</v>
      </c>
      <c r="B323" s="25" t="s">
        <v>830</v>
      </c>
      <c r="C323" s="26" t="s">
        <v>831</v>
      </c>
      <c r="D323" s="4">
        <f t="shared" si="113"/>
        <v>600</v>
      </c>
      <c r="E323" s="4">
        <f t="shared" si="114"/>
        <v>675</v>
      </c>
      <c r="H323" s="4">
        <f t="shared" si="104"/>
        <v>85</v>
      </c>
      <c r="I323" s="4">
        <f t="shared" si="115"/>
        <v>30</v>
      </c>
      <c r="J323" s="4">
        <f t="shared" si="116"/>
        <v>25</v>
      </c>
      <c r="K323" s="4">
        <f t="shared" si="117"/>
        <v>35</v>
      </c>
      <c r="P323" s="4">
        <f t="shared" si="111"/>
        <v>75</v>
      </c>
      <c r="Q323" s="10"/>
      <c r="R323" s="14">
        <f t="shared" si="108"/>
        <v>1525</v>
      </c>
      <c r="AG323" s="3">
        <f t="shared" si="100"/>
        <v>2</v>
      </c>
      <c r="AH323" s="3">
        <f t="shared" si="101"/>
        <v>1</v>
      </c>
      <c r="AI323" s="3">
        <f t="shared" si="102"/>
        <v>1</v>
      </c>
    </row>
    <row r="324" spans="1:35" x14ac:dyDescent="0.3">
      <c r="A324" s="25">
        <v>12</v>
      </c>
      <c r="B324" s="25" t="s">
        <v>830</v>
      </c>
      <c r="C324" s="26" t="s">
        <v>831</v>
      </c>
      <c r="D324" s="4">
        <f t="shared" si="113"/>
        <v>600</v>
      </c>
      <c r="E324" s="4">
        <f t="shared" si="114"/>
        <v>675</v>
      </c>
      <c r="H324" s="4">
        <f t="shared" si="104"/>
        <v>85</v>
      </c>
      <c r="I324" s="4">
        <f t="shared" si="115"/>
        <v>30</v>
      </c>
      <c r="J324" s="4">
        <f t="shared" si="116"/>
        <v>25</v>
      </c>
      <c r="K324" s="4">
        <f t="shared" si="117"/>
        <v>35</v>
      </c>
      <c r="P324" s="4">
        <f t="shared" si="111"/>
        <v>75</v>
      </c>
      <c r="Q324" s="10"/>
      <c r="R324" s="14">
        <f t="shared" si="108"/>
        <v>1525</v>
      </c>
      <c r="AG324" s="3">
        <f t="shared" si="100"/>
        <v>2</v>
      </c>
      <c r="AH324" s="3">
        <f t="shared" si="101"/>
        <v>1</v>
      </c>
      <c r="AI324" s="3">
        <f t="shared" si="102"/>
        <v>1</v>
      </c>
    </row>
    <row r="325" spans="1:35" x14ac:dyDescent="0.3">
      <c r="A325" s="25">
        <v>13</v>
      </c>
      <c r="B325" s="25" t="s">
        <v>830</v>
      </c>
      <c r="C325" s="26" t="s">
        <v>831</v>
      </c>
      <c r="D325" s="4">
        <f t="shared" si="113"/>
        <v>600</v>
      </c>
      <c r="E325" s="4">
        <f t="shared" si="114"/>
        <v>675</v>
      </c>
      <c r="H325" s="4">
        <f t="shared" si="104"/>
        <v>85</v>
      </c>
      <c r="I325" s="4">
        <f t="shared" si="115"/>
        <v>30</v>
      </c>
      <c r="J325" s="4">
        <f t="shared" si="116"/>
        <v>25</v>
      </c>
      <c r="K325" s="4">
        <f t="shared" si="117"/>
        <v>35</v>
      </c>
      <c r="P325" s="4">
        <f t="shared" si="111"/>
        <v>75</v>
      </c>
      <c r="Q325" s="10"/>
      <c r="R325" s="14">
        <f t="shared" si="108"/>
        <v>1525</v>
      </c>
      <c r="AG325" s="3">
        <f t="shared" si="100"/>
        <v>2</v>
      </c>
      <c r="AH325" s="3">
        <f t="shared" si="101"/>
        <v>1</v>
      </c>
      <c r="AI325" s="3">
        <f t="shared" si="102"/>
        <v>1</v>
      </c>
    </row>
    <row r="326" spans="1:35" x14ac:dyDescent="0.3">
      <c r="A326" s="25">
        <v>14</v>
      </c>
      <c r="B326" s="25" t="s">
        <v>830</v>
      </c>
      <c r="C326" s="26" t="s">
        <v>831</v>
      </c>
      <c r="D326" s="4">
        <f t="shared" si="113"/>
        <v>600</v>
      </c>
      <c r="E326" s="4">
        <f t="shared" si="114"/>
        <v>675</v>
      </c>
      <c r="H326" s="4">
        <f t="shared" si="104"/>
        <v>85</v>
      </c>
      <c r="I326" s="4">
        <f t="shared" si="115"/>
        <v>30</v>
      </c>
      <c r="J326" s="4">
        <f t="shared" si="116"/>
        <v>25</v>
      </c>
      <c r="K326" s="4">
        <f t="shared" si="117"/>
        <v>35</v>
      </c>
      <c r="P326" s="4">
        <f t="shared" si="111"/>
        <v>75</v>
      </c>
      <c r="Q326" s="10"/>
      <c r="R326" s="14">
        <f t="shared" si="108"/>
        <v>1525</v>
      </c>
      <c r="AG326" s="3">
        <f t="shared" si="100"/>
        <v>2</v>
      </c>
      <c r="AH326" s="3">
        <f t="shared" si="101"/>
        <v>1</v>
      </c>
      <c r="AI326" s="3">
        <f t="shared" si="102"/>
        <v>1</v>
      </c>
    </row>
    <row r="327" spans="1:35" x14ac:dyDescent="0.3">
      <c r="A327" s="25">
        <v>15</v>
      </c>
      <c r="B327" s="25" t="s">
        <v>830</v>
      </c>
      <c r="C327" s="26" t="s">
        <v>831</v>
      </c>
      <c r="D327" s="4">
        <f t="shared" si="113"/>
        <v>600</v>
      </c>
      <c r="E327" s="4">
        <f t="shared" si="114"/>
        <v>675</v>
      </c>
      <c r="H327" s="4">
        <f t="shared" si="104"/>
        <v>85</v>
      </c>
      <c r="I327" s="4">
        <f t="shared" si="115"/>
        <v>30</v>
      </c>
      <c r="J327" s="4">
        <f t="shared" si="116"/>
        <v>25</v>
      </c>
      <c r="K327" s="4">
        <f t="shared" si="117"/>
        <v>35</v>
      </c>
      <c r="P327" s="4">
        <f t="shared" si="111"/>
        <v>75</v>
      </c>
      <c r="Q327" s="10"/>
      <c r="R327" s="14">
        <f t="shared" si="108"/>
        <v>1525</v>
      </c>
      <c r="AG327" s="3">
        <f t="shared" si="100"/>
        <v>2</v>
      </c>
      <c r="AH327" s="3">
        <f t="shared" si="101"/>
        <v>1</v>
      </c>
      <c r="AI327" s="3">
        <f t="shared" si="102"/>
        <v>1</v>
      </c>
    </row>
    <row r="328" spans="1:35" x14ac:dyDescent="0.3">
      <c r="A328" s="25">
        <v>16</v>
      </c>
      <c r="B328" s="25" t="s">
        <v>830</v>
      </c>
      <c r="C328" s="26" t="s">
        <v>831</v>
      </c>
      <c r="D328" s="4">
        <f t="shared" si="113"/>
        <v>600</v>
      </c>
      <c r="E328" s="4">
        <f t="shared" si="114"/>
        <v>675</v>
      </c>
      <c r="H328" s="4">
        <f t="shared" si="104"/>
        <v>85</v>
      </c>
      <c r="I328" s="4">
        <f t="shared" si="115"/>
        <v>30</v>
      </c>
      <c r="J328" s="4">
        <f t="shared" si="116"/>
        <v>25</v>
      </c>
      <c r="K328" s="4">
        <f t="shared" si="117"/>
        <v>35</v>
      </c>
      <c r="P328" s="4">
        <f t="shared" si="111"/>
        <v>75</v>
      </c>
      <c r="Q328" s="10"/>
      <c r="R328" s="14">
        <f t="shared" si="108"/>
        <v>1525</v>
      </c>
      <c r="AG328" s="3">
        <f t="shared" si="100"/>
        <v>2</v>
      </c>
      <c r="AH328" s="3">
        <f t="shared" si="101"/>
        <v>1</v>
      </c>
      <c r="AI328" s="3">
        <f t="shared" si="102"/>
        <v>1</v>
      </c>
    </row>
    <row r="329" spans="1:35" x14ac:dyDescent="0.3">
      <c r="A329" s="25">
        <v>17</v>
      </c>
      <c r="B329" s="25" t="s">
        <v>830</v>
      </c>
      <c r="C329" s="26" t="s">
        <v>831</v>
      </c>
      <c r="D329" s="4">
        <f t="shared" si="113"/>
        <v>600</v>
      </c>
      <c r="E329" s="4">
        <f t="shared" si="114"/>
        <v>675</v>
      </c>
      <c r="H329" s="4">
        <f t="shared" si="104"/>
        <v>85</v>
      </c>
      <c r="I329" s="4">
        <f t="shared" si="115"/>
        <v>30</v>
      </c>
      <c r="J329" s="4">
        <f t="shared" si="116"/>
        <v>25</v>
      </c>
      <c r="K329" s="4">
        <f t="shared" si="117"/>
        <v>35</v>
      </c>
      <c r="P329" s="4">
        <f t="shared" si="111"/>
        <v>75</v>
      </c>
      <c r="Q329" s="10"/>
      <c r="R329" s="14">
        <f t="shared" si="108"/>
        <v>1525</v>
      </c>
      <c r="AG329" s="3">
        <f t="shared" si="100"/>
        <v>2</v>
      </c>
      <c r="AH329" s="3">
        <f t="shared" si="101"/>
        <v>1</v>
      </c>
      <c r="AI329" s="3">
        <f t="shared" si="102"/>
        <v>1</v>
      </c>
    </row>
    <row r="330" spans="1:35" x14ac:dyDescent="0.3">
      <c r="A330" s="25">
        <v>18</v>
      </c>
      <c r="B330" s="25" t="s">
        <v>830</v>
      </c>
      <c r="C330" s="26" t="s">
        <v>831</v>
      </c>
      <c r="D330" s="4">
        <f t="shared" si="113"/>
        <v>600</v>
      </c>
      <c r="E330" s="4">
        <f t="shared" si="114"/>
        <v>675</v>
      </c>
      <c r="H330" s="4">
        <f t="shared" si="104"/>
        <v>85</v>
      </c>
      <c r="I330" s="4">
        <f t="shared" si="115"/>
        <v>30</v>
      </c>
      <c r="J330" s="4">
        <f t="shared" si="116"/>
        <v>25</v>
      </c>
      <c r="K330" s="4">
        <f t="shared" si="117"/>
        <v>35</v>
      </c>
      <c r="P330" s="4">
        <f t="shared" si="111"/>
        <v>75</v>
      </c>
      <c r="Q330" s="10"/>
      <c r="R330" s="14">
        <f t="shared" si="108"/>
        <v>1525</v>
      </c>
      <c r="AG330" s="3">
        <f t="shared" si="100"/>
        <v>2</v>
      </c>
      <c r="AH330" s="3">
        <f t="shared" si="101"/>
        <v>1</v>
      </c>
      <c r="AI330" s="3">
        <f t="shared" si="102"/>
        <v>1</v>
      </c>
    </row>
    <row r="331" spans="1:35" ht="14.5" thickBot="1" x14ac:dyDescent="0.35">
      <c r="A331" s="25">
        <v>19</v>
      </c>
      <c r="B331" s="25" t="s">
        <v>830</v>
      </c>
      <c r="C331" s="26" t="s">
        <v>831</v>
      </c>
      <c r="D331" s="4">
        <f t="shared" si="113"/>
        <v>600</v>
      </c>
      <c r="E331" s="4">
        <f t="shared" si="114"/>
        <v>675</v>
      </c>
      <c r="H331" s="4">
        <f t="shared" si="104"/>
        <v>85</v>
      </c>
      <c r="I331" s="4">
        <f t="shared" si="115"/>
        <v>30</v>
      </c>
      <c r="J331" s="4">
        <f t="shared" si="116"/>
        <v>25</v>
      </c>
      <c r="K331" s="4">
        <f t="shared" si="117"/>
        <v>35</v>
      </c>
      <c r="P331" s="4">
        <f t="shared" si="111"/>
        <v>75</v>
      </c>
      <c r="Q331" s="10"/>
      <c r="R331" s="14">
        <f t="shared" si="108"/>
        <v>1525</v>
      </c>
      <c r="U331" s="14"/>
      <c r="AG331" s="3">
        <f t="shared" si="100"/>
        <v>2</v>
      </c>
      <c r="AH331" s="3">
        <f t="shared" si="101"/>
        <v>1</v>
      </c>
      <c r="AI331" s="3">
        <f t="shared" si="102"/>
        <v>1</v>
      </c>
    </row>
    <row r="332" spans="1:35" ht="16" thickBot="1" x14ac:dyDescent="0.4">
      <c r="A332" s="25">
        <v>20</v>
      </c>
      <c r="B332" s="25" t="s">
        <v>830</v>
      </c>
      <c r="C332" s="26" t="s">
        <v>831</v>
      </c>
      <c r="D332" s="4">
        <f t="shared" si="113"/>
        <v>600</v>
      </c>
      <c r="E332" s="4">
        <f t="shared" si="114"/>
        <v>675</v>
      </c>
      <c r="H332" s="4">
        <f t="shared" si="104"/>
        <v>85</v>
      </c>
      <c r="I332" s="4">
        <f t="shared" si="115"/>
        <v>30</v>
      </c>
      <c r="J332" s="4">
        <f t="shared" si="116"/>
        <v>25</v>
      </c>
      <c r="K332" s="4">
        <f t="shared" si="117"/>
        <v>35</v>
      </c>
      <c r="P332" s="4">
        <f t="shared" si="111"/>
        <v>75</v>
      </c>
      <c r="Q332" s="10"/>
      <c r="R332" s="14">
        <f t="shared" si="108"/>
        <v>1525</v>
      </c>
      <c r="T332" s="21">
        <f>SUM(R313:R332)</f>
        <v>30500</v>
      </c>
      <c r="AG332" s="3">
        <f t="shared" si="100"/>
        <v>2</v>
      </c>
      <c r="AH332" s="3">
        <f t="shared" si="101"/>
        <v>1</v>
      </c>
      <c r="AI332" s="3">
        <f t="shared" si="102"/>
        <v>1</v>
      </c>
    </row>
    <row r="333" spans="1:35" x14ac:dyDescent="0.3">
      <c r="A333" s="3">
        <v>1</v>
      </c>
      <c r="B333" s="3" t="s">
        <v>832</v>
      </c>
      <c r="C333" s="20" t="s">
        <v>833</v>
      </c>
      <c r="D333" s="4">
        <f t="shared" si="113"/>
        <v>600</v>
      </c>
      <c r="E333" s="4">
        <f>($T$6+$P$2)*$E$3</f>
        <v>675</v>
      </c>
      <c r="H333" s="4">
        <f t="shared" si="104"/>
        <v>85</v>
      </c>
      <c r="I333" s="4">
        <f>($T$6+$P$2)*$I$3</f>
        <v>45</v>
      </c>
      <c r="J333" s="4">
        <f>($T$6)*$J$3</f>
        <v>50</v>
      </c>
      <c r="K333" s="4">
        <f>($T$6)*$K$3</f>
        <v>70</v>
      </c>
      <c r="L333" s="4">
        <v>85</v>
      </c>
      <c r="P333" s="4">
        <f t="shared" si="111"/>
        <v>75</v>
      </c>
      <c r="Q333" s="10"/>
      <c r="R333" s="14">
        <f t="shared" si="108"/>
        <v>1685</v>
      </c>
      <c r="AG333" s="3">
        <f t="shared" si="100"/>
        <v>3</v>
      </c>
      <c r="AH333" s="3">
        <f t="shared" si="101"/>
        <v>2</v>
      </c>
      <c r="AI333" s="3">
        <f t="shared" si="102"/>
        <v>2</v>
      </c>
    </row>
    <row r="334" spans="1:35" x14ac:dyDescent="0.3">
      <c r="A334" s="3">
        <v>2</v>
      </c>
      <c r="B334" s="3" t="s">
        <v>832</v>
      </c>
      <c r="C334" s="20" t="s">
        <v>833</v>
      </c>
      <c r="D334" s="4">
        <f t="shared" si="113"/>
        <v>600</v>
      </c>
      <c r="E334" s="4">
        <f>($T$6+$P$2)*$E$3</f>
        <v>675</v>
      </c>
      <c r="H334" s="4">
        <f t="shared" si="104"/>
        <v>85</v>
      </c>
      <c r="I334" s="4">
        <f>($T$6+$P$2)*$I$3</f>
        <v>45</v>
      </c>
      <c r="J334" s="4">
        <f>($T$6)*$J$3</f>
        <v>50</v>
      </c>
      <c r="K334" s="4">
        <f>($T$6)*$K$3</f>
        <v>70</v>
      </c>
      <c r="P334" s="4">
        <f t="shared" si="111"/>
        <v>75</v>
      </c>
      <c r="Q334" s="10"/>
      <c r="R334" s="14">
        <f t="shared" si="108"/>
        <v>1600</v>
      </c>
      <c r="AG334" s="3">
        <f t="shared" si="100"/>
        <v>3</v>
      </c>
      <c r="AH334" s="3">
        <f t="shared" si="101"/>
        <v>2</v>
      </c>
      <c r="AI334" s="3">
        <f t="shared" si="102"/>
        <v>2</v>
      </c>
    </row>
    <row r="335" spans="1:35" ht="14.5" thickBot="1" x14ac:dyDescent="0.35">
      <c r="C335" s="20" t="s">
        <v>834</v>
      </c>
      <c r="D335" s="4">
        <f t="shared" si="113"/>
        <v>600</v>
      </c>
      <c r="E335" s="4">
        <f>($T$6+$P$2)*$E$3</f>
        <v>675</v>
      </c>
      <c r="H335" s="4">
        <f t="shared" si="104"/>
        <v>85</v>
      </c>
      <c r="I335" s="4">
        <f>($T$6+$P$2)*$I$3</f>
        <v>45</v>
      </c>
      <c r="J335" s="4">
        <f>($T$6)*$J$3</f>
        <v>50</v>
      </c>
      <c r="K335" s="4">
        <f>($T$6)*$K$3</f>
        <v>70</v>
      </c>
      <c r="P335" s="4">
        <f t="shared" si="111"/>
        <v>75</v>
      </c>
      <c r="Q335" s="10"/>
      <c r="R335" s="14">
        <f t="shared" si="108"/>
        <v>1600</v>
      </c>
      <c r="AG335" s="3">
        <f t="shared" si="100"/>
        <v>3</v>
      </c>
      <c r="AH335" s="3">
        <f t="shared" si="101"/>
        <v>2</v>
      </c>
      <c r="AI335" s="3">
        <f t="shared" si="102"/>
        <v>2</v>
      </c>
    </row>
    <row r="336" spans="1:35" ht="16" thickBot="1" x14ac:dyDescent="0.4">
      <c r="A336" s="3">
        <v>3</v>
      </c>
      <c r="B336" s="3" t="s">
        <v>832</v>
      </c>
      <c r="C336" s="20" t="s">
        <v>835</v>
      </c>
      <c r="I336" s="4">
        <f t="shared" ref="I336:I352" si="118">($T$5+$P$2)*$I$3</f>
        <v>30</v>
      </c>
      <c r="J336" s="4">
        <f>($T$5+$P$2)*$J$3</f>
        <v>50</v>
      </c>
      <c r="K336" s="4">
        <f t="shared" si="107"/>
        <v>35</v>
      </c>
      <c r="Q336" s="10"/>
      <c r="R336" s="14">
        <f t="shared" si="108"/>
        <v>115</v>
      </c>
      <c r="T336" s="21">
        <f>SUM(R333:R336)</f>
        <v>5000</v>
      </c>
      <c r="AG336" s="3">
        <f t="shared" si="100"/>
        <v>2</v>
      </c>
      <c r="AH336" s="3">
        <f t="shared" si="101"/>
        <v>2</v>
      </c>
      <c r="AI336" s="3">
        <f t="shared" si="102"/>
        <v>1</v>
      </c>
    </row>
    <row r="337" spans="1:35" x14ac:dyDescent="0.3">
      <c r="A337" s="3">
        <v>1</v>
      </c>
      <c r="B337" s="3" t="s">
        <v>814</v>
      </c>
      <c r="C337" s="20" t="s">
        <v>836</v>
      </c>
      <c r="D337" s="4">
        <f t="shared" si="113"/>
        <v>600</v>
      </c>
      <c r="E337" s="4">
        <f t="shared" ref="E337:E352" si="119">($T$5+$P$2)*$E$3</f>
        <v>450</v>
      </c>
      <c r="H337" s="4">
        <f t="shared" ref="H337:H361" si="120">$H$3</f>
        <v>85</v>
      </c>
      <c r="I337" s="4">
        <f t="shared" si="118"/>
        <v>30</v>
      </c>
      <c r="J337" s="4">
        <f t="shared" si="106"/>
        <v>25</v>
      </c>
      <c r="K337" s="4">
        <f t="shared" si="107"/>
        <v>35</v>
      </c>
      <c r="P337" s="4">
        <f t="shared" ref="P337:P352" si="121">$L$3</f>
        <v>75</v>
      </c>
      <c r="Q337" s="10"/>
      <c r="R337" s="14">
        <f t="shared" si="108"/>
        <v>1300</v>
      </c>
      <c r="AG337" s="3">
        <f t="shared" ref="AG337:AG362" si="122">I337/$AG$3</f>
        <v>2</v>
      </c>
      <c r="AH337" s="3">
        <f t="shared" ref="AH337:AH362" si="123">J337/$AH$3</f>
        <v>1</v>
      </c>
      <c r="AI337" s="3">
        <f t="shared" ref="AI337:AI362" si="124">K337/$AI$3</f>
        <v>1</v>
      </c>
    </row>
    <row r="338" spans="1:35" x14ac:dyDescent="0.3">
      <c r="A338" s="3">
        <v>2</v>
      </c>
      <c r="B338" s="3" t="s">
        <v>814</v>
      </c>
      <c r="C338" s="20" t="s">
        <v>836</v>
      </c>
      <c r="D338" s="4">
        <f t="shared" si="113"/>
        <v>600</v>
      </c>
      <c r="E338" s="4">
        <f t="shared" si="119"/>
        <v>450</v>
      </c>
      <c r="H338" s="4">
        <f t="shared" si="120"/>
        <v>85</v>
      </c>
      <c r="I338" s="4">
        <f t="shared" si="118"/>
        <v>30</v>
      </c>
      <c r="J338" s="4">
        <f t="shared" si="106"/>
        <v>25</v>
      </c>
      <c r="K338" s="4">
        <f t="shared" si="107"/>
        <v>35</v>
      </c>
      <c r="P338" s="4">
        <f t="shared" si="121"/>
        <v>75</v>
      </c>
      <c r="Q338" s="10"/>
      <c r="R338" s="14">
        <f t="shared" si="108"/>
        <v>1300</v>
      </c>
      <c r="AG338" s="3">
        <f t="shared" si="122"/>
        <v>2</v>
      </c>
      <c r="AH338" s="3">
        <f t="shared" si="123"/>
        <v>1</v>
      </c>
      <c r="AI338" s="3">
        <f t="shared" si="124"/>
        <v>1</v>
      </c>
    </row>
    <row r="339" spans="1:35" x14ac:dyDescent="0.3">
      <c r="A339" s="3">
        <v>3</v>
      </c>
      <c r="B339" s="3" t="s">
        <v>814</v>
      </c>
      <c r="C339" s="20" t="s">
        <v>836</v>
      </c>
      <c r="D339" s="4">
        <f t="shared" si="113"/>
        <v>600</v>
      </c>
      <c r="E339" s="4">
        <f t="shared" si="119"/>
        <v>450</v>
      </c>
      <c r="H339" s="4">
        <f t="shared" si="120"/>
        <v>85</v>
      </c>
      <c r="I339" s="4">
        <f t="shared" si="118"/>
        <v>30</v>
      </c>
      <c r="J339" s="4">
        <f t="shared" si="106"/>
        <v>25</v>
      </c>
      <c r="K339" s="4">
        <f t="shared" si="107"/>
        <v>35</v>
      </c>
      <c r="P339" s="4">
        <f t="shared" si="121"/>
        <v>75</v>
      </c>
      <c r="Q339" s="10"/>
      <c r="R339" s="14">
        <f t="shared" si="108"/>
        <v>1300</v>
      </c>
      <c r="AG339" s="3">
        <f t="shared" si="122"/>
        <v>2</v>
      </c>
      <c r="AH339" s="3">
        <f t="shared" si="123"/>
        <v>1</v>
      </c>
      <c r="AI339" s="3">
        <f t="shared" si="124"/>
        <v>1</v>
      </c>
    </row>
    <row r="340" spans="1:35" x14ac:dyDescent="0.3">
      <c r="A340" s="3">
        <v>4</v>
      </c>
      <c r="B340" s="3" t="s">
        <v>814</v>
      </c>
      <c r="C340" s="20" t="s">
        <v>836</v>
      </c>
      <c r="D340" s="4">
        <f t="shared" si="113"/>
        <v>600</v>
      </c>
      <c r="E340" s="4">
        <f t="shared" si="119"/>
        <v>450</v>
      </c>
      <c r="H340" s="4">
        <f t="shared" si="120"/>
        <v>85</v>
      </c>
      <c r="I340" s="4">
        <f t="shared" si="118"/>
        <v>30</v>
      </c>
      <c r="J340" s="4">
        <f t="shared" si="106"/>
        <v>25</v>
      </c>
      <c r="K340" s="4">
        <f t="shared" si="107"/>
        <v>35</v>
      </c>
      <c r="P340" s="4">
        <f t="shared" si="121"/>
        <v>75</v>
      </c>
      <c r="Q340" s="10"/>
      <c r="R340" s="14">
        <f t="shared" si="108"/>
        <v>1300</v>
      </c>
      <c r="AG340" s="3">
        <f t="shared" si="122"/>
        <v>2</v>
      </c>
      <c r="AH340" s="3">
        <f t="shared" si="123"/>
        <v>1</v>
      </c>
      <c r="AI340" s="3">
        <f t="shared" si="124"/>
        <v>1</v>
      </c>
    </row>
    <row r="341" spans="1:35" x14ac:dyDescent="0.3">
      <c r="A341" s="3">
        <v>5</v>
      </c>
      <c r="B341" s="3" t="s">
        <v>814</v>
      </c>
      <c r="C341" s="20" t="s">
        <v>836</v>
      </c>
      <c r="D341" s="4">
        <f t="shared" si="113"/>
        <v>600</v>
      </c>
      <c r="E341" s="4">
        <f t="shared" si="119"/>
        <v>450</v>
      </c>
      <c r="H341" s="4">
        <f t="shared" si="120"/>
        <v>85</v>
      </c>
      <c r="I341" s="4">
        <f t="shared" si="118"/>
        <v>30</v>
      </c>
      <c r="J341" s="4">
        <f t="shared" si="106"/>
        <v>25</v>
      </c>
      <c r="K341" s="4">
        <f t="shared" si="107"/>
        <v>35</v>
      </c>
      <c r="P341" s="4">
        <f t="shared" si="121"/>
        <v>75</v>
      </c>
      <c r="Q341" s="10"/>
      <c r="R341" s="14">
        <f t="shared" si="108"/>
        <v>1300</v>
      </c>
      <c r="AG341" s="3">
        <f t="shared" si="122"/>
        <v>2</v>
      </c>
      <c r="AH341" s="3">
        <f t="shared" si="123"/>
        <v>1</v>
      </c>
      <c r="AI341" s="3">
        <f t="shared" si="124"/>
        <v>1</v>
      </c>
    </row>
    <row r="342" spans="1:35" x14ac:dyDescent="0.3">
      <c r="A342" s="3">
        <v>6</v>
      </c>
      <c r="B342" s="3" t="s">
        <v>814</v>
      </c>
      <c r="C342" s="20" t="s">
        <v>836</v>
      </c>
      <c r="D342" s="4">
        <f t="shared" si="113"/>
        <v>600</v>
      </c>
      <c r="E342" s="4">
        <f t="shared" si="119"/>
        <v>450</v>
      </c>
      <c r="H342" s="4">
        <f t="shared" si="120"/>
        <v>85</v>
      </c>
      <c r="I342" s="4">
        <f t="shared" si="118"/>
        <v>30</v>
      </c>
      <c r="J342" s="4">
        <f t="shared" si="106"/>
        <v>25</v>
      </c>
      <c r="K342" s="4">
        <f t="shared" si="107"/>
        <v>35</v>
      </c>
      <c r="P342" s="4">
        <f t="shared" si="121"/>
        <v>75</v>
      </c>
      <c r="Q342" s="10"/>
      <c r="R342" s="14">
        <f t="shared" si="108"/>
        <v>1300</v>
      </c>
      <c r="AG342" s="3">
        <f t="shared" si="122"/>
        <v>2</v>
      </c>
      <c r="AH342" s="3">
        <f t="shared" si="123"/>
        <v>1</v>
      </c>
      <c r="AI342" s="3">
        <f t="shared" si="124"/>
        <v>1</v>
      </c>
    </row>
    <row r="343" spans="1:35" x14ac:dyDescent="0.3">
      <c r="A343" s="3">
        <v>1</v>
      </c>
      <c r="B343" s="3" t="s">
        <v>814</v>
      </c>
      <c r="C343" s="20" t="s">
        <v>837</v>
      </c>
      <c r="D343" s="4">
        <f t="shared" si="113"/>
        <v>600</v>
      </c>
      <c r="E343" s="4">
        <f t="shared" si="119"/>
        <v>450</v>
      </c>
      <c r="H343" s="4">
        <f t="shared" si="120"/>
        <v>85</v>
      </c>
      <c r="I343" s="4">
        <f t="shared" si="118"/>
        <v>30</v>
      </c>
      <c r="J343" s="4">
        <f t="shared" si="106"/>
        <v>25</v>
      </c>
      <c r="K343" s="4">
        <f t="shared" si="107"/>
        <v>35</v>
      </c>
      <c r="P343" s="4">
        <f t="shared" si="121"/>
        <v>75</v>
      </c>
      <c r="Q343" s="10"/>
      <c r="R343" s="14">
        <f t="shared" si="108"/>
        <v>1300</v>
      </c>
      <c r="AG343" s="3">
        <f t="shared" si="122"/>
        <v>2</v>
      </c>
      <c r="AH343" s="3">
        <f t="shared" si="123"/>
        <v>1</v>
      </c>
      <c r="AI343" s="3">
        <f t="shared" si="124"/>
        <v>1</v>
      </c>
    </row>
    <row r="344" spans="1:35" x14ac:dyDescent="0.3">
      <c r="A344" s="3">
        <v>2</v>
      </c>
      <c r="B344" s="3" t="s">
        <v>814</v>
      </c>
      <c r="C344" s="20" t="s">
        <v>837</v>
      </c>
      <c r="D344" s="4">
        <f t="shared" si="113"/>
        <v>600</v>
      </c>
      <c r="E344" s="4">
        <f t="shared" si="119"/>
        <v>450</v>
      </c>
      <c r="H344" s="4">
        <f t="shared" si="120"/>
        <v>85</v>
      </c>
      <c r="I344" s="4">
        <f t="shared" si="118"/>
        <v>30</v>
      </c>
      <c r="J344" s="4">
        <f t="shared" si="106"/>
        <v>25</v>
      </c>
      <c r="K344" s="4">
        <f t="shared" si="107"/>
        <v>35</v>
      </c>
      <c r="P344" s="4">
        <f t="shared" si="121"/>
        <v>75</v>
      </c>
      <c r="Q344" s="10"/>
      <c r="R344" s="14">
        <f t="shared" si="108"/>
        <v>1300</v>
      </c>
      <c r="AG344" s="3">
        <f t="shared" si="122"/>
        <v>2</v>
      </c>
      <c r="AH344" s="3">
        <f t="shared" si="123"/>
        <v>1</v>
      </c>
      <c r="AI344" s="3">
        <f t="shared" si="124"/>
        <v>1</v>
      </c>
    </row>
    <row r="345" spans="1:35" x14ac:dyDescent="0.3">
      <c r="A345" s="3">
        <v>3</v>
      </c>
      <c r="B345" s="3" t="s">
        <v>814</v>
      </c>
      <c r="C345" s="20" t="s">
        <v>837</v>
      </c>
      <c r="D345" s="4">
        <f t="shared" si="113"/>
        <v>600</v>
      </c>
      <c r="E345" s="4">
        <f t="shared" si="119"/>
        <v>450</v>
      </c>
      <c r="H345" s="4">
        <f t="shared" si="120"/>
        <v>85</v>
      </c>
      <c r="I345" s="4">
        <f t="shared" si="118"/>
        <v>30</v>
      </c>
      <c r="J345" s="4">
        <f t="shared" si="106"/>
        <v>25</v>
      </c>
      <c r="K345" s="4">
        <f t="shared" si="107"/>
        <v>35</v>
      </c>
      <c r="P345" s="4">
        <f t="shared" si="121"/>
        <v>75</v>
      </c>
      <c r="Q345" s="10"/>
      <c r="R345" s="14">
        <f t="shared" si="108"/>
        <v>1300</v>
      </c>
      <c r="AG345" s="3">
        <f t="shared" si="122"/>
        <v>2</v>
      </c>
      <c r="AH345" s="3">
        <f t="shared" si="123"/>
        <v>1</v>
      </c>
      <c r="AI345" s="3">
        <f t="shared" si="124"/>
        <v>1</v>
      </c>
    </row>
    <row r="346" spans="1:35" x14ac:dyDescent="0.3">
      <c r="A346" s="3">
        <v>4</v>
      </c>
      <c r="B346" s="3" t="s">
        <v>814</v>
      </c>
      <c r="C346" s="20" t="s">
        <v>837</v>
      </c>
      <c r="D346" s="4">
        <f t="shared" si="113"/>
        <v>600</v>
      </c>
      <c r="E346" s="4">
        <f t="shared" si="119"/>
        <v>450</v>
      </c>
      <c r="H346" s="4">
        <f t="shared" si="120"/>
        <v>85</v>
      </c>
      <c r="I346" s="4">
        <f t="shared" si="118"/>
        <v>30</v>
      </c>
      <c r="J346" s="4">
        <f t="shared" si="106"/>
        <v>25</v>
      </c>
      <c r="K346" s="4">
        <f t="shared" si="107"/>
        <v>35</v>
      </c>
      <c r="P346" s="4">
        <f t="shared" si="121"/>
        <v>75</v>
      </c>
      <c r="Q346" s="10"/>
      <c r="R346" s="14">
        <f t="shared" si="108"/>
        <v>1300</v>
      </c>
      <c r="AG346" s="3">
        <f t="shared" si="122"/>
        <v>2</v>
      </c>
      <c r="AH346" s="3">
        <f t="shared" si="123"/>
        <v>1</v>
      </c>
      <c r="AI346" s="3">
        <f t="shared" si="124"/>
        <v>1</v>
      </c>
    </row>
    <row r="347" spans="1:35" x14ac:dyDescent="0.3">
      <c r="A347" s="3">
        <v>5</v>
      </c>
      <c r="B347" s="3" t="s">
        <v>814</v>
      </c>
      <c r="C347" s="20" t="s">
        <v>837</v>
      </c>
      <c r="D347" s="4">
        <f t="shared" si="113"/>
        <v>600</v>
      </c>
      <c r="E347" s="4">
        <f t="shared" si="119"/>
        <v>450</v>
      </c>
      <c r="H347" s="4">
        <f t="shared" si="120"/>
        <v>85</v>
      </c>
      <c r="I347" s="4">
        <f t="shared" si="118"/>
        <v>30</v>
      </c>
      <c r="J347" s="4">
        <f t="shared" si="106"/>
        <v>25</v>
      </c>
      <c r="K347" s="4">
        <f t="shared" si="107"/>
        <v>35</v>
      </c>
      <c r="P347" s="4">
        <f t="shared" si="121"/>
        <v>75</v>
      </c>
      <c r="Q347" s="10"/>
      <c r="R347" s="14">
        <f t="shared" si="108"/>
        <v>1300</v>
      </c>
      <c r="AG347" s="3">
        <f t="shared" si="122"/>
        <v>2</v>
      </c>
      <c r="AH347" s="3">
        <f t="shared" si="123"/>
        <v>1</v>
      </c>
      <c r="AI347" s="3">
        <f t="shared" si="124"/>
        <v>1</v>
      </c>
    </row>
    <row r="348" spans="1:35" x14ac:dyDescent="0.3">
      <c r="A348" s="3">
        <v>6</v>
      </c>
      <c r="B348" s="3" t="s">
        <v>814</v>
      </c>
      <c r="C348" s="20" t="s">
        <v>837</v>
      </c>
      <c r="D348" s="4">
        <f t="shared" si="113"/>
        <v>600</v>
      </c>
      <c r="E348" s="4">
        <f t="shared" si="119"/>
        <v>450</v>
      </c>
      <c r="H348" s="4">
        <f t="shared" si="120"/>
        <v>85</v>
      </c>
      <c r="I348" s="4">
        <f t="shared" si="118"/>
        <v>30</v>
      </c>
      <c r="J348" s="4">
        <f t="shared" si="106"/>
        <v>25</v>
      </c>
      <c r="K348" s="4">
        <f t="shared" si="107"/>
        <v>35</v>
      </c>
      <c r="P348" s="4">
        <f t="shared" si="121"/>
        <v>75</v>
      </c>
      <c r="Q348" s="10"/>
      <c r="R348" s="14">
        <f t="shared" si="108"/>
        <v>1300</v>
      </c>
      <c r="AG348" s="3">
        <f t="shared" si="122"/>
        <v>2</v>
      </c>
      <c r="AH348" s="3">
        <f t="shared" si="123"/>
        <v>1</v>
      </c>
      <c r="AI348" s="3">
        <f t="shared" si="124"/>
        <v>1</v>
      </c>
    </row>
    <row r="349" spans="1:35" x14ac:dyDescent="0.3">
      <c r="A349" s="3">
        <v>7</v>
      </c>
      <c r="B349" s="3" t="s">
        <v>814</v>
      </c>
      <c r="C349" s="20" t="s">
        <v>837</v>
      </c>
      <c r="D349" s="4">
        <f t="shared" si="113"/>
        <v>600</v>
      </c>
      <c r="E349" s="4">
        <f t="shared" si="119"/>
        <v>450</v>
      </c>
      <c r="H349" s="4">
        <f t="shared" si="120"/>
        <v>85</v>
      </c>
      <c r="I349" s="4">
        <f t="shared" si="118"/>
        <v>30</v>
      </c>
      <c r="J349" s="4">
        <f t="shared" si="106"/>
        <v>25</v>
      </c>
      <c r="K349" s="4">
        <f t="shared" si="107"/>
        <v>35</v>
      </c>
      <c r="P349" s="4">
        <f t="shared" si="121"/>
        <v>75</v>
      </c>
      <c r="Q349" s="10"/>
      <c r="R349" s="14">
        <f t="shared" si="108"/>
        <v>1300</v>
      </c>
      <c r="AG349" s="3">
        <f t="shared" si="122"/>
        <v>2</v>
      </c>
      <c r="AH349" s="3">
        <f t="shared" si="123"/>
        <v>1</v>
      </c>
      <c r="AI349" s="3">
        <f t="shared" si="124"/>
        <v>1</v>
      </c>
    </row>
    <row r="350" spans="1:35" x14ac:dyDescent="0.3">
      <c r="A350" s="3">
        <v>8</v>
      </c>
      <c r="B350" s="3" t="s">
        <v>814</v>
      </c>
      <c r="C350" s="20" t="s">
        <v>837</v>
      </c>
      <c r="D350" s="4">
        <f t="shared" si="113"/>
        <v>600</v>
      </c>
      <c r="E350" s="4">
        <f t="shared" si="119"/>
        <v>450</v>
      </c>
      <c r="H350" s="4">
        <f t="shared" si="120"/>
        <v>85</v>
      </c>
      <c r="I350" s="4">
        <f t="shared" si="118"/>
        <v>30</v>
      </c>
      <c r="J350" s="4">
        <f t="shared" si="106"/>
        <v>25</v>
      </c>
      <c r="K350" s="4">
        <f t="shared" si="107"/>
        <v>35</v>
      </c>
      <c r="L350" s="4">
        <v>200</v>
      </c>
      <c r="P350" s="4">
        <f t="shared" si="121"/>
        <v>75</v>
      </c>
      <c r="Q350" s="10"/>
      <c r="R350" s="14">
        <f t="shared" si="108"/>
        <v>1500</v>
      </c>
      <c r="AG350" s="3">
        <f t="shared" si="122"/>
        <v>2</v>
      </c>
      <c r="AH350" s="3">
        <f t="shared" si="123"/>
        <v>1</v>
      </c>
      <c r="AI350" s="3">
        <f t="shared" si="124"/>
        <v>1</v>
      </c>
    </row>
    <row r="351" spans="1:35" ht="14.5" thickBot="1" x14ac:dyDescent="0.35">
      <c r="A351" s="3">
        <v>9</v>
      </c>
      <c r="B351" s="3" t="s">
        <v>814</v>
      </c>
      <c r="C351" s="20" t="s">
        <v>837</v>
      </c>
      <c r="D351" s="4">
        <f t="shared" si="113"/>
        <v>600</v>
      </c>
      <c r="E351" s="4">
        <f t="shared" si="119"/>
        <v>450</v>
      </c>
      <c r="H351" s="4">
        <f t="shared" si="120"/>
        <v>85</v>
      </c>
      <c r="I351" s="4">
        <f t="shared" si="118"/>
        <v>30</v>
      </c>
      <c r="J351" s="4">
        <f t="shared" si="106"/>
        <v>25</v>
      </c>
      <c r="K351" s="4">
        <f t="shared" si="107"/>
        <v>35</v>
      </c>
      <c r="P351" s="4">
        <f t="shared" si="121"/>
        <v>75</v>
      </c>
      <c r="Q351" s="10"/>
      <c r="R351" s="14">
        <f t="shared" si="108"/>
        <v>1300</v>
      </c>
      <c r="U351" s="14"/>
      <c r="AG351" s="3">
        <f t="shared" si="122"/>
        <v>2</v>
      </c>
      <c r="AH351" s="3">
        <f t="shared" si="123"/>
        <v>1</v>
      </c>
      <c r="AI351" s="3">
        <f t="shared" si="124"/>
        <v>1</v>
      </c>
    </row>
    <row r="352" spans="1:35" ht="16" thickBot="1" x14ac:dyDescent="0.4">
      <c r="A352" s="3">
        <v>10</v>
      </c>
      <c r="B352" s="3" t="s">
        <v>814</v>
      </c>
      <c r="C352" s="20" t="s">
        <v>837</v>
      </c>
      <c r="D352" s="4">
        <f t="shared" si="113"/>
        <v>600</v>
      </c>
      <c r="E352" s="4">
        <f t="shared" si="119"/>
        <v>450</v>
      </c>
      <c r="H352" s="4">
        <f t="shared" si="120"/>
        <v>85</v>
      </c>
      <c r="I352" s="4">
        <f t="shared" si="118"/>
        <v>30</v>
      </c>
      <c r="J352" s="4">
        <f t="shared" si="106"/>
        <v>25</v>
      </c>
      <c r="K352" s="4">
        <f t="shared" si="107"/>
        <v>35</v>
      </c>
      <c r="P352" s="4">
        <f t="shared" si="121"/>
        <v>75</v>
      </c>
      <c r="Q352" s="10"/>
      <c r="R352" s="14">
        <f t="shared" si="108"/>
        <v>1300</v>
      </c>
      <c r="T352" s="21">
        <f>SUM(R337:R352)</f>
        <v>21000</v>
      </c>
      <c r="U352" s="14"/>
      <c r="AG352" s="3">
        <f t="shared" si="122"/>
        <v>2</v>
      </c>
      <c r="AH352" s="3">
        <f t="shared" si="123"/>
        <v>1</v>
      </c>
      <c r="AI352" s="3">
        <f t="shared" si="124"/>
        <v>1</v>
      </c>
    </row>
    <row r="353" spans="2:39" x14ac:dyDescent="0.3">
      <c r="B353" s="3" t="s">
        <v>838</v>
      </c>
      <c r="C353" s="20" t="s">
        <v>839</v>
      </c>
      <c r="D353" s="4">
        <f t="shared" si="113"/>
        <v>600</v>
      </c>
      <c r="E353" s="4">
        <f t="shared" ref="E353:E361" si="125">($T$22+$P$2)*$E$3</f>
        <v>1350</v>
      </c>
      <c r="H353" s="4">
        <f t="shared" si="120"/>
        <v>85</v>
      </c>
      <c r="I353" s="4">
        <f t="shared" ref="I353:I361" si="126">($T$22+$P$2)*$I$3</f>
        <v>90</v>
      </c>
      <c r="J353" s="4">
        <f t="shared" ref="J353:J361" si="127">($T$22+$P$2)*$J$3</f>
        <v>150</v>
      </c>
      <c r="K353" s="4">
        <f t="shared" ref="K353:K361" si="128">($T$22+$P$2)*$K$3</f>
        <v>210</v>
      </c>
      <c r="L353" s="4">
        <v>206.67</v>
      </c>
      <c r="P353" s="4">
        <f>2019-2400</f>
        <v>-381</v>
      </c>
      <c r="Q353" s="10"/>
      <c r="R353" s="14">
        <f t="shared" si="108"/>
        <v>2310.67</v>
      </c>
      <c r="AG353" s="3">
        <f t="shared" si="122"/>
        <v>6</v>
      </c>
      <c r="AH353" s="3">
        <f t="shared" si="123"/>
        <v>6</v>
      </c>
      <c r="AI353" s="3">
        <f t="shared" si="124"/>
        <v>6</v>
      </c>
    </row>
    <row r="354" spans="2:39" x14ac:dyDescent="0.3">
      <c r="B354" s="3" t="s">
        <v>838</v>
      </c>
      <c r="C354" s="20" t="s">
        <v>839</v>
      </c>
      <c r="D354" s="4">
        <f t="shared" si="113"/>
        <v>600</v>
      </c>
      <c r="E354" s="4">
        <f t="shared" si="125"/>
        <v>1350</v>
      </c>
      <c r="H354" s="4">
        <f t="shared" si="120"/>
        <v>85</v>
      </c>
      <c r="I354" s="4">
        <f t="shared" si="126"/>
        <v>90</v>
      </c>
      <c r="J354" s="4">
        <f t="shared" si="127"/>
        <v>150</v>
      </c>
      <c r="K354" s="4">
        <f t="shared" si="128"/>
        <v>210</v>
      </c>
      <c r="L354" s="4">
        <v>206.67</v>
      </c>
      <c r="P354" s="4">
        <v>2019.11</v>
      </c>
      <c r="Q354" s="10"/>
      <c r="R354" s="14">
        <f t="shared" si="108"/>
        <v>4710.78</v>
      </c>
      <c r="AG354" s="3">
        <f t="shared" si="122"/>
        <v>6</v>
      </c>
      <c r="AH354" s="3">
        <f t="shared" si="123"/>
        <v>6</v>
      </c>
      <c r="AI354" s="3">
        <f t="shared" si="124"/>
        <v>6</v>
      </c>
      <c r="AM354" s="2">
        <f>5000/9</f>
        <v>555.55555555555554</v>
      </c>
    </row>
    <row r="355" spans="2:39" x14ac:dyDescent="0.3">
      <c r="B355" s="3" t="s">
        <v>838</v>
      </c>
      <c r="C355" s="20" t="s">
        <v>839</v>
      </c>
      <c r="D355" s="4">
        <f t="shared" si="113"/>
        <v>600</v>
      </c>
      <c r="E355" s="4">
        <f t="shared" si="125"/>
        <v>1350</v>
      </c>
      <c r="H355" s="4">
        <f t="shared" si="120"/>
        <v>85</v>
      </c>
      <c r="I355" s="4">
        <f t="shared" si="126"/>
        <v>90</v>
      </c>
      <c r="J355" s="4">
        <f t="shared" si="127"/>
        <v>150</v>
      </c>
      <c r="K355" s="4">
        <f t="shared" si="128"/>
        <v>210</v>
      </c>
      <c r="L355" s="4">
        <v>206.67</v>
      </c>
      <c r="P355" s="4">
        <f t="shared" ref="P355:P361" si="129">$L$3+1389+555.555</f>
        <v>2019.5549999999998</v>
      </c>
      <c r="Q355" s="10"/>
      <c r="R355" s="14">
        <f t="shared" si="108"/>
        <v>4711.2250000000004</v>
      </c>
      <c r="AG355" s="3">
        <f t="shared" si="122"/>
        <v>6</v>
      </c>
      <c r="AH355" s="3">
        <f t="shared" si="123"/>
        <v>6</v>
      </c>
      <c r="AI355" s="3">
        <f t="shared" si="124"/>
        <v>6</v>
      </c>
    </row>
    <row r="356" spans="2:39" x14ac:dyDescent="0.3">
      <c r="B356" s="3" t="s">
        <v>838</v>
      </c>
      <c r="C356" s="20" t="s">
        <v>839</v>
      </c>
      <c r="D356" s="4">
        <f t="shared" si="113"/>
        <v>600</v>
      </c>
      <c r="E356" s="4">
        <f t="shared" si="125"/>
        <v>1350</v>
      </c>
      <c r="H356" s="4">
        <f t="shared" si="120"/>
        <v>85</v>
      </c>
      <c r="I356" s="4">
        <f t="shared" si="126"/>
        <v>90</v>
      </c>
      <c r="J356" s="4">
        <f t="shared" si="127"/>
        <v>150</v>
      </c>
      <c r="K356" s="4">
        <f t="shared" si="128"/>
        <v>210</v>
      </c>
      <c r="L356" s="4">
        <v>206.67</v>
      </c>
      <c r="P356" s="4">
        <f t="shared" si="129"/>
        <v>2019.5549999999998</v>
      </c>
      <c r="Q356" s="10"/>
      <c r="R356" s="14">
        <f t="shared" si="108"/>
        <v>4711.2250000000004</v>
      </c>
      <c r="AG356" s="3">
        <f t="shared" si="122"/>
        <v>6</v>
      </c>
      <c r="AH356" s="3">
        <f t="shared" si="123"/>
        <v>6</v>
      </c>
      <c r="AI356" s="3">
        <f t="shared" si="124"/>
        <v>6</v>
      </c>
    </row>
    <row r="357" spans="2:39" x14ac:dyDescent="0.3">
      <c r="B357" s="3" t="s">
        <v>838</v>
      </c>
      <c r="C357" s="20" t="s">
        <v>839</v>
      </c>
      <c r="D357" s="4">
        <f t="shared" si="113"/>
        <v>600</v>
      </c>
      <c r="E357" s="4">
        <f t="shared" si="125"/>
        <v>1350</v>
      </c>
      <c r="H357" s="4">
        <f t="shared" si="120"/>
        <v>85</v>
      </c>
      <c r="I357" s="4">
        <f t="shared" si="126"/>
        <v>90</v>
      </c>
      <c r="J357" s="4">
        <f t="shared" si="127"/>
        <v>150</v>
      </c>
      <c r="K357" s="4">
        <f t="shared" si="128"/>
        <v>210</v>
      </c>
      <c r="L357" s="4">
        <v>206.67</v>
      </c>
      <c r="P357" s="4">
        <f t="shared" si="129"/>
        <v>2019.5549999999998</v>
      </c>
      <c r="Q357" s="10"/>
      <c r="R357" s="14">
        <f t="shared" si="108"/>
        <v>4711.2250000000004</v>
      </c>
      <c r="AG357" s="3">
        <f t="shared" si="122"/>
        <v>6</v>
      </c>
      <c r="AH357" s="3">
        <f t="shared" si="123"/>
        <v>6</v>
      </c>
      <c r="AI357" s="3">
        <f t="shared" si="124"/>
        <v>6</v>
      </c>
    </row>
    <row r="358" spans="2:39" x14ac:dyDescent="0.3">
      <c r="B358" s="3" t="s">
        <v>838</v>
      </c>
      <c r="C358" s="20" t="s">
        <v>839</v>
      </c>
      <c r="D358" s="4">
        <f t="shared" si="113"/>
        <v>600</v>
      </c>
      <c r="E358" s="4">
        <f t="shared" si="125"/>
        <v>1350</v>
      </c>
      <c r="H358" s="4">
        <f t="shared" si="120"/>
        <v>85</v>
      </c>
      <c r="I358" s="4">
        <f t="shared" si="126"/>
        <v>90</v>
      </c>
      <c r="J358" s="4">
        <f t="shared" si="127"/>
        <v>150</v>
      </c>
      <c r="K358" s="4">
        <f t="shared" si="128"/>
        <v>210</v>
      </c>
      <c r="L358" s="4">
        <v>206.67</v>
      </c>
      <c r="P358" s="4">
        <f t="shared" si="129"/>
        <v>2019.5549999999998</v>
      </c>
      <c r="Q358" s="10"/>
      <c r="R358" s="14">
        <f t="shared" si="108"/>
        <v>4711.2250000000004</v>
      </c>
      <c r="AG358" s="3">
        <f t="shared" si="122"/>
        <v>6</v>
      </c>
      <c r="AH358" s="3">
        <f t="shared" si="123"/>
        <v>6</v>
      </c>
      <c r="AI358" s="3">
        <f t="shared" si="124"/>
        <v>6</v>
      </c>
    </row>
    <row r="359" spans="2:39" x14ac:dyDescent="0.3">
      <c r="B359" s="3" t="s">
        <v>838</v>
      </c>
      <c r="C359" s="20" t="s">
        <v>839</v>
      </c>
      <c r="D359" s="4">
        <f t="shared" si="113"/>
        <v>600</v>
      </c>
      <c r="E359" s="4">
        <f t="shared" si="125"/>
        <v>1350</v>
      </c>
      <c r="H359" s="4">
        <f t="shared" si="120"/>
        <v>85</v>
      </c>
      <c r="I359" s="4">
        <f t="shared" si="126"/>
        <v>90</v>
      </c>
      <c r="J359" s="4">
        <f t="shared" si="127"/>
        <v>150</v>
      </c>
      <c r="K359" s="4">
        <f t="shared" si="128"/>
        <v>210</v>
      </c>
      <c r="L359" s="4">
        <v>206.67</v>
      </c>
      <c r="P359" s="4">
        <f t="shared" si="129"/>
        <v>2019.5549999999998</v>
      </c>
      <c r="Q359" s="10"/>
      <c r="R359" s="14">
        <f t="shared" si="108"/>
        <v>4711.2250000000004</v>
      </c>
      <c r="AG359" s="3">
        <f t="shared" si="122"/>
        <v>6</v>
      </c>
      <c r="AH359" s="3">
        <f t="shared" si="123"/>
        <v>6</v>
      </c>
      <c r="AI359" s="3">
        <f t="shared" si="124"/>
        <v>6</v>
      </c>
    </row>
    <row r="360" spans="2:39" ht="14.5" thickBot="1" x14ac:dyDescent="0.35">
      <c r="B360" s="3" t="s">
        <v>838</v>
      </c>
      <c r="C360" s="20" t="s">
        <v>839</v>
      </c>
      <c r="D360" s="4">
        <f t="shared" si="113"/>
        <v>600</v>
      </c>
      <c r="E360" s="4">
        <f t="shared" si="125"/>
        <v>1350</v>
      </c>
      <c r="H360" s="4">
        <f t="shared" si="120"/>
        <v>85</v>
      </c>
      <c r="I360" s="4">
        <f t="shared" si="126"/>
        <v>90</v>
      </c>
      <c r="J360" s="4">
        <f t="shared" si="127"/>
        <v>150</v>
      </c>
      <c r="K360" s="4">
        <f t="shared" si="128"/>
        <v>210</v>
      </c>
      <c r="L360" s="4">
        <v>206.67</v>
      </c>
      <c r="P360" s="4">
        <f t="shared" si="129"/>
        <v>2019.5549999999998</v>
      </c>
      <c r="Q360" s="10"/>
      <c r="R360" s="14">
        <f t="shared" ref="R360:R362" si="130">SUM(D360:Q360)</f>
        <v>4711.2250000000004</v>
      </c>
      <c r="U360" s="14"/>
      <c r="AG360" s="3">
        <f t="shared" si="122"/>
        <v>6</v>
      </c>
      <c r="AH360" s="3">
        <f t="shared" si="123"/>
        <v>6</v>
      </c>
      <c r="AI360" s="3">
        <f t="shared" si="124"/>
        <v>6</v>
      </c>
    </row>
    <row r="361" spans="2:39" ht="16" thickBot="1" x14ac:dyDescent="0.4">
      <c r="B361" s="3" t="s">
        <v>838</v>
      </c>
      <c r="C361" s="20" t="s">
        <v>839</v>
      </c>
      <c r="D361" s="4">
        <f t="shared" si="113"/>
        <v>600</v>
      </c>
      <c r="E361" s="4">
        <f t="shared" si="125"/>
        <v>1350</v>
      </c>
      <c r="H361" s="4">
        <f t="shared" si="120"/>
        <v>85</v>
      </c>
      <c r="I361" s="4">
        <f t="shared" si="126"/>
        <v>90</v>
      </c>
      <c r="J361" s="4">
        <f t="shared" si="127"/>
        <v>150</v>
      </c>
      <c r="K361" s="4">
        <f t="shared" si="128"/>
        <v>210</v>
      </c>
      <c r="L361" s="4">
        <v>206.64</v>
      </c>
      <c r="P361" s="4">
        <f t="shared" si="129"/>
        <v>2019.5549999999998</v>
      </c>
      <c r="Q361" s="10"/>
      <c r="R361" s="14">
        <f t="shared" si="130"/>
        <v>4711.1949999999997</v>
      </c>
      <c r="T361" s="21">
        <f>SUM(R353:R361)</f>
        <v>39999.994999999995</v>
      </c>
      <c r="U361" s="14">
        <f>T361-24000</f>
        <v>15999.994999999995</v>
      </c>
      <c r="V361" s="14">
        <f>U361/9</f>
        <v>1777.7772222222218</v>
      </c>
      <c r="AG361" s="3">
        <f t="shared" si="122"/>
        <v>6</v>
      </c>
      <c r="AH361" s="3">
        <f t="shared" si="123"/>
        <v>6</v>
      </c>
      <c r="AI361" s="3">
        <f t="shared" si="124"/>
        <v>6</v>
      </c>
    </row>
    <row r="362" spans="2:39" ht="16" thickBot="1" x14ac:dyDescent="0.4">
      <c r="C362" s="20" t="s">
        <v>483</v>
      </c>
      <c r="P362" s="4">
        <v>5000</v>
      </c>
      <c r="Q362" s="10"/>
      <c r="R362" s="14">
        <f t="shared" si="130"/>
        <v>5000</v>
      </c>
      <c r="T362" s="21">
        <f>SUM(R362)</f>
        <v>5000</v>
      </c>
      <c r="AG362" s="3">
        <f t="shared" si="122"/>
        <v>0</v>
      </c>
      <c r="AH362" s="3">
        <f t="shared" si="123"/>
        <v>0</v>
      </c>
      <c r="AI362" s="3">
        <f t="shared" si="124"/>
        <v>0</v>
      </c>
    </row>
    <row r="363" spans="2:39" ht="16" thickBot="1" x14ac:dyDescent="0.4"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10"/>
      <c r="S363" s="35">
        <f>SUM(T295:T362)</f>
        <v>130299.995</v>
      </c>
    </row>
    <row r="364" spans="2:39" ht="18.5" thickBot="1" x14ac:dyDescent="0.45">
      <c r="C364" s="36" t="s">
        <v>840</v>
      </c>
      <c r="D364" s="4">
        <f t="shared" ref="D364:O364" si="131">SUM(D5:D363)</f>
        <v>148100</v>
      </c>
      <c r="E364" s="4">
        <f t="shared" si="131"/>
        <v>206795</v>
      </c>
      <c r="F364" s="4">
        <f t="shared" si="131"/>
        <v>0</v>
      </c>
      <c r="G364" s="4">
        <f t="shared" si="131"/>
        <v>0</v>
      </c>
      <c r="H364" s="4">
        <f t="shared" si="131"/>
        <v>20995</v>
      </c>
      <c r="I364" s="4">
        <f t="shared" si="131"/>
        <v>9210</v>
      </c>
      <c r="J364" s="4">
        <f t="shared" si="131"/>
        <v>13950</v>
      </c>
      <c r="K364" s="4">
        <f t="shared" si="131"/>
        <v>21035</v>
      </c>
      <c r="L364" s="4">
        <f t="shared" si="131"/>
        <v>69239.999999999985</v>
      </c>
      <c r="M364" s="4">
        <f t="shared" si="131"/>
        <v>0</v>
      </c>
      <c r="N364" s="4">
        <f t="shared" si="131"/>
        <v>0</v>
      </c>
      <c r="O364" s="4">
        <f t="shared" si="131"/>
        <v>0</v>
      </c>
      <c r="P364" s="4">
        <f>SUM(P5:P363)</f>
        <v>229374.99500000008</v>
      </c>
      <c r="Q364" s="10"/>
      <c r="R364" s="37">
        <f>SUM(R5:R363)</f>
        <v>718699.995</v>
      </c>
      <c r="S364" s="38">
        <f>SUM(S5:S363)</f>
        <v>720494.995</v>
      </c>
    </row>
    <row r="365" spans="2:39" ht="14.5" thickBot="1" x14ac:dyDescent="0.35">
      <c r="C365" s="39" t="str" cm="1">
        <f t="array" aca="1" ref="C365" ca="1">CELL("filename")</f>
        <v>https://internrwa-my.sharepoint.com/personal/rmazarei_irwaonline_org/Documents/Desktop/Department - Accounting/Controller - Accounting/Budget/Budget 2026 - 27/Drafts/[2026 - 27 Budget - 11th Draft - February 21, 2026 - IGC.xlsx]11th Draft</v>
      </c>
      <c r="S365" s="14">
        <f>R364-S364</f>
        <v>-1795</v>
      </c>
    </row>
    <row r="366" spans="2:39" ht="18.5" thickBot="1" x14ac:dyDescent="0.45">
      <c r="D366" s="40">
        <f>COUNTA(D5:D364)</f>
        <v>248</v>
      </c>
      <c r="N366" s="41" t="s">
        <v>841</v>
      </c>
      <c r="O366" s="42"/>
      <c r="P366" s="42"/>
      <c r="Q366" s="43"/>
      <c r="R366" s="37">
        <v>671130</v>
      </c>
    </row>
    <row r="367" spans="2:39" x14ac:dyDescent="0.3">
      <c r="N367" s="4" t="s">
        <v>842</v>
      </c>
      <c r="R367" s="14">
        <f>R364-R366</f>
        <v>47569.994999999995</v>
      </c>
    </row>
  </sheetData>
  <mergeCells count="11">
    <mergeCell ref="V190:Y190"/>
    <mergeCell ref="V200:Y200"/>
    <mergeCell ref="AA200:AD200"/>
    <mergeCell ref="V213:Y213"/>
    <mergeCell ref="V263:Y263"/>
    <mergeCell ref="V170:Y170"/>
    <mergeCell ref="A1:P1"/>
    <mergeCell ref="V1:AD1"/>
    <mergeCell ref="V4:Y4"/>
    <mergeCell ref="V20:Y20"/>
    <mergeCell ref="V133:Y133"/>
  </mergeCells>
  <conditionalFormatting sqref="R5:R362">
    <cfRule type="top10" dxfId="0" priority="2" rank="10"/>
  </conditionalFormatting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9302-C745-4BC1-A728-059FE17A78CD}">
  <sheetPr>
    <tabColor rgb="FFFF0000"/>
  </sheetPr>
  <dimension ref="A1:D24"/>
  <sheetViews>
    <sheetView zoomScale="175" zoomScaleNormal="175" workbookViewId="0">
      <selection activeCell="D8" sqref="D8"/>
    </sheetView>
  </sheetViews>
  <sheetFormatPr defaultRowHeight="14.5" x14ac:dyDescent="0.35"/>
  <cols>
    <col min="1" max="1" width="11.81640625" bestFit="1" customWidth="1"/>
    <col min="2" max="2" width="27" bestFit="1" customWidth="1"/>
    <col min="3" max="3" width="14.1796875" bestFit="1" customWidth="1"/>
    <col min="4" max="4" width="30.90625" bestFit="1" customWidth="1"/>
  </cols>
  <sheetData>
    <row r="1" spans="1:4" x14ac:dyDescent="0.35">
      <c r="A1" t="s">
        <v>910</v>
      </c>
    </row>
    <row r="2" spans="1:4" x14ac:dyDescent="0.35">
      <c r="B2" t="s">
        <v>911</v>
      </c>
      <c r="C2" t="s">
        <v>994</v>
      </c>
      <c r="D2" t="s">
        <v>936</v>
      </c>
    </row>
    <row r="3" spans="1:4" x14ac:dyDescent="0.35">
      <c r="C3" t="s">
        <v>912</v>
      </c>
    </row>
    <row r="5" spans="1:4" x14ac:dyDescent="0.35">
      <c r="B5" t="s">
        <v>913</v>
      </c>
      <c r="C5" t="s">
        <v>995</v>
      </c>
      <c r="D5" t="s">
        <v>943</v>
      </c>
    </row>
    <row r="7" spans="1:4" x14ac:dyDescent="0.35">
      <c r="A7" t="s">
        <v>914</v>
      </c>
    </row>
    <row r="8" spans="1:4" x14ac:dyDescent="0.35">
      <c r="B8" t="s">
        <v>915</v>
      </c>
      <c r="C8" t="s">
        <v>918</v>
      </c>
      <c r="D8" t="s">
        <v>919</v>
      </c>
    </row>
    <row r="9" spans="1:4" x14ac:dyDescent="0.35">
      <c r="B9" t="s">
        <v>916</v>
      </c>
      <c r="C9" t="s">
        <v>917</v>
      </c>
    </row>
    <row r="11" spans="1:4" x14ac:dyDescent="0.35">
      <c r="A11" t="s">
        <v>920</v>
      </c>
    </row>
    <row r="12" spans="1:4" x14ac:dyDescent="0.35">
      <c r="B12" t="s">
        <v>921</v>
      </c>
      <c r="C12" t="s">
        <v>937</v>
      </c>
      <c r="D12" t="s">
        <v>924</v>
      </c>
    </row>
    <row r="13" spans="1:4" x14ac:dyDescent="0.35">
      <c r="B13" t="s">
        <v>922</v>
      </c>
      <c r="C13" t="s">
        <v>937</v>
      </c>
      <c r="D13" t="s">
        <v>925</v>
      </c>
    </row>
    <row r="14" spans="1:4" x14ac:dyDescent="0.35">
      <c r="B14" t="s">
        <v>923</v>
      </c>
      <c r="C14" t="s">
        <v>937</v>
      </c>
    </row>
    <row r="16" spans="1:4" x14ac:dyDescent="0.35">
      <c r="A16" t="s">
        <v>931</v>
      </c>
    </row>
    <row r="17" spans="1:3" x14ac:dyDescent="0.35">
      <c r="B17" t="s">
        <v>926</v>
      </c>
      <c r="C17" t="s">
        <v>932</v>
      </c>
    </row>
    <row r="18" spans="1:3" x14ac:dyDescent="0.35">
      <c r="B18" t="s">
        <v>927</v>
      </c>
      <c r="C18" t="s">
        <v>932</v>
      </c>
    </row>
    <row r="19" spans="1:3" x14ac:dyDescent="0.35">
      <c r="B19" t="s">
        <v>928</v>
      </c>
      <c r="C19" t="s">
        <v>933</v>
      </c>
    </row>
    <row r="20" spans="1:3" x14ac:dyDescent="0.35">
      <c r="B20" t="s">
        <v>929</v>
      </c>
      <c r="C20" t="s">
        <v>937</v>
      </c>
    </row>
    <row r="21" spans="1:3" x14ac:dyDescent="0.35">
      <c r="B21" t="s">
        <v>930</v>
      </c>
      <c r="C21" t="s">
        <v>937</v>
      </c>
    </row>
    <row r="23" spans="1:3" x14ac:dyDescent="0.35">
      <c r="A23" t="s">
        <v>601</v>
      </c>
    </row>
    <row r="24" spans="1:3" x14ac:dyDescent="0.35">
      <c r="B24" t="s">
        <v>934</v>
      </c>
      <c r="C24" t="s">
        <v>935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181B-7FE7-4894-BE3F-D3C5E0FE99D8}">
  <sheetPr>
    <tabColor rgb="FF0000FF"/>
  </sheetPr>
  <dimension ref="A1:L32"/>
  <sheetViews>
    <sheetView zoomScale="145" zoomScaleNormal="145" workbookViewId="0">
      <pane ySplit="2" topLeftCell="A5" activePane="bottomLeft" state="frozen"/>
      <selection pane="bottomLeft" activeCell="D14" sqref="D14"/>
    </sheetView>
  </sheetViews>
  <sheetFormatPr defaultRowHeight="14.5" x14ac:dyDescent="0.35"/>
  <cols>
    <col min="1" max="1" width="22.453125" bestFit="1" customWidth="1"/>
    <col min="2" max="3" width="14.1796875" bestFit="1" customWidth="1"/>
    <col min="4" max="4" width="14.1796875" customWidth="1"/>
    <col min="5" max="5" width="11.54296875" bestFit="1" customWidth="1"/>
    <col min="6" max="6" width="10.90625" bestFit="1" customWidth="1"/>
    <col min="8" max="8" width="45.1796875" bestFit="1" customWidth="1"/>
    <col min="12" max="12" width="9.1796875" bestFit="1" customWidth="1"/>
  </cols>
  <sheetData>
    <row r="1" spans="1:12" ht="39.5" customHeight="1" thickBot="1" x14ac:dyDescent="0.4">
      <c r="A1" s="332" t="s">
        <v>866</v>
      </c>
      <c r="B1" s="330" t="s">
        <v>857</v>
      </c>
      <c r="C1" s="334" t="s">
        <v>858</v>
      </c>
      <c r="D1" s="334"/>
      <c r="E1" s="338" t="s">
        <v>879</v>
      </c>
      <c r="F1" s="334" t="s">
        <v>870</v>
      </c>
      <c r="G1" s="334" t="s">
        <v>861</v>
      </c>
      <c r="H1" s="336" t="s">
        <v>869</v>
      </c>
      <c r="I1" s="334" t="s">
        <v>884</v>
      </c>
    </row>
    <row r="2" spans="1:12" ht="39.5" customHeight="1" x14ac:dyDescent="0.35">
      <c r="A2" s="333"/>
      <c r="B2" s="331"/>
      <c r="C2" s="121" t="s">
        <v>867</v>
      </c>
      <c r="D2" s="121" t="s">
        <v>868</v>
      </c>
      <c r="E2" s="339"/>
      <c r="F2" s="335"/>
      <c r="G2" s="335"/>
      <c r="H2" s="337"/>
      <c r="I2" s="335"/>
      <c r="L2" s="115"/>
    </row>
    <row r="3" spans="1:12" ht="29" customHeight="1" x14ac:dyDescent="0.35">
      <c r="A3" s="123" t="s">
        <v>875</v>
      </c>
      <c r="B3" s="119">
        <v>3500</v>
      </c>
      <c r="C3" s="119">
        <v>3700</v>
      </c>
      <c r="D3" s="125" t="s">
        <v>885</v>
      </c>
      <c r="E3" s="120">
        <f t="shared" ref="E3:E18" si="0">SUM(C3:D3)</f>
        <v>3700</v>
      </c>
      <c r="F3" s="124">
        <f>C3-B3</f>
        <v>200</v>
      </c>
      <c r="G3" s="122">
        <f t="shared" ref="G3:G18" si="1">F3/B3</f>
        <v>5.7142857142857141E-2</v>
      </c>
      <c r="H3" s="118"/>
      <c r="I3" s="126" t="s">
        <v>743</v>
      </c>
      <c r="L3" s="115"/>
    </row>
    <row r="4" spans="1:12" ht="29" customHeight="1" x14ac:dyDescent="0.35">
      <c r="A4" s="123" t="s">
        <v>860</v>
      </c>
      <c r="B4" s="119">
        <v>3500</v>
      </c>
      <c r="C4" s="119">
        <v>3700</v>
      </c>
      <c r="D4" s="125" t="s">
        <v>885</v>
      </c>
      <c r="E4" s="120">
        <f t="shared" si="0"/>
        <v>3700</v>
      </c>
      <c r="F4" s="124">
        <f>E4-B4</f>
        <v>200</v>
      </c>
      <c r="G4" s="122">
        <f t="shared" si="1"/>
        <v>5.7142857142857141E-2</v>
      </c>
      <c r="H4" s="118"/>
      <c r="I4" s="126" t="s">
        <v>743</v>
      </c>
      <c r="L4" s="115"/>
    </row>
    <row r="5" spans="1:12" ht="29" customHeight="1" x14ac:dyDescent="0.35">
      <c r="A5" s="123" t="s">
        <v>874</v>
      </c>
      <c r="B5" s="119">
        <v>3500</v>
      </c>
      <c r="C5" s="119">
        <v>3700</v>
      </c>
      <c r="D5" s="125" t="s">
        <v>885</v>
      </c>
      <c r="E5" s="120">
        <f t="shared" si="0"/>
        <v>3700</v>
      </c>
      <c r="F5" s="124">
        <f>C5-B5</f>
        <v>200</v>
      </c>
      <c r="G5" s="122">
        <f t="shared" si="1"/>
        <v>5.7142857142857141E-2</v>
      </c>
      <c r="H5" s="118"/>
      <c r="I5" s="126" t="s">
        <v>743</v>
      </c>
    </row>
    <row r="6" spans="1:12" ht="29" customHeight="1" x14ac:dyDescent="0.35">
      <c r="A6" s="123" t="s">
        <v>876</v>
      </c>
      <c r="B6" s="119">
        <v>3500</v>
      </c>
      <c r="C6" s="119">
        <v>3700</v>
      </c>
      <c r="D6" s="125" t="s">
        <v>885</v>
      </c>
      <c r="E6" s="120">
        <f t="shared" si="0"/>
        <v>3700</v>
      </c>
      <c r="F6" s="124">
        <f>C6-B6</f>
        <v>200</v>
      </c>
      <c r="G6" s="122">
        <f t="shared" si="1"/>
        <v>5.7142857142857141E-2</v>
      </c>
      <c r="H6" s="118"/>
      <c r="I6" s="126" t="s">
        <v>743</v>
      </c>
    </row>
    <row r="7" spans="1:12" ht="29" customHeight="1" x14ac:dyDescent="0.35">
      <c r="A7" s="123" t="s">
        <v>877</v>
      </c>
      <c r="B7" s="119">
        <v>3500</v>
      </c>
      <c r="C7" s="119">
        <v>3700</v>
      </c>
      <c r="D7" s="125" t="s">
        <v>885</v>
      </c>
      <c r="E7" s="120">
        <f t="shared" si="0"/>
        <v>3700</v>
      </c>
      <c r="F7" s="124">
        <f>C7-B7</f>
        <v>200</v>
      </c>
      <c r="G7" s="122">
        <f t="shared" si="1"/>
        <v>5.7142857142857141E-2</v>
      </c>
      <c r="H7" s="118"/>
      <c r="I7" s="126" t="s">
        <v>743</v>
      </c>
    </row>
    <row r="8" spans="1:12" ht="28.5" customHeight="1" x14ac:dyDescent="0.35">
      <c r="A8" s="123" t="s">
        <v>873</v>
      </c>
      <c r="B8" s="119">
        <v>3500</v>
      </c>
      <c r="C8" s="119">
        <v>3700</v>
      </c>
      <c r="D8" s="119">
        <v>0</v>
      </c>
      <c r="E8" s="120">
        <f t="shared" si="0"/>
        <v>3700</v>
      </c>
      <c r="F8" s="124">
        <f>C8-B8</f>
        <v>200</v>
      </c>
      <c r="G8" s="122">
        <f t="shared" si="1"/>
        <v>5.7142857142857141E-2</v>
      </c>
      <c r="H8" s="118" t="s">
        <v>872</v>
      </c>
      <c r="I8" s="126" t="s">
        <v>743</v>
      </c>
    </row>
    <row r="9" spans="1:12" ht="28.5" customHeight="1" x14ac:dyDescent="0.35">
      <c r="A9" s="123" t="s">
        <v>859</v>
      </c>
      <c r="B9" s="119">
        <v>3500</v>
      </c>
      <c r="C9" s="119">
        <v>3700</v>
      </c>
      <c r="D9" s="119">
        <v>3475</v>
      </c>
      <c r="E9" s="120">
        <f t="shared" si="0"/>
        <v>7175</v>
      </c>
      <c r="F9" s="124">
        <f>E9-B9</f>
        <v>3675</v>
      </c>
      <c r="G9" s="122">
        <f t="shared" si="1"/>
        <v>1.05</v>
      </c>
      <c r="H9" s="118" t="s">
        <v>601</v>
      </c>
      <c r="I9" s="126" t="s">
        <v>743</v>
      </c>
    </row>
    <row r="10" spans="1:12" ht="28.5" customHeight="1" x14ac:dyDescent="0.35">
      <c r="A10" s="123" t="s">
        <v>878</v>
      </c>
      <c r="B10" s="119">
        <v>3500</v>
      </c>
      <c r="C10" s="119">
        <v>3700</v>
      </c>
      <c r="D10" s="125" t="s">
        <v>885</v>
      </c>
      <c r="E10" s="120">
        <f t="shared" si="0"/>
        <v>3700</v>
      </c>
      <c r="F10" s="124">
        <f>C10-B10</f>
        <v>200</v>
      </c>
      <c r="G10" s="122">
        <f t="shared" si="1"/>
        <v>5.7142857142857141E-2</v>
      </c>
      <c r="H10" s="118"/>
      <c r="I10" s="126" t="s">
        <v>743</v>
      </c>
    </row>
    <row r="11" spans="1:12" ht="28.5" customHeight="1" x14ac:dyDescent="0.35">
      <c r="A11" s="123" t="s">
        <v>871</v>
      </c>
      <c r="B11" s="119">
        <v>3500</v>
      </c>
      <c r="C11" s="119">
        <v>3700</v>
      </c>
      <c r="D11" s="125" t="s">
        <v>885</v>
      </c>
      <c r="E11" s="120">
        <f t="shared" si="0"/>
        <v>3700</v>
      </c>
      <c r="F11" s="124">
        <f>C11-B11</f>
        <v>200</v>
      </c>
      <c r="G11" s="122">
        <f t="shared" si="1"/>
        <v>5.7142857142857141E-2</v>
      </c>
      <c r="H11" s="118"/>
      <c r="I11" s="126" t="s">
        <v>743</v>
      </c>
    </row>
    <row r="12" spans="1:12" ht="28.5" customHeight="1" x14ac:dyDescent="0.35">
      <c r="A12" s="118" t="s">
        <v>856</v>
      </c>
      <c r="B12" s="119">
        <v>3500</v>
      </c>
      <c r="C12" s="119">
        <v>3700</v>
      </c>
      <c r="D12" s="119">
        <v>5500</v>
      </c>
      <c r="E12" s="120">
        <f t="shared" si="0"/>
        <v>9200</v>
      </c>
      <c r="F12" s="124">
        <f>E12-B12</f>
        <v>5700</v>
      </c>
      <c r="G12" s="122">
        <f t="shared" si="1"/>
        <v>1.6285714285714286</v>
      </c>
      <c r="H12" s="118"/>
      <c r="I12" s="126" t="s">
        <v>760</v>
      </c>
    </row>
    <row r="13" spans="1:12" ht="28.5" customHeight="1" x14ac:dyDescent="0.35">
      <c r="A13" s="118" t="s">
        <v>883</v>
      </c>
      <c r="B13" s="119">
        <v>15000</v>
      </c>
      <c r="C13" s="119">
        <v>15000</v>
      </c>
      <c r="D13" s="125" t="s">
        <v>885</v>
      </c>
      <c r="E13" s="120">
        <f t="shared" si="0"/>
        <v>15000</v>
      </c>
      <c r="F13" s="124">
        <f>C13-B13</f>
        <v>0</v>
      </c>
      <c r="G13" s="122">
        <f t="shared" si="1"/>
        <v>0</v>
      </c>
      <c r="H13" s="118"/>
      <c r="I13" s="126" t="s">
        <v>760</v>
      </c>
    </row>
    <row r="14" spans="1:12" ht="28.5" customHeight="1" x14ac:dyDescent="0.35">
      <c r="A14" s="118" t="s">
        <v>635</v>
      </c>
      <c r="B14" s="119">
        <v>8500</v>
      </c>
      <c r="C14" s="119">
        <v>9000</v>
      </c>
      <c r="D14" s="119">
        <v>7500</v>
      </c>
      <c r="E14" s="120">
        <f t="shared" si="0"/>
        <v>16500</v>
      </c>
      <c r="F14" s="124">
        <f>E14-B14</f>
        <v>8000</v>
      </c>
      <c r="G14" s="122">
        <f t="shared" si="1"/>
        <v>0.94117647058823528</v>
      </c>
      <c r="H14" s="118" t="s">
        <v>888</v>
      </c>
      <c r="I14" s="126" t="s">
        <v>760</v>
      </c>
    </row>
    <row r="15" spans="1:12" ht="28.5" customHeight="1" x14ac:dyDescent="0.35">
      <c r="A15" s="118" t="s">
        <v>886</v>
      </c>
      <c r="B15" s="119">
        <v>40620</v>
      </c>
      <c r="C15" s="119">
        <v>40620</v>
      </c>
      <c r="D15" s="125" t="s">
        <v>885</v>
      </c>
      <c r="E15" s="120">
        <f t="shared" si="0"/>
        <v>40620</v>
      </c>
      <c r="F15" s="124">
        <f>E15-B15</f>
        <v>0</v>
      </c>
      <c r="G15" s="122">
        <f t="shared" si="1"/>
        <v>0</v>
      </c>
      <c r="H15" s="118"/>
      <c r="I15" s="126" t="s">
        <v>760</v>
      </c>
    </row>
    <row r="16" spans="1:12" ht="29.5" customHeight="1" x14ac:dyDescent="0.35">
      <c r="A16" s="118" t="s">
        <v>882</v>
      </c>
      <c r="B16" s="119">
        <v>20500</v>
      </c>
      <c r="C16" s="119">
        <v>19500</v>
      </c>
      <c r="D16" s="119">
        <v>0</v>
      </c>
      <c r="E16" s="120">
        <f t="shared" si="0"/>
        <v>19500</v>
      </c>
      <c r="F16" s="124">
        <f>C16-B16</f>
        <v>-1000</v>
      </c>
      <c r="G16" s="122">
        <f t="shared" si="1"/>
        <v>-4.878048780487805E-2</v>
      </c>
      <c r="H16" s="118"/>
      <c r="I16" s="126" t="s">
        <v>760</v>
      </c>
    </row>
    <row r="17" spans="1:9" ht="29.5" customHeight="1" x14ac:dyDescent="0.35">
      <c r="A17" s="118" t="s">
        <v>887</v>
      </c>
      <c r="B17" s="119">
        <v>46550</v>
      </c>
      <c r="C17" s="119">
        <v>46550</v>
      </c>
      <c r="D17" s="125" t="s">
        <v>885</v>
      </c>
      <c r="E17" s="120">
        <f t="shared" si="0"/>
        <v>46550</v>
      </c>
      <c r="F17" s="124">
        <f>C17-B17</f>
        <v>0</v>
      </c>
      <c r="G17" s="122">
        <f t="shared" si="1"/>
        <v>0</v>
      </c>
      <c r="H17" s="118"/>
      <c r="I17" s="126" t="s">
        <v>760</v>
      </c>
    </row>
    <row r="18" spans="1:9" ht="28.5" customHeight="1" x14ac:dyDescent="0.35">
      <c r="A18" s="118" t="s">
        <v>633</v>
      </c>
      <c r="B18" s="119">
        <v>3500</v>
      </c>
      <c r="C18" s="119">
        <v>3700</v>
      </c>
      <c r="D18" s="125" t="s">
        <v>885</v>
      </c>
      <c r="E18" s="120">
        <f t="shared" si="0"/>
        <v>3700</v>
      </c>
      <c r="F18" s="124">
        <f>C18-B18</f>
        <v>200</v>
      </c>
      <c r="G18" s="122">
        <f t="shared" si="1"/>
        <v>5.7142857142857141E-2</v>
      </c>
      <c r="H18" s="118"/>
      <c r="I18" s="126" t="s">
        <v>760</v>
      </c>
    </row>
    <row r="19" spans="1:9" x14ac:dyDescent="0.35">
      <c r="B19" s="115"/>
      <c r="C19" s="115"/>
      <c r="D19" s="115"/>
      <c r="E19" s="115"/>
      <c r="F19" s="115"/>
    </row>
    <row r="20" spans="1:9" x14ac:dyDescent="0.35">
      <c r="B20" s="115"/>
      <c r="C20" s="115"/>
      <c r="D20" s="115"/>
      <c r="E20" s="115"/>
      <c r="F20" s="115"/>
    </row>
    <row r="21" spans="1:9" x14ac:dyDescent="0.35">
      <c r="B21" s="115"/>
      <c r="C21" s="115"/>
      <c r="D21" s="115"/>
      <c r="E21" s="115"/>
      <c r="F21" s="115"/>
    </row>
    <row r="22" spans="1:9" x14ac:dyDescent="0.35">
      <c r="B22" s="115"/>
      <c r="C22" s="115"/>
      <c r="D22" s="115"/>
      <c r="E22" s="115"/>
      <c r="F22" s="115"/>
    </row>
    <row r="23" spans="1:9" x14ac:dyDescent="0.35">
      <c r="B23" s="115"/>
      <c r="C23" s="115"/>
      <c r="D23" s="115"/>
      <c r="E23" s="115"/>
      <c r="F23" s="115"/>
    </row>
    <row r="24" spans="1:9" x14ac:dyDescent="0.35">
      <c r="B24" s="115"/>
      <c r="C24" s="115"/>
      <c r="D24" s="115"/>
      <c r="E24" s="115"/>
      <c r="F24" s="115"/>
    </row>
    <row r="25" spans="1:9" x14ac:dyDescent="0.35">
      <c r="B25" s="115"/>
      <c r="C25" s="115"/>
      <c r="D25" s="115"/>
      <c r="E25" s="115"/>
      <c r="F25" s="115"/>
    </row>
    <row r="26" spans="1:9" x14ac:dyDescent="0.35">
      <c r="B26" s="115"/>
      <c r="C26" s="115"/>
      <c r="D26" s="115"/>
      <c r="E26" s="115"/>
      <c r="F26" s="115"/>
    </row>
    <row r="27" spans="1:9" x14ac:dyDescent="0.35">
      <c r="B27" s="115"/>
      <c r="C27" s="115"/>
      <c r="D27" s="115"/>
      <c r="E27" s="115"/>
      <c r="F27" s="115"/>
    </row>
    <row r="28" spans="1:9" x14ac:dyDescent="0.35">
      <c r="B28" s="115"/>
      <c r="C28" s="115"/>
      <c r="D28" s="115"/>
      <c r="E28" s="115"/>
      <c r="F28" s="115"/>
    </row>
    <row r="29" spans="1:9" x14ac:dyDescent="0.35">
      <c r="B29" s="115"/>
      <c r="C29" s="115"/>
      <c r="D29" s="115"/>
      <c r="E29" s="115"/>
      <c r="F29" s="115"/>
    </row>
    <row r="30" spans="1:9" x14ac:dyDescent="0.35">
      <c r="B30" s="115"/>
      <c r="C30" s="115"/>
      <c r="D30" s="115"/>
      <c r="E30" s="115"/>
      <c r="F30" s="115"/>
    </row>
    <row r="31" spans="1:9" x14ac:dyDescent="0.35">
      <c r="B31" s="115"/>
      <c r="C31" s="115"/>
      <c r="D31" s="115"/>
      <c r="E31" s="115"/>
      <c r="F31" s="115"/>
    </row>
    <row r="32" spans="1:9" x14ac:dyDescent="0.35">
      <c r="B32" s="115"/>
      <c r="C32" s="115"/>
      <c r="D32" s="115"/>
      <c r="E32" s="115"/>
      <c r="F32" s="115"/>
    </row>
  </sheetData>
  <sortState xmlns:xlrd2="http://schemas.microsoft.com/office/spreadsheetml/2017/richdata2" ref="A3:I18">
    <sortCondition ref="I3:I18"/>
    <sortCondition ref="A3:A18"/>
  </sortState>
  <mergeCells count="8">
    <mergeCell ref="B1:B2"/>
    <mergeCell ref="A1:A2"/>
    <mergeCell ref="I1:I2"/>
    <mergeCell ref="H1:H2"/>
    <mergeCell ref="C1:D1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1st Draft</vt:lpstr>
      <vt:lpstr>2nd Draft</vt:lpstr>
      <vt:lpstr>3rd Draft</vt:lpstr>
      <vt:lpstr>4th Draft</vt:lpstr>
      <vt:lpstr>5th Draft</vt:lpstr>
      <vt:lpstr>6th Draft</vt:lpstr>
      <vt:lpstr>7th Draft</vt:lpstr>
      <vt:lpstr>8th Draft</vt:lpstr>
      <vt:lpstr>9th Draft</vt:lpstr>
      <vt:lpstr>10 Draft</vt:lpstr>
      <vt:lpstr>11th Draft</vt:lpstr>
      <vt:lpstr>Foundation Asks</vt:lpstr>
      <vt:lpstr>Travel</vt:lpstr>
      <vt:lpstr>CFO Notes</vt:lpstr>
      <vt:lpstr>Committees Asks</vt:lpstr>
      <vt:lpstr>'1st Draft'!Print_Titles</vt:lpstr>
      <vt:lpstr>'6th Draft'!Print_Titles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Rakhshan Mazarei</dc:creator>
  <cp:lastModifiedBy>Rakhshan Mazarei</cp:lastModifiedBy>
  <cp:lastPrinted>2026-01-21T21:57:12Z</cp:lastPrinted>
  <dcterms:created xsi:type="dcterms:W3CDTF">2025-09-17T17:27:30Z</dcterms:created>
  <dcterms:modified xsi:type="dcterms:W3CDTF">2026-02-24T21:10:00Z</dcterms:modified>
</cp:coreProperties>
</file>